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ubdepartamento Gestion de la nformacion\2018\LE 2018\Cortes 2018\"/>
    </mc:Choice>
  </mc:AlternateContent>
  <xr:revisionPtr revIDLastSave="0" documentId="10_ncr:8100000_{42DB01DF-80AF-4071-8938-6D52177CE3C9}" xr6:coauthVersionLast="33" xr6:coauthVersionMax="33" xr10:uidLastSave="{00000000-0000-0000-0000-000000000000}"/>
  <bookViews>
    <workbookView xWindow="0" yWindow="0" windowWidth="20490" windowHeight="7245" tabRatio="970" activeTab="8" xr2:uid="{00000000-000D-0000-FFFF-FFFF00000000}"/>
  </bookViews>
  <sheets>
    <sheet name="Introduccion" sheetId="12" r:id="rId1"/>
    <sheet name="1" sheetId="5" r:id="rId2"/>
    <sheet name="1.1" sheetId="4" r:id="rId3"/>
    <sheet name="1.2" sheetId="11" r:id="rId4"/>
    <sheet name="3.1" sheetId="1" r:id="rId5"/>
    <sheet name="3.1.1" sheetId="6" r:id="rId6"/>
    <sheet name="3.2 y Compromiso Ministerial" sheetId="2" r:id="rId7"/>
    <sheet name="3.2.1" sheetId="8" r:id="rId8"/>
    <sheet name="3.3" sheetId="3" r:id="rId9"/>
    <sheet name="3.3.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3" l="1"/>
  <c r="E51" i="3"/>
  <c r="F51" i="3"/>
  <c r="G51" i="3"/>
  <c r="H51" i="3"/>
  <c r="I51" i="3"/>
  <c r="J51" i="3"/>
  <c r="K51" i="3"/>
  <c r="L51" i="3"/>
  <c r="M51" i="3"/>
  <c r="N51" i="3"/>
  <c r="O51" i="3"/>
  <c r="C51" i="3"/>
  <c r="W52" i="1" l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P10" i="11" l="1"/>
  <c r="P11" i="11"/>
  <c r="P12" i="11"/>
  <c r="Q10" i="11" s="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43" i="11"/>
  <c r="P44" i="11"/>
  <c r="P45" i="11"/>
  <c r="P46" i="11"/>
  <c r="P47" i="11"/>
  <c r="P48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63" i="11"/>
  <c r="P64" i="11"/>
  <c r="P65" i="11"/>
  <c r="P9" i="11"/>
  <c r="O9" i="11"/>
  <c r="P51" i="3" l="1"/>
  <c r="R48" i="3"/>
  <c r="R46" i="3"/>
  <c r="R44" i="3"/>
  <c r="X48" i="1"/>
  <c r="X46" i="1"/>
  <c r="J30" i="9" l="1"/>
  <c r="J25" i="9"/>
  <c r="J20" i="9"/>
  <c r="J9" i="9"/>
  <c r="W34" i="6" l="1"/>
  <c r="X34" i="6"/>
  <c r="Y34" i="6"/>
  <c r="Z34" i="6"/>
  <c r="AA34" i="6"/>
  <c r="AB34" i="6"/>
  <c r="V34" i="6"/>
  <c r="C103" i="6"/>
  <c r="D103" i="6"/>
  <c r="E103" i="6"/>
  <c r="F103" i="6"/>
  <c r="G103" i="6"/>
  <c r="H103" i="6"/>
  <c r="I103" i="6"/>
  <c r="B103" i="6"/>
  <c r="J90" i="6"/>
  <c r="J91" i="6"/>
  <c r="J92" i="6"/>
  <c r="J93" i="6"/>
  <c r="J94" i="6"/>
  <c r="J95" i="6"/>
  <c r="J96" i="6"/>
  <c r="J97" i="6"/>
  <c r="J89" i="6"/>
  <c r="K89" i="6"/>
  <c r="K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68" i="6"/>
  <c r="J61" i="6"/>
  <c r="J62" i="6"/>
  <c r="J63" i="6"/>
  <c r="J64" i="6"/>
  <c r="J65" i="6"/>
  <c r="J66" i="6"/>
  <c r="W50" i="1" l="1"/>
  <c r="Q47" i="1"/>
  <c r="P47" i="1"/>
  <c r="M47" i="1"/>
  <c r="W47" i="1"/>
  <c r="U47" i="1"/>
  <c r="R47" i="1"/>
  <c r="P48" i="3"/>
  <c r="P47" i="3"/>
  <c r="P46" i="3"/>
  <c r="W48" i="1"/>
  <c r="N48" i="1"/>
  <c r="Q48" i="1"/>
  <c r="M48" i="1"/>
  <c r="R48" i="1"/>
  <c r="P48" i="1"/>
  <c r="I30" i="8"/>
  <c r="H30" i="8"/>
  <c r="G30" i="8"/>
  <c r="F30" i="8"/>
  <c r="E30" i="8"/>
  <c r="D30" i="8"/>
  <c r="C30" i="8"/>
  <c r="H25" i="2"/>
  <c r="J9" i="8" l="1"/>
  <c r="J10" i="8"/>
  <c r="J11" i="8"/>
  <c r="J12" i="8"/>
  <c r="J13" i="8"/>
  <c r="J14" i="8"/>
  <c r="J15" i="8"/>
  <c r="J16" i="8"/>
  <c r="J17" i="8"/>
  <c r="J18" i="8"/>
  <c r="J19" i="8"/>
  <c r="J20" i="8"/>
  <c r="J19" i="2"/>
  <c r="J18" i="2"/>
  <c r="J17" i="2"/>
  <c r="J16" i="2"/>
  <c r="J15" i="2"/>
  <c r="J14" i="2"/>
  <c r="J30" i="2"/>
  <c r="H30" i="2"/>
  <c r="G30" i="2"/>
  <c r="I30" i="2" s="1"/>
  <c r="J29" i="2"/>
  <c r="H29" i="2"/>
  <c r="G29" i="2"/>
  <c r="I29" i="2" s="1"/>
  <c r="J28" i="2"/>
  <c r="H28" i="2"/>
  <c r="G28" i="2"/>
  <c r="I28" i="2" s="1"/>
  <c r="J27" i="2"/>
  <c r="H27" i="2"/>
  <c r="G27" i="2"/>
  <c r="I27" i="2" s="1"/>
  <c r="J26" i="2"/>
  <c r="H26" i="2"/>
  <c r="G26" i="2"/>
  <c r="I26" i="2" s="1"/>
  <c r="J25" i="2"/>
  <c r="G25" i="2"/>
  <c r="I25" i="2" s="1"/>
  <c r="M19" i="2"/>
  <c r="L19" i="2"/>
  <c r="K19" i="2"/>
  <c r="M18" i="2"/>
  <c r="L18" i="2"/>
  <c r="K18" i="2"/>
  <c r="M17" i="2"/>
  <c r="L17" i="2"/>
  <c r="K17" i="2"/>
  <c r="M16" i="2"/>
  <c r="L16" i="2"/>
  <c r="K16" i="2"/>
  <c r="M15" i="2"/>
  <c r="L15" i="2"/>
  <c r="K15" i="2"/>
  <c r="M14" i="2"/>
  <c r="L14" i="2"/>
  <c r="K14" i="2"/>
  <c r="R46" i="1" l="1"/>
  <c r="P46" i="1"/>
  <c r="M46" i="1"/>
  <c r="W46" i="1" s="1"/>
  <c r="U45" i="1"/>
  <c r="R45" i="1"/>
  <c r="Q45" i="1"/>
  <c r="P45" i="1"/>
  <c r="W45" i="1" s="1"/>
  <c r="M45" i="1"/>
  <c r="F45" i="1"/>
  <c r="K45" i="3"/>
  <c r="P45" i="3" s="1"/>
  <c r="AD20" i="9" l="1"/>
  <c r="AE20" i="9"/>
  <c r="AF20" i="9"/>
  <c r="AG20" i="9"/>
  <c r="AC20" i="9"/>
  <c r="V20" i="9"/>
  <c r="W20" i="9"/>
  <c r="X20" i="9"/>
  <c r="Y20" i="9"/>
  <c r="Z20" i="9"/>
  <c r="U20" i="9"/>
  <c r="R50" i="9"/>
  <c r="M50" i="9"/>
  <c r="M49" i="9"/>
  <c r="M48" i="9"/>
  <c r="M47" i="9"/>
  <c r="N47" i="9"/>
  <c r="O47" i="9"/>
  <c r="P47" i="9"/>
  <c r="Q47" i="9"/>
  <c r="R47" i="9"/>
  <c r="N48" i="9"/>
  <c r="O48" i="9"/>
  <c r="P48" i="9"/>
  <c r="Q48" i="9"/>
  <c r="R48" i="9"/>
  <c r="N49" i="9"/>
  <c r="O49" i="9"/>
  <c r="P49" i="9"/>
  <c r="Q49" i="9"/>
  <c r="R49" i="9"/>
  <c r="N50" i="9"/>
  <c r="O50" i="9"/>
  <c r="P50" i="9"/>
  <c r="Q50" i="9"/>
  <c r="P44" i="3"/>
  <c r="P43" i="3"/>
  <c r="AF47" i="6"/>
  <c r="AG47" i="6"/>
  <c r="AH47" i="6"/>
  <c r="AI47" i="6"/>
  <c r="AJ47" i="6"/>
  <c r="AF48" i="6"/>
  <c r="AG48" i="6"/>
  <c r="AH48" i="6"/>
  <c r="AI48" i="6"/>
  <c r="AJ48" i="6"/>
  <c r="AF49" i="6"/>
  <c r="AG49" i="6"/>
  <c r="AH49" i="6"/>
  <c r="AI49" i="6"/>
  <c r="AJ49" i="6"/>
  <c r="AF50" i="6"/>
  <c r="AG50" i="6"/>
  <c r="AH50" i="6"/>
  <c r="AI50" i="6"/>
  <c r="AJ50" i="6"/>
  <c r="AF51" i="6"/>
  <c r="AG51" i="6"/>
  <c r="AH51" i="6"/>
  <c r="AI51" i="6"/>
  <c r="AJ51" i="6"/>
  <c r="AF46" i="6"/>
  <c r="AG46" i="6"/>
  <c r="AH46" i="6"/>
  <c r="AI46" i="6"/>
  <c r="AJ46" i="6"/>
  <c r="AE47" i="6"/>
  <c r="AE46" i="6"/>
  <c r="AE51" i="6"/>
  <c r="AE50" i="6"/>
  <c r="AE49" i="6"/>
  <c r="AE48" i="6"/>
  <c r="O134" i="6"/>
  <c r="P134" i="6"/>
  <c r="Q134" i="6"/>
  <c r="R134" i="6"/>
  <c r="S134" i="6"/>
  <c r="O135" i="6"/>
  <c r="P135" i="6"/>
  <c r="Q135" i="6"/>
  <c r="R135" i="6"/>
  <c r="S135" i="6"/>
  <c r="O136" i="6"/>
  <c r="P136" i="6"/>
  <c r="Q136" i="6"/>
  <c r="R136" i="6"/>
  <c r="S136" i="6"/>
  <c r="N136" i="6"/>
  <c r="N135" i="6"/>
  <c r="N134" i="6"/>
  <c r="N137" i="6"/>
  <c r="O137" i="6"/>
  <c r="P137" i="6"/>
  <c r="Q137" i="6"/>
  <c r="R137" i="6"/>
  <c r="S137" i="6"/>
  <c r="J60" i="6"/>
  <c r="J58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31" i="6"/>
  <c r="J30" i="6"/>
  <c r="J29" i="6"/>
  <c r="J27" i="6"/>
  <c r="J28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W44" i="1"/>
  <c r="W22" i="1"/>
  <c r="W21" i="1"/>
  <c r="W43" i="1" l="1"/>
  <c r="W15" i="1" l="1"/>
  <c r="W16" i="1"/>
  <c r="W17" i="1"/>
  <c r="W18" i="1"/>
  <c r="W19" i="1"/>
  <c r="W20" i="1"/>
  <c r="G25" i="4"/>
  <c r="K10" i="11"/>
  <c r="C9" i="11" l="1"/>
  <c r="D10" i="11" s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K10" i="6"/>
  <c r="K58" i="6"/>
  <c r="J59" i="6"/>
  <c r="J32" i="6"/>
  <c r="J33" i="6"/>
  <c r="J34" i="6"/>
  <c r="J35" i="6"/>
  <c r="J51" i="6"/>
  <c r="J52" i="6"/>
  <c r="J53" i="6"/>
  <c r="J54" i="6"/>
  <c r="J55" i="6"/>
  <c r="J56" i="6"/>
  <c r="T56" i="8"/>
  <c r="T54" i="8"/>
  <c r="T44" i="8"/>
  <c r="T34" i="8"/>
  <c r="T22" i="8"/>
  <c r="T10" i="8"/>
  <c r="F24" i="4"/>
  <c r="F25" i="4" s="1"/>
  <c r="E24" i="4"/>
  <c r="D24" i="4"/>
  <c r="C24" i="4"/>
  <c r="C25" i="4" s="1"/>
  <c r="D25" i="4"/>
  <c r="E25" i="4"/>
  <c r="B24" i="4"/>
  <c r="B25" i="4" s="1"/>
  <c r="B12" i="4"/>
  <c r="B13" i="4" s="1"/>
  <c r="C12" i="4"/>
  <c r="C13" i="4" s="1"/>
  <c r="M12" i="4"/>
  <c r="L12" i="4"/>
  <c r="K12" i="4"/>
  <c r="K13" i="4" s="1"/>
  <c r="J12" i="4"/>
  <c r="J13" i="4" s="1"/>
  <c r="I12" i="4"/>
  <c r="H12" i="4"/>
  <c r="H13" i="4" s="1"/>
  <c r="G12" i="4"/>
  <c r="G13" i="4" s="1"/>
  <c r="F12" i="4"/>
  <c r="F13" i="4" s="1"/>
  <c r="E12" i="4"/>
  <c r="E13" i="4" s="1"/>
  <c r="D12" i="4"/>
  <c r="D13" i="4" s="1"/>
  <c r="I13" i="4"/>
  <c r="L13" i="4"/>
  <c r="M13" i="4"/>
  <c r="D22" i="3"/>
  <c r="E22" i="3"/>
  <c r="F22" i="3"/>
  <c r="G22" i="3"/>
  <c r="H22" i="3"/>
  <c r="I22" i="3"/>
  <c r="J22" i="3"/>
  <c r="K22" i="3"/>
  <c r="L22" i="3"/>
  <c r="M22" i="3"/>
  <c r="O22" i="3"/>
  <c r="C22" i="3"/>
  <c r="P16" i="3"/>
  <c r="P17" i="3"/>
  <c r="P18" i="3"/>
  <c r="P19" i="3"/>
  <c r="P20" i="3"/>
  <c r="C21" i="3"/>
  <c r="D21" i="3"/>
  <c r="E21" i="3"/>
  <c r="F21" i="3"/>
  <c r="G21" i="3"/>
  <c r="H21" i="3"/>
  <c r="I21" i="3"/>
  <c r="J21" i="3"/>
  <c r="K21" i="3"/>
  <c r="L21" i="3"/>
  <c r="M21" i="3"/>
  <c r="O21" i="3"/>
  <c r="P23" i="3"/>
  <c r="C24" i="3"/>
  <c r="C27" i="3" s="1"/>
  <c r="D24" i="3"/>
  <c r="E24" i="3"/>
  <c r="F24" i="3"/>
  <c r="G24" i="3"/>
  <c r="G27" i="3" s="1"/>
  <c r="I24" i="3"/>
  <c r="J24" i="3"/>
  <c r="J27" i="3" s="1"/>
  <c r="K24" i="3"/>
  <c r="K27" i="3" s="1"/>
  <c r="L24" i="3"/>
  <c r="L27" i="3" s="1"/>
  <c r="M24" i="3"/>
  <c r="M27" i="3" s="1"/>
  <c r="O24" i="3"/>
  <c r="O27" i="3" s="1"/>
  <c r="P25" i="3"/>
  <c r="P26" i="3"/>
  <c r="D27" i="3"/>
  <c r="E27" i="3"/>
  <c r="F27" i="3"/>
  <c r="H27" i="3"/>
  <c r="I27" i="3"/>
  <c r="P28" i="3"/>
  <c r="C29" i="3"/>
  <c r="C32" i="3" s="1"/>
  <c r="D29" i="3"/>
  <c r="D32" i="3" s="1"/>
  <c r="E29" i="3"/>
  <c r="E32" i="3" s="1"/>
  <c r="F29" i="3"/>
  <c r="I29" i="3"/>
  <c r="I32" i="3" s="1"/>
  <c r="J29" i="3"/>
  <c r="J32" i="3" s="1"/>
  <c r="K29" i="3"/>
  <c r="K32" i="3" s="1"/>
  <c r="L29" i="3"/>
  <c r="M29" i="3"/>
  <c r="M32" i="3" s="1"/>
  <c r="O29" i="3"/>
  <c r="O32" i="3" s="1"/>
  <c r="P30" i="3"/>
  <c r="P31" i="3"/>
  <c r="F32" i="3"/>
  <c r="G32" i="3"/>
  <c r="H32" i="3"/>
  <c r="L32" i="3"/>
  <c r="P33" i="3"/>
  <c r="C34" i="3"/>
  <c r="C37" i="3" s="1"/>
  <c r="D34" i="3"/>
  <c r="E34" i="3"/>
  <c r="E37" i="3" s="1"/>
  <c r="F34" i="3"/>
  <c r="P34" i="3" s="1"/>
  <c r="I34" i="3"/>
  <c r="I37" i="3" s="1"/>
  <c r="J34" i="3"/>
  <c r="K34" i="3"/>
  <c r="K37" i="3" s="1"/>
  <c r="L34" i="3"/>
  <c r="L37" i="3" s="1"/>
  <c r="M34" i="3"/>
  <c r="O34" i="3"/>
  <c r="P35" i="3"/>
  <c r="P36" i="3"/>
  <c r="D37" i="3"/>
  <c r="G37" i="3"/>
  <c r="H37" i="3"/>
  <c r="J37" i="3"/>
  <c r="C38" i="3"/>
  <c r="C41" i="3" s="1"/>
  <c r="D38" i="3"/>
  <c r="E38" i="3"/>
  <c r="F38" i="3"/>
  <c r="F41" i="3" s="1"/>
  <c r="G38" i="3"/>
  <c r="G41" i="3" s="1"/>
  <c r="H38" i="3"/>
  <c r="I38" i="3"/>
  <c r="I41" i="3" s="1"/>
  <c r="J38" i="3"/>
  <c r="J41" i="3" s="1"/>
  <c r="K38" i="3"/>
  <c r="K41" i="3" s="1"/>
  <c r="L38" i="3"/>
  <c r="L41" i="3" s="1"/>
  <c r="M38" i="3"/>
  <c r="M41" i="3" s="1"/>
  <c r="O38" i="3"/>
  <c r="O41" i="3" s="1"/>
  <c r="P39" i="3"/>
  <c r="P40" i="3"/>
  <c r="P15" i="3"/>
  <c r="P22" i="3" s="1"/>
  <c r="E41" i="3"/>
  <c r="D41" i="3"/>
  <c r="F37" i="3" l="1"/>
  <c r="P21" i="3"/>
  <c r="P27" i="3"/>
  <c r="P24" i="3"/>
  <c r="P38" i="3"/>
  <c r="P37" i="3"/>
  <c r="P29" i="3"/>
  <c r="P32" i="3"/>
  <c r="P41" i="3"/>
  <c r="H41" i="3"/>
  <c r="D58" i="11"/>
  <c r="D50" i="11"/>
  <c r="D41" i="11"/>
  <c r="D66" i="11"/>
  <c r="D25" i="11"/>
  <c r="D65" i="11"/>
  <c r="D57" i="11"/>
  <c r="D49" i="11"/>
  <c r="D37" i="11"/>
  <c r="D21" i="11"/>
  <c r="D9" i="11"/>
  <c r="D62" i="11"/>
  <c r="D54" i="11"/>
  <c r="D46" i="11"/>
  <c r="D33" i="11"/>
  <c r="D17" i="11"/>
  <c r="D69" i="11"/>
  <c r="D61" i="11"/>
  <c r="D53" i="11"/>
  <c r="D45" i="11"/>
  <c r="D29" i="11"/>
  <c r="D13" i="11"/>
  <c r="D68" i="11"/>
  <c r="D64" i="11"/>
  <c r="D60" i="11"/>
  <c r="D56" i="11"/>
  <c r="D52" i="11"/>
  <c r="D48" i="11"/>
  <c r="D44" i="11"/>
  <c r="D40" i="11"/>
  <c r="D36" i="11"/>
  <c r="D32" i="11"/>
  <c r="D28" i="11"/>
  <c r="D24" i="11"/>
  <c r="D20" i="11"/>
  <c r="D16" i="11"/>
  <c r="D12" i="11"/>
  <c r="D67" i="11"/>
  <c r="D63" i="11"/>
  <c r="D59" i="11"/>
  <c r="D55" i="11"/>
  <c r="D51" i="11"/>
  <c r="D47" i="11"/>
  <c r="D43" i="11"/>
  <c r="D39" i="11"/>
  <c r="D35" i="11"/>
  <c r="D31" i="11"/>
  <c r="D27" i="11"/>
  <c r="D23" i="11"/>
  <c r="D19" i="11"/>
  <c r="D15" i="11"/>
  <c r="D11" i="11"/>
  <c r="D42" i="11"/>
  <c r="D38" i="11"/>
  <c r="D34" i="11"/>
  <c r="D30" i="11"/>
  <c r="D26" i="11"/>
  <c r="D22" i="11"/>
  <c r="D18" i="11"/>
  <c r="D14" i="11"/>
  <c r="E10" i="11" l="1"/>
</calcChain>
</file>

<file path=xl/sharedStrings.xml><?xml version="1.0" encoding="utf-8"?>
<sst xmlns="http://schemas.openxmlformats.org/spreadsheetml/2006/main" count="1098" uniqueCount="422">
  <si>
    <t>sin reporte SIGTE</t>
  </si>
  <si>
    <t>Resolucion de Lista de Espera VALECH de su universo de casos con tiempo de espera maximo 1 año por cada corte</t>
  </si>
  <si>
    <t>Resolucion de Lista de Espera SENAME de su universo de casos con tiempos de espera  maximo 1 año por cada corte</t>
  </si>
  <si>
    <t>Resolución del 10% de su Universo total al 31.12.2016</t>
  </si>
  <si>
    <t xml:space="preserve">Resolución del 100% de personas con fecha de ingreso = &lt; 2013 </t>
  </si>
  <si>
    <t>CORTE RESOLUCION ENERO - MARZO</t>
  </si>
  <si>
    <t>TOTALES COMGES 2018</t>
  </si>
  <si>
    <t>Resolución del 100% de su Universo total al 31.12.2016</t>
  </si>
  <si>
    <t>CORTE RESOLUCION OCTUBRE  - DICIEMBRE</t>
  </si>
  <si>
    <t>TOTAL A RESOLVER CORTE A SEPTIEMBRE</t>
  </si>
  <si>
    <t>Resolución del 70% de su Universo total al 31.12.2016</t>
  </si>
  <si>
    <t>Resolución del 100% de personas con fecha de ingreso = &lt; 2015</t>
  </si>
  <si>
    <t>CORTE RESOLUCION JULIO - SEPTIEMBRE</t>
  </si>
  <si>
    <t>TOTAL A RESOLVER CORTE A JUNIO</t>
  </si>
  <si>
    <t>Resolución del 40% de su Universo total al 31.12.2016</t>
  </si>
  <si>
    <t>Resolución del 100% de personas con fecha de ingreso = &lt; 2014</t>
  </si>
  <si>
    <t>CORTE RESOLUCION ABRIL - JUNIO</t>
  </si>
  <si>
    <t>TOTAL A RESOLVER CORTE A MARZO</t>
  </si>
  <si>
    <t>COMGES 2018
(&lt;= 2016)</t>
  </si>
  <si>
    <t>TOTAL LISTA ESPERA CNE</t>
  </si>
  <si>
    <t>SALAMANCA</t>
  </si>
  <si>
    <t>PUNITAQUI</t>
  </si>
  <si>
    <t>PAIHUANO</t>
  </si>
  <si>
    <t>OVALLE</t>
  </si>
  <si>
    <t>MONTE PATRIA</t>
  </si>
  <si>
    <t>LA SERENA</t>
  </si>
  <si>
    <t>LA HIGUERA</t>
  </si>
  <si>
    <t>ILLAPEL</t>
  </si>
  <si>
    <t>COQUIMBO</t>
  </si>
  <si>
    <t>CANELA</t>
  </si>
  <si>
    <t>VICUÑA</t>
  </si>
  <si>
    <t>LOS VILOS</t>
  </si>
  <si>
    <t>COMBARBALA</t>
  </si>
  <si>
    <t>ANDACOLLO</t>
  </si>
  <si>
    <t>HOSPITAL DE ILLAPEL</t>
  </si>
  <si>
    <t>HOSPITAL DE OVALLE</t>
  </si>
  <si>
    <t>HOSPITAL DE COQUIMBO</t>
  </si>
  <si>
    <t>HOSPITAL DE LA SERENA</t>
  </si>
  <si>
    <t>Año Entrada</t>
  </si>
  <si>
    <t>MINISTERIO DE SALUD</t>
  </si>
  <si>
    <t>SERVICIO DE SALUD COQUIMBO</t>
  </si>
  <si>
    <t>SUBDIRECCION DE GESTION ASISTENCIAL</t>
  </si>
  <si>
    <t>SUBDEPTO. DE ESTADISTICAS Y GESTION DE LA INFORMACION</t>
  </si>
  <si>
    <t>Indicador COMGES 3.1 Porcentaje de casos resueltos de Lista de Espera de Consulta Nueva de Especialidad Médica, ingresadas con fecha igual o anterior al 31 de diciembre del 2016.</t>
  </si>
  <si>
    <t>Meta Nacional al 2018</t>
  </si>
  <si>
    <t>1.-  Resolver el 100% de la Lista de Espera por Consulta Nueva de Especialidad Médica de personas Ingresadas con fecha igual o anterior al 31.12.2016</t>
  </si>
  <si>
    <t>FUENTE INFORMACION  RNLE  19.01.2018</t>
  </si>
  <si>
    <t>RNLE  19.01.2018 para Lines Base</t>
  </si>
  <si>
    <t xml:space="preserve">LISTA ESPERA CONSULTA NUEVA ESPECIALIDAD CORTE AL 31.12.2017 </t>
  </si>
  <si>
    <t>METAS</t>
  </si>
  <si>
    <t>EJECUCION
según corte</t>
  </si>
  <si>
    <t>% Ejecucion</t>
  </si>
  <si>
    <t>ESTABLECIMIENTO</t>
  </si>
  <si>
    <t>TOTAL
LISTA ESPERA
CIERRE DIC 2017</t>
  </si>
  <si>
    <t>LE &lt;=2015 IQ</t>
  </si>
  <si>
    <t>META COMGES
2° CORTE
JUNIO 2018
40%</t>
  </si>
  <si>
    <t>EGRESOS ADICIONALES a realizar por compromiso ministerial</t>
  </si>
  <si>
    <t>% Egreso COMGES</t>
  </si>
  <si>
    <t>% Egreso Adicional</t>
  </si>
  <si>
    <t>COMGES</t>
  </si>
  <si>
    <t>TOTAL LE IQ SS COQUIMBO</t>
  </si>
  <si>
    <t>HOSPITAL LA SERENA</t>
  </si>
  <si>
    <t>HOSPITAL DE LOS VILOS</t>
  </si>
  <si>
    <r>
      <rPr>
        <b/>
        <sz val="11"/>
        <color theme="1"/>
        <rFont val="Calibri"/>
        <family val="2"/>
        <scheme val="minor"/>
      </rPr>
      <t>Indicador COMGES 3.2</t>
    </r>
    <r>
      <rPr>
        <sz val="11"/>
        <color theme="1"/>
        <rFont val="Calibri"/>
        <family val="2"/>
        <scheme val="minor"/>
      </rPr>
      <t xml:space="preserve"> Porcentaje de casos resueltos de lista de espera por Intervenciones Quirúrgica Electiva, ingresados con fecha igual o anterior al 31 de diciembre del 2015.</t>
    </r>
  </si>
  <si>
    <r>
      <rPr>
        <b/>
        <sz val="11"/>
        <color theme="1"/>
        <rFont val="Calibri"/>
        <family val="2"/>
        <scheme val="minor"/>
      </rPr>
      <t>Meta Nacional al 2018</t>
    </r>
    <r>
      <rPr>
        <sz val="11"/>
        <color theme="1"/>
        <rFont val="Calibri"/>
        <family val="2"/>
        <scheme val="minor"/>
      </rPr>
      <t>: Resolver el 100% de la lista de espera quirúrgica electiva, de personas ingresadas con fecha igual o anterior al 31 de diciembre del 2015.</t>
    </r>
  </si>
  <si>
    <r>
      <rPr>
        <b/>
        <sz val="11"/>
        <color theme="1"/>
        <rFont val="Calibri"/>
        <family val="2"/>
        <scheme val="minor"/>
      </rPr>
      <t>Linea Base</t>
    </r>
    <r>
      <rPr>
        <sz val="11"/>
        <color theme="1"/>
        <rFont val="Calibri"/>
        <family val="2"/>
        <scheme val="minor"/>
      </rPr>
      <t xml:space="preserve"> RNLE  11-01-2018 </t>
    </r>
  </si>
  <si>
    <t>AÑOS</t>
  </si>
  <si>
    <t>HOSPITAL COQUIMBO</t>
  </si>
  <si>
    <t>HOSPITAL OVALLE</t>
  </si>
  <si>
    <t>HOPITAL ILLAPEL</t>
  </si>
  <si>
    <t>Total Servicio Salud</t>
  </si>
  <si>
    <t>TOTAL LISTA ESPERA CNE ODONTOLOGICA</t>
  </si>
  <si>
    <t>COMGES 2018
(&lt;= 2014)</t>
  </si>
  <si>
    <t xml:space="preserve">Resolución del 100% de personas con fecha de ingreso = &lt; 2011 </t>
  </si>
  <si>
    <t>Resolución del 10% de su Universo total al 31.12.2014</t>
  </si>
  <si>
    <t>Resolución del 100% de personas con fecha de ingreso = &lt; 2012</t>
  </si>
  <si>
    <t>Resolución del 40% de su Universo total al 31.12.2014</t>
  </si>
  <si>
    <t>Resolución del 100% de personas con fecha de ingreso = &lt; 2013</t>
  </si>
  <si>
    <t>Resolución del 70% de su Universo total al 31.12.2014</t>
  </si>
  <si>
    <t>Resolución del 100% de su Universo total al 31.12.2014</t>
  </si>
  <si>
    <t>HOSPITAL ANDACOLLO</t>
  </si>
  <si>
    <t>HOSPITAL SALAMANCA</t>
  </si>
  <si>
    <t xml:space="preserve">LISTA ESPERA CONSULTA NUEVA ESPECIALIDAD ODONTOLOGICA CORTE AL 31.12.2017 </t>
  </si>
  <si>
    <t>Evolución</t>
  </si>
  <si>
    <t>CORTE 17/01/2017</t>
  </si>
  <si>
    <t>CORTE 28/02/2017</t>
  </si>
  <si>
    <t>CORTE 21/03/2017</t>
  </si>
  <si>
    <t>CORTE 10/04/2017</t>
  </si>
  <si>
    <t>CORTE 23/05/2017</t>
  </si>
  <si>
    <t>CORTE 13/06/2017</t>
  </si>
  <si>
    <t>CORTE 11/07/2017</t>
  </si>
  <si>
    <t>CORTE 18/08/2017</t>
  </si>
  <si>
    <t>CORTE 26/09/2017</t>
  </si>
  <si>
    <t>CORTE 17/10/2017</t>
  </si>
  <si>
    <t>CORTE 28/11/2017</t>
  </si>
  <si>
    <t>CORTE 19/12/2017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</si>
  <si>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</si>
  <si>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</si>
  <si>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</si>
  <si>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</si>
  <si>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</si>
  <si>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</si>
  <si>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</si>
  <si>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</si>
  <si>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</si>
  <si>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</si>
  <si>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</si>
  <si>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</si>
  <si>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Hospital la Serena</t>
  </si>
  <si>
    <t>Hospital Coquimbo</t>
  </si>
  <si>
    <t>Hospital Ovalle</t>
  </si>
  <si>
    <t>Hospital Illapel</t>
  </si>
  <si>
    <t>APS</t>
  </si>
  <si>
    <t>Hospitales baja complejidad</t>
  </si>
  <si>
    <t>Evolucion 2017</t>
  </si>
  <si>
    <t>CORTE 02/01/2018</t>
  </si>
  <si>
    <t>CORTE 07/02/2018</t>
  </si>
  <si>
    <t>CORTE 06/03/2018</t>
  </si>
  <si>
    <t>CORTE 03/04/2018</t>
  </si>
  <si>
    <t>Evolucion 2018</t>
  </si>
  <si>
    <t>LE CNE según nivel y Especialidad Destino</t>
  </si>
  <si>
    <t>Total general</t>
  </si>
  <si>
    <t>MAYOR COMPLEJIDAD</t>
  </si>
  <si>
    <t>TRAUMATOLOGIA</t>
  </si>
  <si>
    <t>MEDICINA INTERNA</t>
  </si>
  <si>
    <t>GASTROENTEROLOGIA</t>
  </si>
  <si>
    <t>OBSTETRICIA</t>
  </si>
  <si>
    <t>TRASTORNOS TEMPOROMANDIBULARES Y DOLOR OROFACIAL</t>
  </si>
  <si>
    <t>CONSULTORIO</t>
  </si>
  <si>
    <t>UAPO Ovalle</t>
  </si>
  <si>
    <t>MEDIANA COMPLEJIDAD</t>
  </si>
  <si>
    <t>BAJA COMPLEJIDAD</t>
  </si>
  <si>
    <t>Establecimiento EAR</t>
  </si>
  <si>
    <t>Hospital Salamanca</t>
  </si>
  <si>
    <t>Hospital Combarbalá</t>
  </si>
  <si>
    <t>Hospital Andacollo</t>
  </si>
  <si>
    <t>Hospital Vicuña</t>
  </si>
  <si>
    <t>Hospital Los Vilos</t>
  </si>
  <si>
    <t>CIRUGIA OTORRINOLARINGOLOGIA</t>
  </si>
  <si>
    <t>UROLOGIA Y NEFROLOGIA</t>
  </si>
  <si>
    <t>GINECOLOGIA Y OBSTETRICIA</t>
  </si>
  <si>
    <t>CIRUGIA OFTALMICA</t>
  </si>
  <si>
    <t>CIRUGIA CARDIOVASCULAR</t>
  </si>
  <si>
    <t>NEUROLOGIA Y NEUROCIRUGIA</t>
  </si>
  <si>
    <t>DERMATOLOGI Y TEGUMANTOS</t>
  </si>
  <si>
    <t>CIRUGIA PLASTICA Y REPARADORA</t>
  </si>
  <si>
    <t>CIRUGIA CABEZA Y CUELLO</t>
  </si>
  <si>
    <t>HOSPITAL DE ANDACOLLO</t>
  </si>
  <si>
    <t>Grupo IQ</t>
  </si>
  <si>
    <r>
      <t xml:space="preserve">Indicador COMGES 3.3 Porcentaje de casos resueltos de Lista de Espera de Consulta Nueva de Especialidad Odontologíca </t>
    </r>
    <r>
      <rPr>
        <b/>
        <sz val="11"/>
        <color rgb="FFFF0000"/>
        <rFont val="Calibri"/>
        <family val="2"/>
      </rPr>
      <t>(Excluye Ortodoncia)</t>
    </r>
    <r>
      <rPr>
        <b/>
        <sz val="11"/>
        <color indexed="8"/>
        <rFont val="Calibri"/>
        <family val="2"/>
      </rPr>
      <t>, ingresadas con fecha igual o anterior al 31 de diciembre del 2014.</t>
    </r>
  </si>
  <si>
    <r>
      <t>Meta Nacional al 2018.-</t>
    </r>
    <r>
      <rPr>
        <sz val="11"/>
        <color theme="1"/>
        <rFont val="Calibri"/>
        <family val="2"/>
        <scheme val="minor"/>
      </rPr>
      <t xml:space="preserve">  Resolver el 100% de la Lista de Espera por Consulta Nueva de Especialidad Odontologica </t>
    </r>
    <r>
      <rPr>
        <sz val="11"/>
        <color rgb="FFFF0000"/>
        <rFont val="Calibri"/>
        <family val="2"/>
        <scheme val="minor"/>
      </rPr>
      <t>(Excluye Ortodoncia)</t>
    </r>
    <r>
      <rPr>
        <sz val="11"/>
        <color theme="1"/>
        <rFont val="Calibri"/>
        <family val="2"/>
        <scheme val="minor"/>
      </rPr>
      <t xml:space="preserve"> de personas Ingresadas con fecha igual o anterior al 31.12.2014</t>
    </r>
  </si>
  <si>
    <t>Hospital San Juan de Dios (La Serena)</t>
  </si>
  <si>
    <t>Hospital San Pablo (Coquimbo)</t>
  </si>
  <si>
    <t>Hospital Dr. Antonio Tirado Lanas (Ovalle)</t>
  </si>
  <si>
    <t>ODONTOLOGIA INDIFERENCIADO</t>
  </si>
  <si>
    <t>LE CN Odontologica según nivel y Especialidad Destino</t>
  </si>
  <si>
    <t>Hospital Dr. Humberto Elorza Cortés (Illapel)</t>
  </si>
  <si>
    <t>Hospital de Salamanca</t>
  </si>
  <si>
    <t>Centro de Salud Familiar Dr. Sergio Aguilar Delgado</t>
  </si>
  <si>
    <t>Centro de Salud Familiar Santa Cecilia</t>
  </si>
  <si>
    <t>Centro de Salud Familiar Marcos Macuada</t>
  </si>
  <si>
    <t>Centro de Salud Familiar Jorge Jordán Domic</t>
  </si>
  <si>
    <t>Centro de Salud Familiar Tongoy</t>
  </si>
  <si>
    <t>Centro Comunitario de Salud Familiar San José de la Dehesa</t>
  </si>
  <si>
    <t>Centro de Salud Familiar Cerrillos de Tamaya</t>
  </si>
  <si>
    <t>Centro de Salud Familiar San Juan</t>
  </si>
  <si>
    <t>Centro de Salud Familiar Punitaqui</t>
  </si>
  <si>
    <t>Centro de Salud Familiar La Higuera</t>
  </si>
  <si>
    <t>Centro de Salud Familiar Monte Patria</t>
  </si>
  <si>
    <t>Centro de Salud Familiar Carén</t>
  </si>
  <si>
    <t>Centro de Salud Familiar Canela</t>
  </si>
  <si>
    <t>Centro de Salud Familiar El Palqui</t>
  </si>
  <si>
    <t>LE CN Odontologica EAR</t>
  </si>
  <si>
    <t>LE CN Odontologica Mediana Complejidad</t>
  </si>
  <si>
    <t>LE CN Odontologica Baja Complejidad</t>
  </si>
  <si>
    <t>LE CN Odontologica CONSULTORIOAS</t>
  </si>
  <si>
    <t>Establecimiento Destino</t>
  </si>
  <si>
    <t xml:space="preserve">Lista espera Total IQ por Grupos </t>
  </si>
  <si>
    <t>Lista espera Total IQ por Establecimientos</t>
  </si>
  <si>
    <t>%</t>
  </si>
  <si>
    <t>1.</t>
  </si>
  <si>
    <t>GO Retrasadas Region</t>
  </si>
  <si>
    <t>GO Retrasadas Establecimiento</t>
  </si>
  <si>
    <t>PS Retrasados</t>
  </si>
  <si>
    <t>3.1</t>
  </si>
  <si>
    <t>Meta y Cumplimiento</t>
  </si>
  <si>
    <t>Por Nivel y Establecimiento</t>
  </si>
  <si>
    <t>3.2</t>
  </si>
  <si>
    <t>3.1.</t>
  </si>
  <si>
    <t>3.2.</t>
  </si>
  <si>
    <t>3.3</t>
  </si>
  <si>
    <t>3.3.</t>
  </si>
  <si>
    <t>EVOLUCION GARANTIAS DE OPORTUNIDAD RETRASADAS</t>
  </si>
  <si>
    <t>Total</t>
  </si>
  <si>
    <t>Lista de Espera CNE Establecimientos Mayor Complejidad</t>
  </si>
  <si>
    <t>Lista Espera CNE establecimiento de Mediana Complejidad</t>
  </si>
  <si>
    <t>Lista Espera CNE establecimiento de Baja Complejidad</t>
  </si>
  <si>
    <t>Problema de Salud</t>
  </si>
  <si>
    <t>TOTAL GES Retrasadas</t>
  </si>
  <si>
    <t>% Total</t>
  </si>
  <si>
    <t>1º</t>
  </si>
  <si>
    <t>Vicios de Refracción Sospecha Vicios de Refracción {decreto nº 228}</t>
  </si>
  <si>
    <t>2º</t>
  </si>
  <si>
    <t>Prevención Secundaria IRCT . {decreto n° 1/2010}</t>
  </si>
  <si>
    <t>3º</t>
  </si>
  <si>
    <t>Vicios de Refracción Otros Vicios de Refracción {decreto nº 228}</t>
  </si>
  <si>
    <t>4º</t>
  </si>
  <si>
    <t>Ortesis . {decreto nº 228}</t>
  </si>
  <si>
    <t>5º</t>
  </si>
  <si>
    <t>Salud Oral Integral de la Embarazada . {decreto n° 1/2010}</t>
  </si>
  <si>
    <t>6º</t>
  </si>
  <si>
    <t>Cáncer Cervicouterino Segmento Proceso de Diagnóstico {decreto nº 228}</t>
  </si>
  <si>
    <t>7º</t>
  </si>
  <si>
    <t>Retinopatía Diabética . {decreto nº 228}</t>
  </si>
  <si>
    <t>8º</t>
  </si>
  <si>
    <t>Colecistectomía Preventiva . {decreto nº 228}</t>
  </si>
  <si>
    <t>9º</t>
  </si>
  <si>
    <t>Displasia Luxante de Caderas . {decreto n° 1/2010}</t>
  </si>
  <si>
    <t>10º</t>
  </si>
  <si>
    <t>Cáncer de Mama Derecha {decreto nº 228}</t>
  </si>
  <si>
    <t>Estrabismo . {decreto nº 228}</t>
  </si>
  <si>
    <t>Catarátas Rama Unilateral Derecha {decreto nº 228}</t>
  </si>
  <si>
    <t>Marcapaso . {decreto nº 228}</t>
  </si>
  <si>
    <t>Cáncer de Mama Izquierda {decreto nº 228}</t>
  </si>
  <si>
    <t>Linfoma en Adultos .{decreto nº 228}</t>
  </si>
  <si>
    <t>Depresión . {decreto nº 228}</t>
  </si>
  <si>
    <t>Cardiopatías Congénitas Operables Proceso de Diagnóstico{decreto nº 228}</t>
  </si>
  <si>
    <t>Epilepsia no Refractaria 15 Años y Más . {decreto n° 1/2010}</t>
  </si>
  <si>
    <t>Diabetes Mellitus Tipo 2 . {decreto nº 228}</t>
  </si>
  <si>
    <t>Catarátas Rama Unilateral Izquierda{decreto nº 228}</t>
  </si>
  <si>
    <t>Cáncer Gástrico . {decreto nº 228}</t>
  </si>
  <si>
    <t>Alivio del Dolor . {decreto nº 228}</t>
  </si>
  <si>
    <t>Hipertensión Arterial . {decreto nº 228}</t>
  </si>
  <si>
    <t>Esquizofrenia . {decreto nº 228}</t>
  </si>
  <si>
    <t>Hiperplasia de Próstata . {decreto nº 228}</t>
  </si>
  <si>
    <t>VIH/SIDA . {decreto nº 1/2010}</t>
  </si>
  <si>
    <t>Cáncer de Testículo en Adultos Caso en Sospecha y Proceso de Diagnóstico{decreto nº 228}</t>
  </si>
  <si>
    <t>Catarátas Proceso de Diagnóstico {decreto nº 228}</t>
  </si>
  <si>
    <t>Cáncer Cervicouterino Pre-Invasor {decreto nº 228}</t>
  </si>
  <si>
    <t>Catarátas Rama Bilateral {decreto nº 228}</t>
  </si>
  <si>
    <t>Cáncer de Próstata . {decreto nº 228}</t>
  </si>
  <si>
    <t>Artrosis de Caderas Derecha {decreto nº 228}</t>
  </si>
  <si>
    <t>Cáncer Colorectal 15 Años y Más . {decreto n° 4/2013}</t>
  </si>
  <si>
    <t>Artrosis de Caderas Izquierda {decreto nº 228}</t>
  </si>
  <si>
    <t>Hipoacusia Bilateral Adulto Uso de Audífono Requerido . {decreto nº 44}</t>
  </si>
  <si>
    <t>Asma Bronquial 15 Años y Más . {decreto n° 1/2010}</t>
  </si>
  <si>
    <t>Artrosis de Cadera y/o Rodilla Leve o Moderada Artrosis de Cadera Leve o Moderada {decreto nº 44}</t>
  </si>
  <si>
    <t>Neumonía . {decreto nº 228}</t>
  </si>
  <si>
    <t>Hipoacusia bilateral del Prematuro . {decreto n° 1/2010}</t>
  </si>
  <si>
    <t>Cáncer de Testículo en Adultos Izquierda {decreto nº 228}</t>
  </si>
  <si>
    <t>Accidente Cerebrovascular . {decreto nº 228}</t>
  </si>
  <si>
    <t>Asma Bronquial . {decreto nº 228}</t>
  </si>
  <si>
    <t>Tratamiento Erradicación HELICOBACTER PYLORI . {decreto n° 4/2013}</t>
  </si>
  <si>
    <t>Analgesia del Parto . {decreto nº 44}</t>
  </si>
  <si>
    <t>ENFERMEDAD RENAL CRÓNICA ETAPA 4 Y 5 . {decreto nº 228}</t>
  </si>
  <si>
    <t>Fibrosis Quística . {decreto nº 44}</t>
  </si>
  <si>
    <t>Infarto Agudo del Miocardio Infarto Agudo del Miocardio {decreto nº 228}</t>
  </si>
  <si>
    <t>Enfermedad Pulmonar Obstructiva Crónica . {decreto nº 228}</t>
  </si>
  <si>
    <t>Leucemia Adulto Leucemia Crónica {decreto nº 44}</t>
  </si>
  <si>
    <t>Retinopatía del Prematuro . {decreto n° 1/2010}</t>
  </si>
  <si>
    <t>ENFERMEDAD RENAL CRÓNICA ETAPA 4 Y 5 . {decreto nº 170}</t>
  </si>
  <si>
    <t>Hipotiroidismo en Personas de 15 Años y Más . {decreto n° 4/2013}</t>
  </si>
  <si>
    <t>Trauma Ocular Grave . {decreto nº 44}</t>
  </si>
  <si>
    <t>Cáncer Cervicouterino Invasor {decreto nº 228}</t>
  </si>
  <si>
    <t>Tumores Primarios SNC . {decreto nº 44}</t>
  </si>
  <si>
    <t>Cáncer de Testículo en Adultos Derecha {decreto nº 228}</t>
  </si>
  <si>
    <t>Enfermedad de Parkinson . {decreto n° 1/2010}</t>
  </si>
  <si>
    <t>Diabetes Mellitus Tipo 1 Diabetes Mellitus I {decreto nº 228}</t>
  </si>
  <si>
    <t>Artritis Reumatoide . {decreto nº 44}</t>
  </si>
  <si>
    <t>Hernia Núcleo Pulposo Lumbar . {decreto nº 44}</t>
  </si>
  <si>
    <t>GES Retrasadas Región de Coquimbo</t>
  </si>
  <si>
    <t>Leucemia Adulto Leucemia Aguda {decreto nº 44}</t>
  </si>
  <si>
    <t>Artrosis de Cadera y/o Rodilla Leve o Moderada Artrosis de Rodilla Leve o Moderada {decreto nº 44}</t>
  </si>
  <si>
    <t>Infección Respiratoria Aguda . {decreto nº 228}</t>
  </si>
  <si>
    <t>Epilepsia No Refractaria . {decreto nº 228}</t>
  </si>
  <si>
    <t>Desprendimiento de Retina . {decreto nº 228}</t>
  </si>
  <si>
    <t>CORTE 08/05/2018</t>
  </si>
  <si>
    <t>CORTE 05/06/2018</t>
  </si>
  <si>
    <t>HOSPITALES</t>
  </si>
  <si>
    <t>COMUNAS APS</t>
  </si>
  <si>
    <t>Corte 30-05-2018 LE SIGTE</t>
  </si>
  <si>
    <t>Corte 30-05-201 Egresos SIGTE</t>
  </si>
  <si>
    <t>META MINSAL
25%
LE TOTAL 2017</t>
  </si>
  <si>
    <t>% Egresos TOTAL Compromiso MINSAL + COMGES 2018</t>
  </si>
  <si>
    <t>EGRESOS
COMGES 2018 (Anterior 2015)</t>
  </si>
  <si>
    <t>EGRESOS
Compromiso (2016 y 2017)
MINSAL</t>
  </si>
  <si>
    <t>Total Egresos</t>
  </si>
  <si>
    <t>Corte 30-05-2018</t>
  </si>
  <si>
    <t>% Disminucion</t>
  </si>
  <si>
    <t>Hospital San Pedro (Los Vilos)</t>
  </si>
  <si>
    <t>Hospital Dr. José Arraño (Andacollo)</t>
  </si>
  <si>
    <t>Hospital San Juan de Dios (Combarbalá)</t>
  </si>
  <si>
    <t>Hospital San Juan de Dios (Vicuña)</t>
  </si>
  <si>
    <t>Centro de Salud Familiar Juan Pablo II</t>
  </si>
  <si>
    <t>Centro de Salud Familiar Cardenal Caro</t>
  </si>
  <si>
    <t>Centro de Salud Familiar Dr. Emilio Schaffhauser</t>
  </si>
  <si>
    <t>Centro de Salud Familiar Las Compañías</t>
  </si>
  <si>
    <t>Centro de Salud Familiar Cardenal Raúl Silva Henríquez de La Serena</t>
  </si>
  <si>
    <t>Centro de Salud Familiar Paihuano</t>
  </si>
  <si>
    <t>Centro de Salud Familiar Tierras Blancas</t>
  </si>
  <si>
    <t>Centro de Salud Familiar Chañaral Alto</t>
  </si>
  <si>
    <t>Centro de Salud Familiar Pedro Aguirre Cerda</t>
  </si>
  <si>
    <t>Posta de Salud Rural Pintacura Sur</t>
  </si>
  <si>
    <t>Posta de Salud Rural San Agustín (Salamanca)</t>
  </si>
  <si>
    <t>Centro Comunitario de Salud Familiar Villa el Indio</t>
  </si>
  <si>
    <t>Centro Comunitario de Salud Familiar Lambert</t>
  </si>
  <si>
    <t>Posta de Salud Rural Tahuinco</t>
  </si>
  <si>
    <t>Posta de Salud Rural Camisa</t>
  </si>
  <si>
    <t>Posta de Salud Rural Cuncumén(Salamanca)</t>
  </si>
  <si>
    <t>Etiquetas de fila</t>
  </si>
  <si>
    <t>RIO HURTADO</t>
  </si>
  <si>
    <t>OTORRINOLARINGOLOGÍA</t>
  </si>
  <si>
    <t>CIRUGÍA GENERAL</t>
  </si>
  <si>
    <t>OFTALMOLOGÍA</t>
  </si>
  <si>
    <t>TRAUMATOLOGÍA Y ORTOPEDIA</t>
  </si>
  <si>
    <t>REHABILITACIÓN ORAL</t>
  </si>
  <si>
    <t>ENDODONCIA</t>
  </si>
  <si>
    <t>CARDIOLOGÍA</t>
  </si>
  <si>
    <t>NEUROLOGÍA ADULTO</t>
  </si>
  <si>
    <t>DERMATOLOGÍA</t>
  </si>
  <si>
    <t>PERIODONCIA</t>
  </si>
  <si>
    <t>CIRUGÍA BUCAL</t>
  </si>
  <si>
    <t>GINECOLOGÍA</t>
  </si>
  <si>
    <t>CIRUGÍA DE CABEZA, CUELLO Y MAXILOFACIAL</t>
  </si>
  <si>
    <t>UROLOGÍA</t>
  </si>
  <si>
    <t>NEUROLOGÍA PEDIÁTRICA</t>
  </si>
  <si>
    <t>GASTROENTEROLOGÍA ADULTO</t>
  </si>
  <si>
    <t>NEUROCIRUGÍA</t>
  </si>
  <si>
    <t>TRAUMATOLOGÍA Y ORTOPEDIA PEDIÁTRICA</t>
  </si>
  <si>
    <t>ODONTOPEDIATRÍA</t>
  </si>
  <si>
    <t>CIRUGÍA PEDIÁTRICA</t>
  </si>
  <si>
    <t>MEDICINA FÍSICA Y REHABILITACIÓN (FISIATRIA ADULTO)</t>
  </si>
  <si>
    <t>CARDIOLOGÍA PEDIÁTRICA</t>
  </si>
  <si>
    <t>ENDOCRINOLOGÍA ADULTO</t>
  </si>
  <si>
    <t>PEDIATRÍA</t>
  </si>
  <si>
    <t>NEFROLOGÍA ADULTO</t>
  </si>
  <si>
    <t>PSIQUIATRÍA ADULTO</t>
  </si>
  <si>
    <t>ENFERMEDADES RESPIRATORIAS DEL ADULTO (BRONCOPULMONAR)</t>
  </si>
  <si>
    <t>PSIQUIATRÍA PEDIÁTRICA Y DE LA ADOLESCENCIA</t>
  </si>
  <si>
    <t>REUMATOLOGÍA</t>
  </si>
  <si>
    <t>UROLOGÍA PEDIÁTRICA</t>
  </si>
  <si>
    <t>CIRUGÍA DE MAMA</t>
  </si>
  <si>
    <t>HEMATOLOGÍA</t>
  </si>
  <si>
    <t>CIRUGÍA VASCULAR PERIFÉRICA</t>
  </si>
  <si>
    <t>GASTROENTEROLOGÍA PEDIÁTRICA</t>
  </si>
  <si>
    <t>ENDOCRINOLOGÍA PEDIÁTRICA</t>
  </si>
  <si>
    <t>ENF. TRASMISIÓN SEXUAL</t>
  </si>
  <si>
    <t>MEDICINA FISICA Y REHABILITACIÓN PEDIÁTRICA (FISIATRIA PEDIATRICA)</t>
  </si>
  <si>
    <t>ONCOLOGÍA MÉDICA</t>
  </si>
  <si>
    <t>RADIOTERAPIA ONCOLÓGICA</t>
  </si>
  <si>
    <t>NEFROLOGÍA PEDIÁTRICO</t>
  </si>
  <si>
    <t>ENFERMEDADES RESPIRATORIAS PEDIÁTRICAS (BRONCOPULMONAR PEDIATRICO)</t>
  </si>
  <si>
    <t>REUMATOLOGÍA PEDIÁTRICA</t>
  </si>
  <si>
    <t>HEMATO-ONCOLOGÍA PEDIÁTRICA</t>
  </si>
  <si>
    <t>CIRUGÍA DIGESTIVA</t>
  </si>
  <si>
    <t>GINECOLOGÍA PEDIÁTRICA Y DE LA ADOLESCENCIA</t>
  </si>
  <si>
    <t>COLOPROCTOLOGÍA</t>
  </si>
  <si>
    <t>CIRUGÍA Y TRAUMATOLOGÍA BUCO MAXILOFACIAL</t>
  </si>
  <si>
    <t>CIRUGÍA PLÁSTICA Y REPARADORA</t>
  </si>
  <si>
    <t>CIRUGÍA DE TÓRAX</t>
  </si>
  <si>
    <t>SALUD OCUPACIONAL</t>
  </si>
  <si>
    <t>UAPO J. Pablo II</t>
  </si>
  <si>
    <t>Corte 15-05-2018</t>
  </si>
  <si>
    <t>Diferencia entre cortes</t>
  </si>
  <si>
    <t>Diferencia entre cortes HLS</t>
  </si>
  <si>
    <t>Diferencia entre cortes HCQ</t>
  </si>
  <si>
    <t>Diferencia entre cortes HOV</t>
  </si>
  <si>
    <t>Hospital Illapel Corte 15-05-2018</t>
  </si>
  <si>
    <t>Diferencia cortes</t>
  </si>
  <si>
    <t>Diferencia cortes HLV</t>
  </si>
  <si>
    <t>Diferencia cortes H Vicuña</t>
  </si>
  <si>
    <t>Diferencia cortes Hsalamanca</t>
  </si>
  <si>
    <t>Diferencia cortes Handacollo</t>
  </si>
  <si>
    <t>Diferencia cortes Hcombarbalá</t>
  </si>
  <si>
    <t>Diferencia corte TOTAL</t>
  </si>
  <si>
    <t>Centro de Salud Familiar Sotaquí</t>
  </si>
  <si>
    <t>Posta de Salud Rural Matancilla</t>
  </si>
  <si>
    <t>Posta de Salud Rural Tunga Norte</t>
  </si>
  <si>
    <t>Centro Comunitario de Salud Familiar Villa Alemania</t>
  </si>
  <si>
    <t>Lista Espera CNE MUNICIPIOS</t>
  </si>
  <si>
    <t>1.1</t>
  </si>
  <si>
    <t>1.2</t>
  </si>
  <si>
    <t>Corte 15-05-2015 HLS</t>
  </si>
  <si>
    <t>Corte 15-05-2016 HCQ</t>
  </si>
  <si>
    <t>Corte 15-05-2017 HOV</t>
  </si>
  <si>
    <t>Corte 15-05-2018 Total</t>
  </si>
  <si>
    <t>Corte 15-05-2015 Hillapel</t>
  </si>
  <si>
    <t>Corte 15-05-2015 Hsalamanca</t>
  </si>
  <si>
    <t>Corte 15-05-2015 Rehabilitacion Protesis remobible</t>
  </si>
  <si>
    <t>Corte 15-05-2015 Periodoncia</t>
  </si>
  <si>
    <t>Corte 15-05-2015 Odontopediatria</t>
  </si>
  <si>
    <t>Corte 15-05-2015 Rehabilitacion Protesis Fija</t>
  </si>
  <si>
    <t>Corte 14-06-2018 LE SIGTE</t>
  </si>
  <si>
    <t>Corte 14-06-2018 Egresos SIGTE</t>
  </si>
  <si>
    <t>Corte 30-06-2018 LE SIGTE</t>
  </si>
  <si>
    <t>Corte 30-06-2018 Egresos SIGTE</t>
  </si>
  <si>
    <t>PLAN MINISTERIAL 25%</t>
  </si>
  <si>
    <r>
      <t xml:space="preserve">CONSIDERA EGRESOS DESDE </t>
    </r>
    <r>
      <rPr>
        <b/>
        <u/>
        <sz val="11"/>
        <color rgb="FFFF0000"/>
        <rFont val="Calibri"/>
        <family val="2"/>
      </rPr>
      <t>15 MARZO HASTA FECHA CORTE</t>
    </r>
    <r>
      <rPr>
        <b/>
        <sz val="11"/>
        <color rgb="FFFF0000"/>
        <rFont val="Calibri"/>
        <family val="2"/>
      </rPr>
      <t xml:space="preserve"> PARA COMPROMISO MINISTERIAL</t>
    </r>
  </si>
  <si>
    <t>EGRESOS 2018</t>
  </si>
  <si>
    <t>% EGRESOS</t>
  </si>
  <si>
    <t>NO PLAN
(01-01-2018 AL 14-03-2018)</t>
  </si>
  <si>
    <t>SI PLAN
(15-03-2018 AL 30-06-2018)</t>
  </si>
  <si>
    <t>TOTAL</t>
  </si>
  <si>
    <t>% CUMPLIMIENTO PLAN</t>
  </si>
  <si>
    <t>% DISMINUCION TOTAL</t>
  </si>
  <si>
    <t>BRECHA A CUMPLIR A JULIO</t>
  </si>
  <si>
    <t>EGRESOS DESDE ENERO AL CORTE 30-06-2018</t>
  </si>
  <si>
    <t>Corte 30-06-2018</t>
  </si>
  <si>
    <t>Corte 03-05-2018</t>
  </si>
  <si>
    <t>Corte 07-06-2018</t>
  </si>
  <si>
    <t>Corte 23-04-2018</t>
  </si>
  <si>
    <t>Corte 14-06-2018</t>
  </si>
  <si>
    <t>Corte 17-05-2018</t>
  </si>
  <si>
    <t>Corte 10-05-2018</t>
  </si>
  <si>
    <t>Lista de Espera Consulta Nueva de Especialidad egion Coquimbo Corte 30-06-2018</t>
  </si>
  <si>
    <t>ANESTESIOLOGÍA</t>
  </si>
  <si>
    <t>UAPO Coquimbo</t>
  </si>
  <si>
    <t>Hospital Illapel Corte 30-05-2017</t>
  </si>
  <si>
    <t>Operatoria</t>
  </si>
  <si>
    <t>CORTE 09/07/2019</t>
  </si>
  <si>
    <t>Salud Oral . {decreto nº 228}</t>
  </si>
  <si>
    <t>Diabetes Mellitus Tipo 1 Descompensación - Diabetes Mellitus I {decreto nº 228}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</si>
</sst>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"/>
      <name val="Calibri"/>
      <family val="2"/>
    </font>
    <font>
      <sz val="11"/>
      <color rgb="FF0070C0"/>
      <name val="Calibri"/>
      <family val="2"/>
    </font>
    <font>
      <sz val="10"/>
      <color rgb="FF0070C0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name val="Arial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b/>
      <sz val="11"/>
      <color rgb="FFFFFF00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10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u/>
      <sz val="11"/>
      <color rgb="FFFF0000"/>
      <name val="Calibri"/>
      <family val="2"/>
    </font>
    <font>
      <b/>
      <sz val="1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16365C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10F5"/>
        <bgColor indexed="64"/>
      </patternFill>
    </fill>
    <fill>
      <patternFill patternType="solid">
        <fgColor rgb="FFF010F5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0.39997558519241921"/>
        <bgColor theme="0" tint="-0.14999847407452621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1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double">
        <color indexed="64"/>
      </left>
      <right style="thin">
        <color indexed="64"/>
      </right>
      <top style="double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hair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hair">
        <color indexed="64"/>
      </top>
      <bottom/>
      <diagonal/>
    </border>
    <border diagonalUp="1" diagonalDown="1">
      <left style="thin">
        <color indexed="64"/>
      </left>
      <right style="double">
        <color indexed="64"/>
      </right>
      <top style="hair">
        <color indexed="64"/>
      </top>
      <bottom/>
      <diagonal/>
    </border>
    <border diagonalUp="1" diagonalDown="1"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double">
        <color auto="1"/>
      </top>
      <bottom/>
      <diagonal/>
    </border>
    <border diagonalUp="1" diagonalDown="1"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hair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hair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hair">
        <color indexed="64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 diagonalUp="1" diagonalDown="1">
      <left/>
      <right style="thin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 style="double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double">
        <color indexed="64"/>
      </left>
      <right style="thin">
        <color indexed="64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 diagonalUp="1" diagonalDown="1"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</borders>
  <cellStyleXfs count="46">
    <xf numFmtId="0" fontId="0" fillId="0" borderId="0"/>
    <xf numFmtId="9" fontId="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78" applyNumberFormat="0" applyFill="0" applyAlignment="0" applyProtection="0"/>
    <xf numFmtId="0" fontId="43" fillId="0" borderId="79" applyNumberFormat="0" applyFill="0" applyAlignment="0" applyProtection="0"/>
    <xf numFmtId="0" fontId="44" fillId="0" borderId="80" applyNumberFormat="0" applyFill="0" applyAlignment="0" applyProtection="0"/>
    <xf numFmtId="0" fontId="44" fillId="0" borderId="0" applyNumberFormat="0" applyFill="0" applyBorder="0" applyAlignment="0" applyProtection="0"/>
    <xf numFmtId="0" fontId="45" fillId="22" borderId="0" applyNumberFormat="0" applyBorder="0" applyAlignment="0" applyProtection="0"/>
    <xf numFmtId="0" fontId="46" fillId="23" borderId="0" applyNumberFormat="0" applyBorder="0" applyAlignment="0" applyProtection="0"/>
    <xf numFmtId="0" fontId="47" fillId="25" borderId="81" applyNumberFormat="0" applyAlignment="0" applyProtection="0"/>
    <xf numFmtId="0" fontId="48" fillId="26" borderId="82" applyNumberFormat="0" applyAlignment="0" applyProtection="0"/>
    <xf numFmtId="0" fontId="49" fillId="26" borderId="81" applyNumberFormat="0" applyAlignment="0" applyProtection="0"/>
    <xf numFmtId="0" fontId="50" fillId="0" borderId="83" applyNumberFormat="0" applyFill="0" applyAlignment="0" applyProtection="0"/>
    <xf numFmtId="0" fontId="35" fillId="27" borderId="84" applyNumberFormat="0" applyAlignment="0" applyProtection="0"/>
    <xf numFmtId="0" fontId="2" fillId="0" borderId="0" applyNumberFormat="0" applyFill="0" applyBorder="0" applyAlignment="0" applyProtection="0"/>
    <xf numFmtId="0" fontId="1" fillId="28" borderId="85" applyNumberFormat="0" applyFont="0" applyAlignment="0" applyProtection="0"/>
    <xf numFmtId="0" fontId="51" fillId="0" borderId="0" applyNumberFormat="0" applyFill="0" applyBorder="0" applyAlignment="0" applyProtection="0"/>
    <xf numFmtId="0" fontId="3" fillId="0" borderId="86" applyNumberFormat="0" applyFill="0" applyAlignment="0" applyProtection="0"/>
    <xf numFmtId="0" fontId="5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2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52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52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52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52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53" fillId="24" borderId="0" applyNumberFormat="0" applyBorder="0" applyAlignment="0" applyProtection="0"/>
    <xf numFmtId="0" fontId="52" fillId="32" borderId="0" applyNumberFormat="0" applyBorder="0" applyAlignment="0" applyProtection="0"/>
    <xf numFmtId="0" fontId="52" fillId="36" borderId="0" applyNumberFormat="0" applyBorder="0" applyAlignment="0" applyProtection="0"/>
    <xf numFmtId="0" fontId="52" fillId="40" borderId="0" applyNumberFormat="0" applyBorder="0" applyAlignment="0" applyProtection="0"/>
    <xf numFmtId="0" fontId="52" fillId="44" borderId="0" applyNumberFormat="0" applyBorder="0" applyAlignment="0" applyProtection="0"/>
    <xf numFmtId="0" fontId="52" fillId="48" borderId="0" applyNumberFormat="0" applyBorder="0" applyAlignment="0" applyProtection="0"/>
    <xf numFmtId="0" fontId="52" fillId="52" borderId="0" applyNumberFormat="0" applyBorder="0" applyAlignment="0" applyProtection="0"/>
    <xf numFmtId="0" fontId="65" fillId="0" borderId="0"/>
    <xf numFmtId="9" fontId="65" fillId="0" borderId="0" applyFont="0" applyFill="0" applyBorder="0" applyAlignment="0" applyProtection="0"/>
    <xf numFmtId="0" fontId="60" fillId="0" borderId="0"/>
  </cellStyleXfs>
  <cellXfs count="736">
    <xf numFmtId="0" fontId="0" fillId="0" borderId="0" xfId="0"/>
    <xf numFmtId="3" fontId="0" fillId="0" borderId="0" xfId="0" applyNumberFormat="1"/>
    <xf numFmtId="3" fontId="5" fillId="3" borderId="1" xfId="0" applyNumberFormat="1" applyFont="1" applyFill="1" applyBorder="1" applyAlignment="1">
      <alignment horizontal="center"/>
    </xf>
    <xf numFmtId="3" fontId="7" fillId="0" borderId="1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3" fontId="8" fillId="4" borderId="5" xfId="0" applyNumberFormat="1" applyFont="1" applyFill="1" applyBorder="1" applyAlignment="1">
      <alignment horizontal="center" vertical="center"/>
    </xf>
    <xf numFmtId="3" fontId="9" fillId="4" borderId="5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0" fontId="3" fillId="0" borderId="9" xfId="0" applyFont="1" applyFill="1" applyBorder="1"/>
    <xf numFmtId="0" fontId="0" fillId="0" borderId="0" xfId="0" applyFill="1" applyBorder="1"/>
    <xf numFmtId="0" fontId="0" fillId="0" borderId="9" xfId="0" applyFill="1" applyBorder="1"/>
    <xf numFmtId="0" fontId="0" fillId="0" borderId="0" xfId="0" applyFont="1" applyFill="1" applyBorder="1"/>
    <xf numFmtId="0" fontId="6" fillId="0" borderId="9" xfId="0" applyFont="1" applyFill="1" applyBorder="1"/>
    <xf numFmtId="0" fontId="3" fillId="0" borderId="0" xfId="0" applyFont="1" applyFill="1" applyBorder="1"/>
    <xf numFmtId="0" fontId="7" fillId="0" borderId="0" xfId="0" applyFont="1"/>
    <xf numFmtId="0" fontId="6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9" fillId="0" borderId="1" xfId="0" applyFont="1" applyFill="1" applyBorder="1" applyAlignment="1">
      <alignment horizontal="left" vertical="center" wrapText="1"/>
    </xf>
    <xf numFmtId="3" fontId="0" fillId="4" borderId="1" xfId="0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 wrapText="1"/>
    </xf>
    <xf numFmtId="3" fontId="0" fillId="4" borderId="5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left" vertical="center" wrapText="1"/>
    </xf>
    <xf numFmtId="3" fontId="23" fillId="4" borderId="5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/>
    </xf>
    <xf numFmtId="3" fontId="7" fillId="3" borderId="1" xfId="0" applyNumberFormat="1" applyFont="1" applyFill="1" applyBorder="1" applyAlignment="1">
      <alignment horizontal="center"/>
    </xf>
    <xf numFmtId="0" fontId="0" fillId="0" borderId="0" xfId="0" applyFont="1"/>
    <xf numFmtId="0" fontId="0" fillId="0" borderId="1" xfId="0" applyBorder="1" applyAlignment="1">
      <alignment horizontal="center"/>
    </xf>
    <xf numFmtId="3" fontId="8" fillId="4" borderId="1" xfId="0" applyNumberFormat="1" applyFont="1" applyFill="1" applyBorder="1" applyAlignment="1">
      <alignment horizontal="center" vertical="center"/>
    </xf>
    <xf numFmtId="3" fontId="5" fillId="10" borderId="1" xfId="0" applyNumberFormat="1" applyFont="1" applyFill="1" applyBorder="1" applyAlignment="1">
      <alignment horizontal="center" vertical="center"/>
    </xf>
    <xf numFmtId="3" fontId="24" fillId="1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7" fillId="0" borderId="0" xfId="0" applyFont="1"/>
    <xf numFmtId="0" fontId="28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11" borderId="1" xfId="0" applyFont="1" applyFill="1" applyBorder="1" applyAlignment="1">
      <alignment horizontal="center" vertical="center" wrapText="1"/>
    </xf>
    <xf numFmtId="0" fontId="29" fillId="11" borderId="1" xfId="0" applyFont="1" applyFill="1" applyBorder="1" applyAlignment="1">
      <alignment horizontal="center" vertical="center"/>
    </xf>
    <xf numFmtId="0" fontId="3" fillId="5" borderId="10" xfId="0" applyFont="1" applyFill="1" applyBorder="1"/>
    <xf numFmtId="0" fontId="3" fillId="5" borderId="11" xfId="0" applyFont="1" applyFill="1" applyBorder="1"/>
    <xf numFmtId="0" fontId="0" fillId="0" borderId="16" xfId="0" applyBorder="1" applyAlignment="1">
      <alignment horizontal="left" indent="1"/>
    </xf>
    <xf numFmtId="0" fontId="0" fillId="0" borderId="17" xfId="0" applyNumberFormat="1" applyBorder="1"/>
    <xf numFmtId="0" fontId="0" fillId="0" borderId="18" xfId="0" applyNumberFormat="1" applyBorder="1"/>
    <xf numFmtId="0" fontId="0" fillId="0" borderId="19" xfId="0" applyBorder="1" applyAlignment="1">
      <alignment horizontal="left" indent="1"/>
    </xf>
    <xf numFmtId="0" fontId="0" fillId="0" borderId="20" xfId="0" applyNumberFormat="1" applyBorder="1"/>
    <xf numFmtId="0" fontId="0" fillId="0" borderId="21" xfId="0" applyNumberFormat="1" applyBorder="1"/>
    <xf numFmtId="0" fontId="3" fillId="12" borderId="13" xfId="0" applyFont="1" applyFill="1" applyBorder="1" applyAlignment="1">
      <alignment horizontal="left"/>
    </xf>
    <xf numFmtId="0" fontId="3" fillId="12" borderId="14" xfId="0" applyNumberFormat="1" applyFont="1" applyFill="1" applyBorder="1"/>
    <xf numFmtId="0" fontId="3" fillId="12" borderId="15" xfId="0" applyNumberFormat="1" applyFont="1" applyFill="1" applyBorder="1"/>
    <xf numFmtId="0" fontId="3" fillId="5" borderId="22" xfId="0" applyFont="1" applyFill="1" applyBorder="1" applyAlignment="1">
      <alignment horizontal="left"/>
    </xf>
    <xf numFmtId="0" fontId="3" fillId="5" borderId="23" xfId="0" applyNumberFormat="1" applyFont="1" applyFill="1" applyBorder="1"/>
    <xf numFmtId="0" fontId="3" fillId="5" borderId="24" xfId="0" applyNumberFormat="1" applyFont="1" applyFill="1" applyBorder="1"/>
    <xf numFmtId="0" fontId="3" fillId="5" borderId="25" xfId="0" applyFont="1" applyFill="1" applyBorder="1"/>
    <xf numFmtId="0" fontId="3" fillId="5" borderId="26" xfId="0" applyFont="1" applyFill="1" applyBorder="1"/>
    <xf numFmtId="0" fontId="3" fillId="5" borderId="13" xfId="0" applyFont="1" applyFill="1" applyBorder="1"/>
    <xf numFmtId="0" fontId="3" fillId="5" borderId="14" xfId="0" applyFont="1" applyFill="1" applyBorder="1"/>
    <xf numFmtId="0" fontId="3" fillId="5" borderId="15" xfId="0" applyFont="1" applyFill="1" applyBorder="1"/>
    <xf numFmtId="0" fontId="3" fillId="5" borderId="25" xfId="0" applyFont="1" applyFill="1" applyBorder="1" applyAlignment="1">
      <alignment horizontal="left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37" xfId="0" applyBorder="1" applyAlignment="1">
      <alignment horizontal="left" indent="1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Border="1" applyAlignment="1">
      <alignment horizontal="left" indent="1"/>
    </xf>
    <xf numFmtId="0" fontId="0" fillId="0" borderId="18" xfId="0" applyNumberFormat="1" applyBorder="1" applyAlignment="1">
      <alignment horizontal="center" vertical="center"/>
    </xf>
    <xf numFmtId="0" fontId="0" fillId="0" borderId="39" xfId="0" applyBorder="1" applyAlignment="1">
      <alignment horizontal="left" indent="1"/>
    </xf>
    <xf numFmtId="0" fontId="0" fillId="0" borderId="20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3" fillId="5" borderId="15" xfId="0" applyFont="1" applyFill="1" applyBorder="1" applyAlignment="1">
      <alignment horizontal="center" wrapText="1"/>
    </xf>
    <xf numFmtId="0" fontId="3" fillId="5" borderId="27" xfId="0" applyFont="1" applyFill="1" applyBorder="1" applyAlignment="1">
      <alignment horizontal="center" wrapText="1"/>
    </xf>
    <xf numFmtId="0" fontId="3" fillId="5" borderId="12" xfId="0" applyFont="1" applyFill="1" applyBorder="1" applyAlignment="1">
      <alignment horizontal="center" wrapText="1"/>
    </xf>
    <xf numFmtId="0" fontId="3" fillId="14" borderId="13" xfId="0" applyFont="1" applyFill="1" applyBorder="1"/>
    <xf numFmtId="0" fontId="3" fillId="14" borderId="14" xfId="0" applyFont="1" applyFill="1" applyBorder="1"/>
    <xf numFmtId="0" fontId="3" fillId="14" borderId="12" xfId="0" applyFont="1" applyFill="1" applyBorder="1" applyAlignment="1">
      <alignment horizontal="center" wrapText="1"/>
    </xf>
    <xf numFmtId="0" fontId="3" fillId="13" borderId="16" xfId="0" applyFont="1" applyFill="1" applyBorder="1" applyAlignment="1">
      <alignment horizontal="left"/>
    </xf>
    <xf numFmtId="0" fontId="3" fillId="13" borderId="17" xfId="0" applyNumberFormat="1" applyFont="1" applyFill="1" applyBorder="1"/>
    <xf numFmtId="0" fontId="3" fillId="13" borderId="18" xfId="0" applyNumberFormat="1" applyFont="1" applyFill="1" applyBorder="1"/>
    <xf numFmtId="0" fontId="3" fillId="5" borderId="27" xfId="0" applyFont="1" applyFill="1" applyBorder="1" applyAlignment="1">
      <alignment wrapText="1"/>
    </xf>
    <xf numFmtId="0" fontId="3" fillId="17" borderId="10" xfId="0" applyFont="1" applyFill="1" applyBorder="1"/>
    <xf numFmtId="0" fontId="3" fillId="17" borderId="11" xfId="0" applyFont="1" applyFill="1" applyBorder="1"/>
    <xf numFmtId="3" fontId="10" fillId="3" borderId="49" xfId="0" applyNumberFormat="1" applyFont="1" applyFill="1" applyBorder="1" applyAlignment="1">
      <alignment horizontal="center" vertical="center"/>
    </xf>
    <xf numFmtId="9" fontId="0" fillId="0" borderId="0" xfId="1" applyFont="1" applyAlignment="1">
      <alignment horizontal="left"/>
    </xf>
    <xf numFmtId="0" fontId="0" fillId="15" borderId="0" xfId="0" applyFill="1"/>
    <xf numFmtId="0" fontId="0" fillId="0" borderId="58" xfId="0" applyNumberFormat="1" applyBorder="1" applyAlignment="1">
      <alignment horizontal="center" vertical="center"/>
    </xf>
    <xf numFmtId="0" fontId="0" fillId="0" borderId="59" xfId="0" applyNumberFormat="1" applyBorder="1" applyAlignment="1">
      <alignment horizontal="center" vertical="center"/>
    </xf>
    <xf numFmtId="164" fontId="0" fillId="0" borderId="0" xfId="1" applyNumberFormat="1" applyFont="1"/>
    <xf numFmtId="0" fontId="3" fillId="14" borderId="25" xfId="0" applyFont="1" applyFill="1" applyBorder="1" applyAlignment="1">
      <alignment horizontal="left"/>
    </xf>
    <xf numFmtId="0" fontId="3" fillId="14" borderId="26" xfId="0" applyNumberFormat="1" applyFont="1" applyFill="1" applyBorder="1"/>
    <xf numFmtId="0" fontId="3" fillId="14" borderId="27" xfId="0" applyNumberFormat="1" applyFont="1" applyFill="1" applyBorder="1"/>
    <xf numFmtId="0" fontId="0" fillId="0" borderId="0" xfId="0" applyAlignment="1">
      <alignment horizontal="right"/>
    </xf>
    <xf numFmtId="0" fontId="0" fillId="18" borderId="0" xfId="0" applyFill="1"/>
    <xf numFmtId="0" fontId="0" fillId="18" borderId="18" xfId="0" applyNumberFormat="1" applyFill="1" applyBorder="1"/>
    <xf numFmtId="164" fontId="0" fillId="18" borderId="63" xfId="1" applyNumberFormat="1" applyFont="1" applyFill="1" applyBorder="1"/>
    <xf numFmtId="0" fontId="0" fillId="18" borderId="21" xfId="0" applyNumberFormat="1" applyFill="1" applyBorder="1"/>
    <xf numFmtId="0" fontId="0" fillId="0" borderId="65" xfId="0" applyNumberFormat="1" applyBorder="1"/>
    <xf numFmtId="0" fontId="0" fillId="0" borderId="66" xfId="0" applyNumberFormat="1" applyBorder="1"/>
    <xf numFmtId="0" fontId="0" fillId="18" borderId="55" xfId="0" applyNumberFormat="1" applyFill="1" applyBorder="1"/>
    <xf numFmtId="0" fontId="0" fillId="18" borderId="56" xfId="0" applyNumberFormat="1" applyFill="1" applyBorder="1"/>
    <xf numFmtId="164" fontId="0" fillId="18" borderId="46" xfId="1" applyNumberFormat="1" applyFont="1" applyFill="1" applyBorder="1"/>
    <xf numFmtId="0" fontId="3" fillId="17" borderId="12" xfId="0" applyFont="1" applyFill="1" applyBorder="1" applyAlignment="1">
      <alignment horizontal="center" vertical="center" wrapText="1"/>
    </xf>
    <xf numFmtId="164" fontId="0" fillId="18" borderId="67" xfId="1" applyNumberFormat="1" applyFont="1" applyFill="1" applyBorder="1"/>
    <xf numFmtId="0" fontId="3" fillId="18" borderId="68" xfId="0" applyNumberFormat="1" applyFont="1" applyFill="1" applyBorder="1"/>
    <xf numFmtId="0" fontId="0" fillId="0" borderId="13" xfId="0" applyBorder="1" applyAlignment="1">
      <alignment horizontal="left" indent="1"/>
    </xf>
    <xf numFmtId="0" fontId="0" fillId="0" borderId="14" xfId="0" applyNumberFormat="1" applyBorder="1"/>
    <xf numFmtId="0" fontId="0" fillId="18" borderId="15" xfId="0" applyNumberFormat="1" applyFill="1" applyBorder="1"/>
    <xf numFmtId="0" fontId="3" fillId="18" borderId="10" xfId="0" applyFont="1" applyFill="1" applyBorder="1" applyAlignment="1">
      <alignment horizontal="left"/>
    </xf>
    <xf numFmtId="0" fontId="3" fillId="18" borderId="11" xfId="0" applyNumberFormat="1" applyFont="1" applyFill="1" applyBorder="1"/>
    <xf numFmtId="0" fontId="37" fillId="0" borderId="0" xfId="0" applyFont="1"/>
    <xf numFmtId="0" fontId="33" fillId="0" borderId="0" xfId="0" applyFont="1"/>
    <xf numFmtId="9" fontId="33" fillId="0" borderId="0" xfId="1" applyFont="1"/>
    <xf numFmtId="0" fontId="0" fillId="0" borderId="64" xfId="0" applyNumberFormat="1" applyBorder="1"/>
    <xf numFmtId="9" fontId="0" fillId="18" borderId="54" xfId="1" applyNumberFormat="1" applyFont="1" applyFill="1" applyBorder="1"/>
    <xf numFmtId="9" fontId="0" fillId="18" borderId="55" xfId="1" applyNumberFormat="1" applyFont="1" applyFill="1" applyBorder="1"/>
    <xf numFmtId="0" fontId="0" fillId="18" borderId="54" xfId="0" applyNumberFormat="1" applyFill="1" applyBorder="1"/>
    <xf numFmtId="0" fontId="3" fillId="18" borderId="69" xfId="0" applyFont="1" applyFill="1" applyBorder="1" applyAlignment="1">
      <alignment horizontal="left"/>
    </xf>
    <xf numFmtId="0" fontId="3" fillId="18" borderId="7" xfId="0" applyNumberFormat="1" applyFont="1" applyFill="1" applyBorder="1"/>
    <xf numFmtId="0" fontId="32" fillId="16" borderId="10" xfId="0" applyFont="1" applyFill="1" applyBorder="1" applyAlignment="1">
      <alignment horizontal="left"/>
    </xf>
    <xf numFmtId="0" fontId="32" fillId="16" borderId="11" xfId="0" applyNumberFormat="1" applyFont="1" applyFill="1" applyBorder="1"/>
    <xf numFmtId="0" fontId="32" fillId="16" borderId="70" xfId="0" applyNumberFormat="1" applyFont="1" applyFill="1" applyBorder="1"/>
    <xf numFmtId="0" fontId="32" fillId="18" borderId="51" xfId="0" applyNumberFormat="1" applyFont="1" applyFill="1" applyBorder="1"/>
    <xf numFmtId="3" fontId="18" fillId="0" borderId="47" xfId="0" applyNumberFormat="1" applyFont="1" applyFill="1" applyBorder="1" applyAlignment="1">
      <alignment horizontal="center" vertical="center"/>
    </xf>
    <xf numFmtId="3" fontId="19" fillId="0" borderId="47" xfId="0" applyNumberFormat="1" applyFont="1" applyFill="1" applyBorder="1" applyAlignment="1">
      <alignment horizontal="center" vertical="center"/>
    </xf>
    <xf numFmtId="3" fontId="11" fillId="0" borderId="71" xfId="0" applyNumberFormat="1" applyFont="1" applyFill="1" applyBorder="1" applyAlignment="1">
      <alignment horizontal="center" vertical="center"/>
    </xf>
    <xf numFmtId="3" fontId="12" fillId="0" borderId="71" xfId="0" applyNumberFormat="1" applyFont="1" applyFill="1" applyBorder="1" applyAlignment="1">
      <alignment horizontal="center" vertical="center"/>
    </xf>
    <xf numFmtId="3" fontId="11" fillId="0" borderId="72" xfId="0" applyNumberFormat="1" applyFont="1" applyFill="1" applyBorder="1" applyAlignment="1">
      <alignment horizontal="center" vertical="center"/>
    </xf>
    <xf numFmtId="3" fontId="12" fillId="0" borderId="72" xfId="0" applyNumberFormat="1" applyFont="1" applyFill="1" applyBorder="1" applyAlignment="1">
      <alignment horizontal="center" vertical="center"/>
    </xf>
    <xf numFmtId="3" fontId="2" fillId="0" borderId="73" xfId="0" applyNumberFormat="1" applyFont="1" applyFill="1" applyBorder="1" applyAlignment="1">
      <alignment horizontal="center" vertical="center"/>
    </xf>
    <xf numFmtId="3" fontId="22" fillId="0" borderId="47" xfId="0" applyNumberFormat="1" applyFont="1" applyFill="1" applyBorder="1" applyAlignment="1">
      <alignment horizontal="center" vertical="center"/>
    </xf>
    <xf numFmtId="3" fontId="0" fillId="0" borderId="71" xfId="0" applyNumberFormat="1" applyFont="1" applyFill="1" applyBorder="1" applyAlignment="1">
      <alignment horizontal="center" vertical="center"/>
    </xf>
    <xf numFmtId="3" fontId="7" fillId="0" borderId="71" xfId="0" applyNumberFormat="1" applyFont="1" applyFill="1" applyBorder="1" applyAlignment="1">
      <alignment horizontal="center" vertical="center"/>
    </xf>
    <xf numFmtId="3" fontId="0" fillId="0" borderId="74" xfId="0" applyNumberFormat="1" applyFont="1" applyFill="1" applyBorder="1" applyAlignment="1">
      <alignment horizontal="center" vertical="center"/>
    </xf>
    <xf numFmtId="3" fontId="7" fillId="0" borderId="72" xfId="0" applyNumberFormat="1" applyFont="1" applyFill="1" applyBorder="1" applyAlignment="1">
      <alignment horizontal="center" vertical="center"/>
    </xf>
    <xf numFmtId="3" fontId="9" fillId="0" borderId="71" xfId="0" applyNumberFormat="1" applyFont="1" applyFill="1" applyBorder="1" applyAlignment="1">
      <alignment horizontal="center" vertical="center"/>
    </xf>
    <xf numFmtId="3" fontId="9" fillId="0" borderId="74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 wrapText="1"/>
    </xf>
    <xf numFmtId="0" fontId="35" fillId="19" borderId="1" xfId="0" applyFont="1" applyFill="1" applyBorder="1" applyAlignment="1">
      <alignment horizontal="center" vertical="center"/>
    </xf>
    <xf numFmtId="0" fontId="35" fillId="20" borderId="1" xfId="0" applyFont="1" applyFill="1" applyBorder="1" applyAlignment="1">
      <alignment horizontal="center" vertical="center" wrapText="1"/>
    </xf>
    <xf numFmtId="0" fontId="35" fillId="21" borderId="1" xfId="0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left"/>
    </xf>
    <xf numFmtId="0" fontId="39" fillId="5" borderId="1" xfId="0" applyNumberFormat="1" applyFont="1" applyFill="1" applyBorder="1" applyAlignment="1">
      <alignment horizontal="center"/>
    </xf>
    <xf numFmtId="10" fontId="39" fillId="1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0" fillId="18" borderId="0" xfId="0" applyFill="1" applyAlignment="1">
      <alignment horizontal="right"/>
    </xf>
    <xf numFmtId="0" fontId="0" fillId="15" borderId="0" xfId="0" applyFill="1" applyAlignment="1">
      <alignment horizontal="right"/>
    </xf>
    <xf numFmtId="0" fontId="0" fillId="13" borderId="0" xfId="0" applyFill="1" applyAlignment="1">
      <alignment horizontal="right"/>
    </xf>
    <xf numFmtId="0" fontId="0" fillId="13" borderId="0" xfId="0" applyFill="1"/>
    <xf numFmtId="0" fontId="6" fillId="3" borderId="4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0" fillId="0" borderId="0" xfId="0"/>
    <xf numFmtId="0" fontId="4" fillId="4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4" fillId="0" borderId="0" xfId="0" applyFont="1" applyAlignment="1">
      <alignment wrapText="1"/>
    </xf>
    <xf numFmtId="0" fontId="15" fillId="3" borderId="87" xfId="0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center" vertical="center"/>
    </xf>
    <xf numFmtId="0" fontId="15" fillId="0" borderId="89" xfId="0" applyFont="1" applyFill="1" applyBorder="1" applyAlignment="1">
      <alignment horizontal="center"/>
    </xf>
    <xf numFmtId="3" fontId="0" fillId="4" borderId="47" xfId="0" applyNumberFormat="1" applyFill="1" applyBorder="1" applyAlignment="1">
      <alignment horizontal="center" vertical="center"/>
    </xf>
    <xf numFmtId="0" fontId="0" fillId="4" borderId="47" xfId="0" applyNumberFormat="1" applyFill="1" applyBorder="1" applyAlignment="1">
      <alignment horizontal="center" vertical="center"/>
    </xf>
    <xf numFmtId="3" fontId="0" fillId="4" borderId="17" xfId="0" applyNumberFormat="1" applyFill="1" applyBorder="1" applyAlignment="1">
      <alignment horizontal="center" vertical="center"/>
    </xf>
    <xf numFmtId="0" fontId="0" fillId="4" borderId="17" xfId="0" applyNumberFormat="1" applyFill="1" applyBorder="1" applyAlignment="1">
      <alignment horizontal="center" vertical="center"/>
    </xf>
    <xf numFmtId="0" fontId="7" fillId="4" borderId="17" xfId="0" applyNumberFormat="1" applyFont="1" applyFill="1" applyBorder="1" applyAlignment="1">
      <alignment horizontal="center"/>
    </xf>
    <xf numFmtId="3" fontId="0" fillId="0" borderId="48" xfId="0" applyNumberForma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7" fillId="0" borderId="48" xfId="0" applyNumberFormat="1" applyFont="1" applyBorder="1" applyAlignment="1">
      <alignment horizontal="center"/>
    </xf>
    <xf numFmtId="0" fontId="15" fillId="4" borderId="90" xfId="0" applyFont="1" applyFill="1" applyBorder="1" applyAlignment="1">
      <alignment horizontal="center" vertical="center"/>
    </xf>
    <xf numFmtId="0" fontId="15" fillId="4" borderId="65" xfId="0" applyFont="1" applyFill="1" applyBorder="1" applyAlignment="1">
      <alignment horizontal="center" vertical="center"/>
    </xf>
    <xf numFmtId="0" fontId="15" fillId="0" borderId="91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left" vertical="center" wrapText="1"/>
    </xf>
    <xf numFmtId="0" fontId="19" fillId="0" borderId="65" xfId="0" applyFont="1" applyFill="1" applyBorder="1" applyAlignment="1">
      <alignment horizontal="left" vertical="center" wrapText="1"/>
    </xf>
    <xf numFmtId="0" fontId="19" fillId="0" borderId="91" xfId="0" applyFont="1" applyFill="1" applyBorder="1" applyAlignment="1">
      <alignment horizontal="left" vertical="center" wrapText="1"/>
    </xf>
    <xf numFmtId="0" fontId="21" fillId="0" borderId="90" xfId="0" applyFont="1" applyFill="1" applyBorder="1" applyAlignment="1">
      <alignment horizontal="left" vertical="center" wrapText="1"/>
    </xf>
    <xf numFmtId="0" fontId="21" fillId="0" borderId="65" xfId="0" applyFont="1" applyFill="1" applyBorder="1" applyAlignment="1">
      <alignment horizontal="left" vertical="center" wrapText="1"/>
    </xf>
    <xf numFmtId="0" fontId="21" fillId="0" borderId="91" xfId="0" applyFont="1" applyFill="1" applyBorder="1" applyAlignment="1">
      <alignment horizontal="left" vertical="center" wrapText="1"/>
    </xf>
    <xf numFmtId="0" fontId="21" fillId="0" borderId="89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17" fillId="0" borderId="93" xfId="0" applyFont="1" applyFill="1" applyBorder="1" applyAlignment="1">
      <alignment horizontal="center" vertical="center" textRotation="90" wrapText="1"/>
    </xf>
    <xf numFmtId="0" fontId="17" fillId="0" borderId="94" xfId="0" applyFont="1" applyFill="1" applyBorder="1" applyAlignment="1">
      <alignment horizontal="center" vertical="center" textRotation="90" wrapText="1"/>
    </xf>
    <xf numFmtId="3" fontId="0" fillId="4" borderId="95" xfId="0" applyNumberFormat="1" applyFill="1" applyBorder="1" applyAlignment="1">
      <alignment horizontal="center" vertical="center"/>
    </xf>
    <xf numFmtId="3" fontId="0" fillId="4" borderId="16" xfId="0" applyNumberFormat="1" applyFill="1" applyBorder="1" applyAlignment="1">
      <alignment horizontal="center" vertical="center"/>
    </xf>
    <xf numFmtId="0" fontId="7" fillId="4" borderId="18" xfId="0" applyNumberFormat="1" applyFont="1" applyFill="1" applyBorder="1" applyAlignment="1">
      <alignment horizontal="center"/>
    </xf>
    <xf numFmtId="3" fontId="0" fillId="0" borderId="97" xfId="0" applyNumberFormat="1" applyBorder="1" applyAlignment="1">
      <alignment horizontal="center" vertical="center"/>
    </xf>
    <xf numFmtId="0" fontId="7" fillId="0" borderId="98" xfId="0" applyNumberFormat="1" applyFont="1" applyBorder="1" applyAlignment="1">
      <alignment horizontal="center"/>
    </xf>
    <xf numFmtId="3" fontId="3" fillId="3" borderId="99" xfId="0" applyNumberFormat="1" applyFont="1" applyFill="1" applyBorder="1" applyAlignment="1">
      <alignment horizontal="center" vertical="center"/>
    </xf>
    <xf numFmtId="3" fontId="5" fillId="3" borderId="100" xfId="0" applyNumberFormat="1" applyFont="1" applyFill="1" applyBorder="1" applyAlignment="1">
      <alignment horizontal="center" vertical="center"/>
    </xf>
    <xf numFmtId="3" fontId="14" fillId="3" borderId="50" xfId="0" applyNumberFormat="1" applyFont="1" applyFill="1" applyBorder="1" applyAlignment="1">
      <alignment horizontal="center" vertical="center"/>
    </xf>
    <xf numFmtId="3" fontId="18" fillId="0" borderId="95" xfId="0" applyNumberFormat="1" applyFont="1" applyFill="1" applyBorder="1" applyAlignment="1">
      <alignment horizontal="center" vertical="center"/>
    </xf>
    <xf numFmtId="3" fontId="19" fillId="0" borderId="96" xfId="0" applyNumberFormat="1" applyFont="1" applyFill="1" applyBorder="1" applyAlignment="1">
      <alignment horizontal="center" vertical="center"/>
    </xf>
    <xf numFmtId="3" fontId="11" fillId="0" borderId="101" xfId="0" applyNumberFormat="1" applyFont="1" applyFill="1" applyBorder="1" applyAlignment="1">
      <alignment horizontal="center" vertical="center"/>
    </xf>
    <xf numFmtId="3" fontId="12" fillId="0" borderId="102" xfId="0" applyNumberFormat="1" applyFont="1" applyFill="1" applyBorder="1" applyAlignment="1">
      <alignment horizontal="center" vertical="center"/>
    </xf>
    <xf numFmtId="3" fontId="11" fillId="0" borderId="103" xfId="0" applyNumberFormat="1" applyFont="1" applyFill="1" applyBorder="1" applyAlignment="1">
      <alignment horizontal="center" vertical="center"/>
    </xf>
    <xf numFmtId="3" fontId="12" fillId="0" borderId="104" xfId="0" applyNumberFormat="1" applyFont="1" applyFill="1" applyBorder="1" applyAlignment="1">
      <alignment horizontal="center" vertical="center"/>
    </xf>
    <xf numFmtId="3" fontId="0" fillId="4" borderId="50" xfId="0" applyNumberFormat="1" applyFont="1" applyFill="1" applyBorder="1" applyAlignment="1">
      <alignment horizontal="center" vertical="center"/>
    </xf>
    <xf numFmtId="3" fontId="7" fillId="4" borderId="49" xfId="0" applyNumberFormat="1" applyFont="1" applyFill="1" applyBorder="1" applyAlignment="1">
      <alignment horizontal="center" vertical="center"/>
    </xf>
    <xf numFmtId="3" fontId="2" fillId="0" borderId="105" xfId="0" applyNumberFormat="1" applyFont="1" applyFill="1" applyBorder="1" applyAlignment="1">
      <alignment horizontal="center" vertical="center"/>
    </xf>
    <xf numFmtId="3" fontId="22" fillId="0" borderId="96" xfId="0" applyNumberFormat="1" applyFont="1" applyFill="1" applyBorder="1" applyAlignment="1">
      <alignment horizontal="center" vertical="center"/>
    </xf>
    <xf numFmtId="3" fontId="0" fillId="0" borderId="101" xfId="0" applyNumberFormat="1" applyFont="1" applyFill="1" applyBorder="1" applyAlignment="1">
      <alignment horizontal="center" vertical="center"/>
    </xf>
    <xf numFmtId="3" fontId="7" fillId="0" borderId="102" xfId="0" applyNumberFormat="1" applyFont="1" applyFill="1" applyBorder="1" applyAlignment="1">
      <alignment horizontal="center" vertical="center"/>
    </xf>
    <xf numFmtId="3" fontId="0" fillId="0" borderId="106" xfId="0" applyNumberFormat="1" applyFont="1" applyFill="1" applyBorder="1" applyAlignment="1">
      <alignment horizontal="center" vertical="center"/>
    </xf>
    <xf numFmtId="3" fontId="7" fillId="0" borderId="104" xfId="0" applyNumberFormat="1" applyFont="1" applyFill="1" applyBorder="1" applyAlignment="1">
      <alignment horizontal="center" vertical="center"/>
    </xf>
    <xf numFmtId="3" fontId="0" fillId="4" borderId="107" xfId="0" applyNumberFormat="1" applyFont="1" applyFill="1" applyBorder="1" applyAlignment="1">
      <alignment horizontal="center" vertical="center"/>
    </xf>
    <xf numFmtId="3" fontId="7" fillId="4" borderId="108" xfId="0" applyNumberFormat="1" applyFont="1" applyFill="1" applyBorder="1" applyAlignment="1">
      <alignment horizontal="center" vertical="center"/>
    </xf>
    <xf numFmtId="3" fontId="9" fillId="0" borderId="101" xfId="0" applyNumberFormat="1" applyFont="1" applyFill="1" applyBorder="1" applyAlignment="1">
      <alignment horizontal="center" vertical="center"/>
    </xf>
    <xf numFmtId="3" fontId="9" fillId="0" borderId="106" xfId="0" applyNumberFormat="1" applyFont="1" applyFill="1" applyBorder="1" applyAlignment="1">
      <alignment horizontal="center" vertical="center"/>
    </xf>
    <xf numFmtId="3" fontId="9" fillId="4" borderId="107" xfId="0" applyNumberFormat="1" applyFont="1" applyFill="1" applyBorder="1" applyAlignment="1">
      <alignment horizontal="center" vertical="center"/>
    </xf>
    <xf numFmtId="3" fontId="23" fillId="4" borderId="108" xfId="0" applyNumberFormat="1" applyFont="1" applyFill="1" applyBorder="1" applyAlignment="1">
      <alignment horizontal="center" vertical="center"/>
    </xf>
    <xf numFmtId="3" fontId="0" fillId="0" borderId="50" xfId="0" applyNumberFormat="1" applyFont="1" applyFill="1" applyBorder="1" applyAlignment="1">
      <alignment horizontal="center" vertical="center"/>
    </xf>
    <xf numFmtId="3" fontId="7" fillId="0" borderId="108" xfId="0" applyNumberFormat="1" applyFont="1" applyFill="1" applyBorder="1" applyAlignment="1">
      <alignment horizontal="center" vertical="center"/>
    </xf>
    <xf numFmtId="3" fontId="7" fillId="0" borderId="49" xfId="0" applyNumberFormat="1" applyFont="1" applyFill="1" applyBorder="1" applyAlignment="1">
      <alignment horizontal="center" vertical="center"/>
    </xf>
    <xf numFmtId="3" fontId="0" fillId="3" borderId="50" xfId="0" applyNumberFormat="1" applyFont="1" applyFill="1" applyBorder="1" applyAlignment="1">
      <alignment horizontal="center"/>
    </xf>
    <xf numFmtId="3" fontId="7" fillId="3" borderId="49" xfId="0" applyNumberFormat="1" applyFont="1" applyFill="1" applyBorder="1" applyAlignment="1">
      <alignment horizontal="center"/>
    </xf>
    <xf numFmtId="0" fontId="17" fillId="0" borderId="109" xfId="0" applyFont="1" applyFill="1" applyBorder="1" applyAlignment="1">
      <alignment horizontal="center" vertical="center" textRotation="90" wrapText="1"/>
    </xf>
    <xf numFmtId="3" fontId="0" fillId="4" borderId="90" xfId="0" applyNumberFormat="1" applyFill="1" applyBorder="1" applyAlignment="1">
      <alignment horizontal="center" vertical="center"/>
    </xf>
    <xf numFmtId="3" fontId="0" fillId="4" borderId="65" xfId="0" applyNumberFormat="1" applyFill="1" applyBorder="1" applyAlignment="1">
      <alignment horizontal="center" vertical="center"/>
    </xf>
    <xf numFmtId="3" fontId="0" fillId="0" borderId="91" xfId="0" applyNumberFormat="1" applyBorder="1" applyAlignment="1">
      <alignment horizontal="center" vertical="center"/>
    </xf>
    <xf numFmtId="3" fontId="3" fillId="3" borderId="87" xfId="0" applyNumberFormat="1" applyFont="1" applyFill="1" applyBorder="1" applyAlignment="1">
      <alignment horizontal="center" vertical="center"/>
    </xf>
    <xf numFmtId="3" fontId="14" fillId="3" borderId="4" xfId="0" applyNumberFormat="1" applyFont="1" applyFill="1" applyBorder="1" applyAlignment="1">
      <alignment horizontal="center" vertical="center"/>
    </xf>
    <xf numFmtId="3" fontId="18" fillId="0" borderId="90" xfId="0" applyNumberFormat="1" applyFont="1" applyFill="1" applyBorder="1" applyAlignment="1">
      <alignment horizontal="center" vertical="center"/>
    </xf>
    <xf numFmtId="3" fontId="11" fillId="0" borderId="110" xfId="0" applyNumberFormat="1" applyFont="1" applyFill="1" applyBorder="1" applyAlignment="1">
      <alignment horizontal="center" vertical="center"/>
    </xf>
    <xf numFmtId="3" fontId="11" fillId="0" borderId="111" xfId="0" applyNumberFormat="1" applyFont="1" applyFill="1" applyBorder="1" applyAlignment="1">
      <alignment horizontal="center" vertical="center"/>
    </xf>
    <xf numFmtId="3" fontId="0" fillId="4" borderId="4" xfId="0" applyNumberFormat="1" applyFont="1" applyFill="1" applyBorder="1" applyAlignment="1">
      <alignment horizontal="center" vertical="center"/>
    </xf>
    <xf numFmtId="3" fontId="2" fillId="0" borderId="112" xfId="0" applyNumberFormat="1" applyFont="1" applyFill="1" applyBorder="1" applyAlignment="1">
      <alignment horizontal="center" vertical="center"/>
    </xf>
    <xf numFmtId="3" fontId="0" fillId="0" borderId="110" xfId="0" applyNumberFormat="1" applyFont="1" applyFill="1" applyBorder="1" applyAlignment="1">
      <alignment horizontal="center" vertical="center"/>
    </xf>
    <xf numFmtId="3" fontId="0" fillId="0" borderId="113" xfId="0" applyNumberFormat="1" applyFont="1" applyFill="1" applyBorder="1" applyAlignment="1">
      <alignment horizontal="center" vertical="center"/>
    </xf>
    <xf numFmtId="3" fontId="0" fillId="4" borderId="114" xfId="0" applyNumberFormat="1" applyFont="1" applyFill="1" applyBorder="1" applyAlignment="1">
      <alignment horizontal="center" vertical="center"/>
    </xf>
    <xf numFmtId="3" fontId="9" fillId="0" borderId="110" xfId="0" applyNumberFormat="1" applyFont="1" applyFill="1" applyBorder="1" applyAlignment="1">
      <alignment horizontal="center" vertical="center"/>
    </xf>
    <xf numFmtId="3" fontId="9" fillId="0" borderId="113" xfId="0" applyNumberFormat="1" applyFont="1" applyFill="1" applyBorder="1" applyAlignment="1">
      <alignment horizontal="center" vertical="center"/>
    </xf>
    <xf numFmtId="3" fontId="9" fillId="4" borderId="114" xfId="0" applyNumberFormat="1" applyFont="1" applyFill="1" applyBorder="1" applyAlignment="1">
      <alignment horizontal="center" vertical="center"/>
    </xf>
    <xf numFmtId="3" fontId="0" fillId="0" borderId="4" xfId="0" applyNumberFormat="1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/>
    </xf>
    <xf numFmtId="0" fontId="17" fillId="0" borderId="51" xfId="0" applyFont="1" applyFill="1" applyBorder="1" applyAlignment="1">
      <alignment horizontal="center" vertical="center" wrapText="1"/>
    </xf>
    <xf numFmtId="3" fontId="0" fillId="0" borderId="55" xfId="0" applyNumberFormat="1" applyBorder="1"/>
    <xf numFmtId="3" fontId="0" fillId="0" borderId="52" xfId="0" applyNumberFormat="1" applyBorder="1"/>
    <xf numFmtId="3" fontId="0" fillId="0" borderId="61" xfId="0" applyNumberFormat="1" applyBorder="1"/>
    <xf numFmtId="3" fontId="0" fillId="0" borderId="60" xfId="0" applyNumberFormat="1" applyBorder="1"/>
    <xf numFmtId="3" fontId="0" fillId="4" borderId="115" xfId="0" applyNumberFormat="1" applyFill="1" applyBorder="1" applyAlignment="1">
      <alignment horizontal="center" vertical="center"/>
    </xf>
    <xf numFmtId="3" fontId="0" fillId="4" borderId="55" xfId="0" applyNumberFormat="1" applyFill="1" applyBorder="1" applyAlignment="1">
      <alignment horizontal="center" vertical="center"/>
    </xf>
    <xf numFmtId="3" fontId="0" fillId="0" borderId="116" xfId="0" applyNumberFormat="1" applyBorder="1" applyAlignment="1">
      <alignment horizontal="center" vertical="center"/>
    </xf>
    <xf numFmtId="3" fontId="3" fillId="3" borderId="117" xfId="0" applyNumberFormat="1" applyFont="1" applyFill="1" applyBorder="1" applyAlignment="1">
      <alignment horizontal="center" vertical="center"/>
    </xf>
    <xf numFmtId="3" fontId="14" fillId="3" borderId="118" xfId="0" applyNumberFormat="1" applyFont="1" applyFill="1" applyBorder="1" applyAlignment="1">
      <alignment horizontal="center" vertical="center"/>
    </xf>
    <xf numFmtId="3" fontId="0" fillId="16" borderId="19" xfId="0" applyNumberFormat="1" applyFont="1" applyFill="1" applyBorder="1" applyAlignment="1">
      <alignment horizontal="center"/>
    </xf>
    <xf numFmtId="3" fontId="0" fillId="16" borderId="20" xfId="0" applyNumberFormat="1" applyFont="1" applyFill="1" applyBorder="1" applyAlignment="1">
      <alignment horizontal="center"/>
    </xf>
    <xf numFmtId="3" fontId="0" fillId="16" borderId="21" xfId="0" applyNumberFormat="1" applyFont="1" applyFill="1" applyBorder="1" applyAlignment="1">
      <alignment horizontal="center"/>
    </xf>
    <xf numFmtId="0" fontId="56" fillId="6" borderId="4" xfId="0" applyFont="1" applyFill="1" applyBorder="1" applyAlignment="1" applyProtection="1">
      <alignment horizontal="center" vertical="center" wrapText="1"/>
    </xf>
    <xf numFmtId="0" fontId="56" fillId="6" borderId="1" xfId="0" applyFont="1" applyFill="1" applyBorder="1" applyAlignment="1" applyProtection="1">
      <alignment horizontal="center" vertical="center" wrapText="1"/>
    </xf>
    <xf numFmtId="0" fontId="57" fillId="7" borderId="1" xfId="0" applyFont="1" applyFill="1" applyBorder="1" applyAlignment="1" applyProtection="1">
      <alignment horizontal="center" vertical="center" wrapText="1"/>
    </xf>
    <xf numFmtId="0" fontId="59" fillId="6" borderId="1" xfId="0" applyFont="1" applyFill="1" applyBorder="1" applyAlignment="1" applyProtection="1">
      <alignment horizontal="center" vertical="center" wrapText="1"/>
    </xf>
    <xf numFmtId="3" fontId="61" fillId="2" borderId="1" xfId="0" applyNumberFormat="1" applyFont="1" applyFill="1" applyBorder="1" applyAlignment="1" applyProtection="1">
      <alignment horizontal="center" vertical="center"/>
    </xf>
    <xf numFmtId="0" fontId="0" fillId="0" borderId="122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123" xfId="0" applyBorder="1" applyAlignment="1">
      <alignment horizontal="left"/>
    </xf>
    <xf numFmtId="0" fontId="0" fillId="0" borderId="31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124" xfId="0" applyNumberFormat="1" applyBorder="1" applyAlignment="1">
      <alignment horizontal="center" vertical="center"/>
    </xf>
    <xf numFmtId="0" fontId="0" fillId="0" borderId="125" xfId="0" applyNumberFormat="1" applyBorder="1" applyAlignment="1">
      <alignment horizontal="center" vertical="center"/>
    </xf>
    <xf numFmtId="0" fontId="0" fillId="0" borderId="126" xfId="0" applyNumberFormat="1" applyBorder="1" applyAlignment="1">
      <alignment horizontal="center" vertical="center"/>
    </xf>
    <xf numFmtId="0" fontId="16" fillId="0" borderId="89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7" fillId="4" borderId="14" xfId="0" applyNumberFormat="1" applyFont="1" applyFill="1" applyBorder="1" applyAlignment="1">
      <alignment horizontal="center"/>
    </xf>
    <xf numFmtId="0" fontId="7" fillId="0" borderId="17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7" fillId="0" borderId="20" xfId="0" applyNumberFormat="1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6" fillId="4" borderId="37" xfId="0" applyFont="1" applyFill="1" applyBorder="1" applyAlignment="1">
      <alignment horizontal="center" vertical="center"/>
    </xf>
    <xf numFmtId="0" fontId="16" fillId="4" borderId="3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7" fillId="4" borderId="16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7" fillId="0" borderId="18" xfId="0" applyNumberFormat="1" applyFont="1" applyFill="1" applyBorder="1" applyAlignment="1">
      <alignment horizontal="center"/>
    </xf>
    <xf numFmtId="0" fontId="7" fillId="0" borderId="19" xfId="0" applyNumberFormat="1" applyFont="1" applyFill="1" applyBorder="1" applyAlignment="1">
      <alignment horizontal="center"/>
    </xf>
    <xf numFmtId="0" fontId="7" fillId="0" borderId="21" xfId="0" applyNumberFormat="1" applyFont="1" applyFill="1" applyBorder="1" applyAlignment="1">
      <alignment horizontal="center"/>
    </xf>
    <xf numFmtId="0" fontId="16" fillId="10" borderId="92" xfId="0" applyFont="1" applyFill="1" applyBorder="1" applyAlignment="1">
      <alignment horizontal="center" vertical="center" wrapText="1"/>
    </xf>
    <xf numFmtId="3" fontId="5" fillId="10" borderId="120" xfId="0" applyNumberFormat="1" applyFont="1" applyFill="1" applyBorder="1" applyAlignment="1">
      <alignment horizontal="center" vertical="center"/>
    </xf>
    <xf numFmtId="3" fontId="5" fillId="10" borderId="125" xfId="0" applyNumberFormat="1" applyFont="1" applyFill="1" applyBorder="1" applyAlignment="1">
      <alignment horizontal="center" vertical="center"/>
    </xf>
    <xf numFmtId="3" fontId="5" fillId="10" borderId="121" xfId="0" applyNumberFormat="1" applyFont="1" applyFill="1" applyBorder="1" applyAlignment="1">
      <alignment horizontal="center" vertical="center"/>
    </xf>
    <xf numFmtId="0" fontId="7" fillId="4" borderId="13" xfId="0" applyNumberFormat="1" applyFont="1" applyFill="1" applyBorder="1" applyAlignment="1">
      <alignment horizontal="center"/>
    </xf>
    <xf numFmtId="0" fontId="7" fillId="4" borderId="15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0" borderId="6" xfId="0" applyFont="1" applyFill="1" applyBorder="1" applyAlignment="1">
      <alignment horizontal="left" vertical="center" wrapText="1"/>
    </xf>
    <xf numFmtId="3" fontId="24" fillId="10" borderId="6" xfId="0" applyNumberFormat="1" applyFont="1" applyFill="1" applyBorder="1" applyAlignment="1">
      <alignment horizontal="center" vertical="center"/>
    </xf>
    <xf numFmtId="0" fontId="16" fillId="3" borderId="37" xfId="0" applyFont="1" applyFill="1" applyBorder="1" applyAlignment="1">
      <alignment horizontal="center" vertical="center" wrapText="1"/>
    </xf>
    <xf numFmtId="3" fontId="5" fillId="3" borderId="13" xfId="0" applyNumberFormat="1" applyFont="1" applyFill="1" applyBorder="1" applyAlignment="1">
      <alignment horizontal="center" vertical="center"/>
    </xf>
    <xf numFmtId="3" fontId="5" fillId="3" borderId="14" xfId="0" applyNumberFormat="1" applyFont="1" applyFill="1" applyBorder="1" applyAlignment="1">
      <alignment horizontal="center" vertical="center"/>
    </xf>
    <xf numFmtId="3" fontId="5" fillId="3" borderId="15" xfId="0" applyNumberFormat="1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 wrapText="1"/>
    </xf>
    <xf numFmtId="3" fontId="10" fillId="3" borderId="19" xfId="0" applyNumberFormat="1" applyFont="1" applyFill="1" applyBorder="1" applyAlignment="1">
      <alignment horizontal="center" vertical="center"/>
    </xf>
    <xf numFmtId="3" fontId="10" fillId="3" borderId="20" xfId="0" applyNumberFormat="1" applyFont="1" applyFill="1" applyBorder="1" applyAlignment="1">
      <alignment horizontal="center" vertical="center"/>
    </xf>
    <xf numFmtId="3" fontId="10" fillId="3" borderId="21" xfId="0" applyNumberFormat="1" applyFont="1" applyFill="1" applyBorder="1" applyAlignment="1">
      <alignment horizontal="center" vertical="center"/>
    </xf>
    <xf numFmtId="3" fontId="10" fillId="3" borderId="1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3" fontId="0" fillId="16" borderId="66" xfId="0" applyNumberFormat="1" applyFont="1" applyFill="1" applyBorder="1" applyAlignment="1">
      <alignment horizontal="center"/>
    </xf>
    <xf numFmtId="0" fontId="17" fillId="0" borderId="127" xfId="0" applyFont="1" applyFill="1" applyBorder="1" applyAlignment="1">
      <alignment horizontal="center" vertical="center" textRotation="90" wrapText="1"/>
    </xf>
    <xf numFmtId="0" fontId="9" fillId="0" borderId="52" xfId="0" applyFont="1" applyBorder="1"/>
    <xf numFmtId="0" fontId="9" fillId="0" borderId="53" xfId="0" applyFont="1" applyBorder="1"/>
    <xf numFmtId="0" fontId="63" fillId="0" borderId="54" xfId="0" applyFont="1" applyFill="1" applyBorder="1" applyAlignment="1">
      <alignment horizontal="left" vertical="center" wrapText="1"/>
    </xf>
    <xf numFmtId="0" fontId="63" fillId="0" borderId="60" xfId="0" applyFont="1" applyFill="1" applyBorder="1" applyAlignment="1">
      <alignment horizontal="center" vertical="center" wrapText="1"/>
    </xf>
    <xf numFmtId="0" fontId="63" fillId="0" borderId="117" xfId="0" applyFont="1" applyFill="1" applyBorder="1" applyAlignment="1">
      <alignment horizontal="left" vertical="center" wrapText="1"/>
    </xf>
    <xf numFmtId="0" fontId="63" fillId="0" borderId="130" xfId="0" applyFont="1" applyFill="1" applyBorder="1" applyAlignment="1">
      <alignment horizontal="left" vertical="center" wrapText="1"/>
    </xf>
    <xf numFmtId="3" fontId="0" fillId="16" borderId="121" xfId="0" applyNumberFormat="1" applyFill="1" applyBorder="1" applyAlignment="1">
      <alignment horizontal="center"/>
    </xf>
    <xf numFmtId="0" fontId="3" fillId="17" borderId="25" xfId="0" applyFont="1" applyFill="1" applyBorder="1" applyAlignment="1">
      <alignment horizontal="left"/>
    </xf>
    <xf numFmtId="0" fontId="3" fillId="17" borderId="26" xfId="0" applyNumberFormat="1" applyFont="1" applyFill="1" applyBorder="1"/>
    <xf numFmtId="0" fontId="3" fillId="17" borderId="27" xfId="0" applyNumberFormat="1" applyFont="1" applyFill="1" applyBorder="1"/>
    <xf numFmtId="0" fontId="3" fillId="5" borderId="13" xfId="0" applyFont="1" applyFill="1" applyBorder="1" applyAlignment="1">
      <alignment horizontal="left"/>
    </xf>
    <xf numFmtId="0" fontId="3" fillId="5" borderId="14" xfId="0" applyNumberFormat="1" applyFont="1" applyFill="1" applyBorder="1"/>
    <xf numFmtId="0" fontId="3" fillId="5" borderId="15" xfId="0" applyNumberFormat="1" applyFont="1" applyFill="1" applyBorder="1"/>
    <xf numFmtId="0" fontId="0" fillId="0" borderId="19" xfId="0" applyBorder="1"/>
    <xf numFmtId="0" fontId="0" fillId="0" borderId="20" xfId="0" applyBorder="1"/>
    <xf numFmtId="0" fontId="0" fillId="0" borderId="13" xfId="0" applyBorder="1"/>
    <xf numFmtId="0" fontId="0" fillId="0" borderId="16" xfId="0" applyBorder="1"/>
    <xf numFmtId="0" fontId="3" fillId="5" borderId="16" xfId="0" applyFont="1" applyFill="1" applyBorder="1"/>
    <xf numFmtId="0" fontId="3" fillId="5" borderId="17" xfId="0" applyFont="1" applyFill="1" applyBorder="1"/>
    <xf numFmtId="0" fontId="3" fillId="5" borderId="18" xfId="0" applyFont="1" applyFill="1" applyBorder="1"/>
    <xf numFmtId="0" fontId="0" fillId="0" borderId="37" xfId="0" applyBorder="1"/>
    <xf numFmtId="0" fontId="0" fillId="0" borderId="38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2" fillId="0" borderId="14" xfId="0" applyFont="1" applyBorder="1"/>
    <xf numFmtId="0" fontId="2" fillId="0" borderId="17" xfId="0" applyFont="1" applyBorder="1"/>
    <xf numFmtId="0" fontId="2" fillId="0" borderId="20" xfId="0" applyFont="1" applyBorder="1"/>
    <xf numFmtId="0" fontId="3" fillId="5" borderId="19" xfId="0" applyFont="1" applyFill="1" applyBorder="1" applyAlignment="1">
      <alignment horizontal="left"/>
    </xf>
    <xf numFmtId="0" fontId="3" fillId="5" borderId="20" xfId="0" applyNumberFormat="1" applyFont="1" applyFill="1" applyBorder="1"/>
    <xf numFmtId="0" fontId="3" fillId="5" borderId="21" xfId="0" applyNumberFormat="1" applyFont="1" applyFill="1" applyBorder="1"/>
    <xf numFmtId="0" fontId="0" fillId="12" borderId="19" xfId="0" applyFill="1" applyBorder="1"/>
    <xf numFmtId="0" fontId="0" fillId="12" borderId="20" xfId="0" applyFill="1" applyBorder="1"/>
    <xf numFmtId="0" fontId="0" fillId="12" borderId="21" xfId="0" applyFill="1" applyBorder="1"/>
    <xf numFmtId="0" fontId="3" fillId="12" borderId="16" xfId="0" applyFont="1" applyFill="1" applyBorder="1" applyAlignment="1">
      <alignment horizontal="left"/>
    </xf>
    <xf numFmtId="0" fontId="3" fillId="12" borderId="17" xfId="0" applyNumberFormat="1" applyFont="1" applyFill="1" applyBorder="1"/>
    <xf numFmtId="0" fontId="3" fillId="12" borderId="18" xfId="0" applyNumberFormat="1" applyFont="1" applyFill="1" applyBorder="1"/>
    <xf numFmtId="0" fontId="3" fillId="5" borderId="15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12" borderId="16" xfId="0" applyFill="1" applyBorder="1"/>
    <xf numFmtId="0" fontId="3" fillId="0" borderId="19" xfId="0" applyFont="1" applyBorder="1"/>
    <xf numFmtId="0" fontId="3" fillId="0" borderId="20" xfId="0" applyFont="1" applyBorder="1"/>
    <xf numFmtId="0" fontId="39" fillId="0" borderId="20" xfId="0" applyFont="1" applyBorder="1"/>
    <xf numFmtId="0" fontId="3" fillId="0" borderId="21" xfId="0" applyFont="1" applyBorder="1"/>
    <xf numFmtId="0" fontId="3" fillId="0" borderId="13" xfId="0" applyFont="1" applyFill="1" applyBorder="1" applyAlignment="1">
      <alignment horizontal="left"/>
    </xf>
    <xf numFmtId="0" fontId="3" fillId="0" borderId="14" xfId="0" applyNumberFormat="1" applyFont="1" applyFill="1" applyBorder="1"/>
    <xf numFmtId="0" fontId="3" fillId="0" borderId="15" xfId="0" applyNumberFormat="1" applyFont="1" applyFill="1" applyBorder="1"/>
    <xf numFmtId="0" fontId="3" fillId="0" borderId="16" xfId="0" applyFont="1" applyFill="1" applyBorder="1" applyAlignment="1">
      <alignment horizontal="left"/>
    </xf>
    <xf numFmtId="0" fontId="3" fillId="0" borderId="17" xfId="0" applyNumberFormat="1" applyFont="1" applyFill="1" applyBorder="1"/>
    <xf numFmtId="0" fontId="3" fillId="0" borderId="18" xfId="0" applyNumberFormat="1" applyFont="1" applyFill="1" applyBorder="1"/>
    <xf numFmtId="0" fontId="0" fillId="12" borderId="17" xfId="0" applyFill="1" applyBorder="1"/>
    <xf numFmtId="0" fontId="2" fillId="12" borderId="17" xfId="0" applyFont="1" applyFill="1" applyBorder="1"/>
    <xf numFmtId="0" fontId="0" fillId="12" borderId="18" xfId="0" applyFill="1" applyBorder="1"/>
    <xf numFmtId="0" fontId="0" fillId="12" borderId="16" xfId="0" applyFont="1" applyFill="1" applyBorder="1"/>
    <xf numFmtId="0" fontId="0" fillId="12" borderId="17" xfId="0" applyFont="1" applyFill="1" applyBorder="1"/>
    <xf numFmtId="0" fontId="0" fillId="12" borderId="18" xfId="0" applyFont="1" applyFill="1" applyBorder="1"/>
    <xf numFmtId="0" fontId="3" fillId="5" borderId="62" xfId="0" applyFont="1" applyFill="1" applyBorder="1"/>
    <xf numFmtId="0" fontId="60" fillId="0" borderId="47" xfId="0" applyFont="1" applyFill="1" applyBorder="1" applyAlignment="1" applyProtection="1">
      <alignment horizontal="left" vertical="center" wrapText="1"/>
    </xf>
    <xf numFmtId="0" fontId="60" fillId="0" borderId="47" xfId="0" applyFont="1" applyFill="1" applyBorder="1" applyAlignment="1" applyProtection="1">
      <alignment horizontal="center" vertical="center" wrapText="1"/>
    </xf>
    <xf numFmtId="3" fontId="61" fillId="0" borderId="47" xfId="0" applyNumberFormat="1" applyFont="1" applyFill="1" applyBorder="1" applyAlignment="1" applyProtection="1">
      <alignment horizontal="center" vertical="center"/>
    </xf>
    <xf numFmtId="3" fontId="62" fillId="0" borderId="47" xfId="0" applyNumberFormat="1" applyFont="1" applyFill="1" applyBorder="1" applyAlignment="1" applyProtection="1">
      <alignment horizontal="center" vertical="center"/>
    </xf>
    <xf numFmtId="0" fontId="60" fillId="0" borderId="17" xfId="0" applyFont="1" applyFill="1" applyBorder="1" applyAlignment="1" applyProtection="1">
      <alignment horizontal="left" vertical="center" wrapText="1"/>
    </xf>
    <xf numFmtId="0" fontId="60" fillId="0" borderId="17" xfId="0" applyFont="1" applyFill="1" applyBorder="1" applyAlignment="1" applyProtection="1">
      <alignment horizontal="center" vertical="center" wrapText="1"/>
    </xf>
    <xf numFmtId="3" fontId="61" fillId="0" borderId="17" xfId="0" applyNumberFormat="1" applyFont="1" applyFill="1" applyBorder="1" applyAlignment="1" applyProtection="1">
      <alignment horizontal="center" vertical="center"/>
    </xf>
    <xf numFmtId="3" fontId="62" fillId="0" borderId="17" xfId="0" applyNumberFormat="1" applyFont="1" applyFill="1" applyBorder="1" applyAlignment="1" applyProtection="1">
      <alignment horizontal="center" vertical="center"/>
    </xf>
    <xf numFmtId="0" fontId="60" fillId="0" borderId="48" xfId="0" applyFont="1" applyFill="1" applyBorder="1" applyAlignment="1" applyProtection="1">
      <alignment horizontal="left" vertical="center" wrapText="1"/>
    </xf>
    <xf numFmtId="0" fontId="60" fillId="0" borderId="48" xfId="0" applyFont="1" applyFill="1" applyBorder="1" applyAlignment="1" applyProtection="1">
      <alignment horizontal="center" vertical="center" wrapText="1"/>
    </xf>
    <xf numFmtId="3" fontId="61" fillId="0" borderId="48" xfId="0" applyNumberFormat="1" applyFont="1" applyFill="1" applyBorder="1" applyAlignment="1" applyProtection="1">
      <alignment horizontal="center" vertical="center"/>
    </xf>
    <xf numFmtId="3" fontId="14" fillId="2" borderId="4" xfId="0" applyNumberFormat="1" applyFont="1" applyFill="1" applyBorder="1" applyAlignment="1" applyProtection="1">
      <alignment horizontal="center" vertical="center"/>
    </xf>
    <xf numFmtId="0" fontId="57" fillId="7" borderId="50" xfId="0" applyFont="1" applyFill="1" applyBorder="1" applyAlignment="1" applyProtection="1">
      <alignment horizontal="center" vertical="center" wrapText="1"/>
    </xf>
    <xf numFmtId="0" fontId="57" fillId="7" borderId="49" xfId="0" applyFont="1" applyFill="1" applyBorder="1" applyAlignment="1" applyProtection="1">
      <alignment horizontal="center" vertical="center" wrapText="1"/>
    </xf>
    <xf numFmtId="3" fontId="61" fillId="2" borderId="50" xfId="0" applyNumberFormat="1" applyFont="1" applyFill="1" applyBorder="1" applyAlignment="1" applyProtection="1">
      <alignment horizontal="center" vertical="center"/>
    </xf>
    <xf numFmtId="3" fontId="62" fillId="0" borderId="95" xfId="0" applyNumberFormat="1" applyFont="1" applyFill="1" applyBorder="1" applyAlignment="1" applyProtection="1">
      <alignment horizontal="center" vertical="center"/>
    </xf>
    <xf numFmtId="3" fontId="61" fillId="8" borderId="96" xfId="0" applyNumberFormat="1" applyFont="1" applyFill="1" applyBorder="1" applyAlignment="1" applyProtection="1">
      <alignment horizontal="center" vertical="center"/>
    </xf>
    <xf numFmtId="3" fontId="62" fillId="0" borderId="16" xfId="0" applyNumberFormat="1" applyFont="1" applyFill="1" applyBorder="1" applyAlignment="1" applyProtection="1">
      <alignment horizontal="center" vertical="center"/>
    </xf>
    <xf numFmtId="3" fontId="61" fillId="8" borderId="18" xfId="0" applyNumberFormat="1" applyFont="1" applyFill="1" applyBorder="1" applyAlignment="1" applyProtection="1">
      <alignment horizontal="center" vertical="center"/>
    </xf>
    <xf numFmtId="3" fontId="62" fillId="0" borderId="19" xfId="0" applyNumberFormat="1" applyFont="1" applyFill="1" applyBorder="1" applyAlignment="1" applyProtection="1">
      <alignment horizontal="center" vertical="center"/>
    </xf>
    <xf numFmtId="3" fontId="62" fillId="0" borderId="20" xfId="0" applyNumberFormat="1" applyFont="1" applyFill="1" applyBorder="1" applyAlignment="1" applyProtection="1">
      <alignment horizontal="center" vertical="center"/>
    </xf>
    <xf numFmtId="3" fontId="61" fillId="8" borderId="21" xfId="0" applyNumberFormat="1" applyFont="1" applyFill="1" applyBorder="1" applyAlignment="1" applyProtection="1">
      <alignment horizontal="center" vertical="center"/>
    </xf>
    <xf numFmtId="0" fontId="58" fillId="6" borderId="50" xfId="0" applyFont="1" applyFill="1" applyBorder="1" applyAlignment="1" applyProtection="1">
      <alignment horizontal="center" vertical="center" wrapText="1"/>
    </xf>
    <xf numFmtId="0" fontId="56" fillId="6" borderId="49" xfId="0" applyFont="1" applyFill="1" applyBorder="1" applyAlignment="1" applyProtection="1">
      <alignment horizontal="center" vertical="center" wrapText="1"/>
    </xf>
    <xf numFmtId="9" fontId="36" fillId="9" borderId="50" xfId="1" applyFont="1" applyFill="1" applyBorder="1" applyAlignment="1" applyProtection="1">
      <alignment horizontal="center" vertical="center"/>
    </xf>
    <xf numFmtId="3" fontId="61" fillId="8" borderId="90" xfId="0" applyNumberFormat="1" applyFont="1" applyFill="1" applyBorder="1" applyAlignment="1" applyProtection="1">
      <alignment horizontal="center" vertical="center"/>
    </xf>
    <xf numFmtId="3" fontId="61" fillId="8" borderId="65" xfId="0" applyNumberFormat="1" applyFont="1" applyFill="1" applyBorder="1" applyAlignment="1" applyProtection="1">
      <alignment horizontal="center" vertical="center"/>
    </xf>
    <xf numFmtId="3" fontId="61" fillId="8" borderId="91" xfId="0" applyNumberFormat="1" applyFont="1" applyFill="1" applyBorder="1" applyAlignment="1" applyProtection="1">
      <alignment horizontal="center" vertical="center"/>
    </xf>
    <xf numFmtId="3" fontId="14" fillId="2" borderId="50" xfId="0" applyNumberFormat="1" applyFont="1" applyFill="1" applyBorder="1" applyAlignment="1" applyProtection="1">
      <alignment horizontal="center" vertical="center"/>
    </xf>
    <xf numFmtId="3" fontId="14" fillId="2" borderId="49" xfId="0" applyNumberFormat="1" applyFont="1" applyFill="1" applyBorder="1" applyAlignment="1" applyProtection="1">
      <alignment horizontal="center" vertical="center"/>
    </xf>
    <xf numFmtId="3" fontId="62" fillId="0" borderId="96" xfId="0" applyNumberFormat="1" applyFont="1" applyFill="1" applyBorder="1" applyAlignment="1" applyProtection="1">
      <alignment horizontal="center" vertical="center"/>
    </xf>
    <xf numFmtId="3" fontId="62" fillId="0" borderId="18" xfId="0" applyNumberFormat="1" applyFont="1" applyFill="1" applyBorder="1" applyAlignment="1" applyProtection="1">
      <alignment horizontal="center" vertical="center"/>
    </xf>
    <xf numFmtId="3" fontId="62" fillId="0" borderId="21" xfId="0" applyNumberFormat="1" applyFont="1" applyFill="1" applyBorder="1" applyAlignment="1" applyProtection="1">
      <alignment horizontal="center" vertical="center"/>
    </xf>
    <xf numFmtId="0" fontId="16" fillId="0" borderId="25" xfId="0" applyFont="1" applyFill="1" applyBorder="1" applyAlignment="1">
      <alignment horizontal="center" vertical="center" textRotation="90" wrapText="1"/>
    </xf>
    <xf numFmtId="0" fontId="16" fillId="0" borderId="26" xfId="0" applyFont="1" applyFill="1" applyBorder="1" applyAlignment="1">
      <alignment horizontal="center" vertical="center" textRotation="90" wrapText="1"/>
    </xf>
    <xf numFmtId="0" fontId="16" fillId="0" borderId="27" xfId="0" applyFont="1" applyFill="1" applyBorder="1" applyAlignment="1">
      <alignment horizontal="center" vertical="center" textRotation="90" wrapText="1"/>
    </xf>
    <xf numFmtId="0" fontId="16" fillId="0" borderId="27" xfId="0" applyFont="1" applyFill="1" applyBorder="1" applyAlignment="1">
      <alignment horizontal="center" vertical="center" textRotation="90"/>
    </xf>
    <xf numFmtId="0" fontId="63" fillId="0" borderId="43" xfId="0" applyFont="1" applyFill="1" applyBorder="1" applyAlignment="1">
      <alignment horizontal="left" vertical="center" wrapText="1"/>
    </xf>
    <xf numFmtId="0" fontId="21" fillId="13" borderId="13" xfId="0" applyFont="1" applyFill="1" applyBorder="1" applyAlignment="1">
      <alignment horizontal="left" vertical="center" wrapText="1"/>
    </xf>
    <xf numFmtId="0" fontId="0" fillId="13" borderId="14" xfId="0" applyFont="1" applyFill="1" applyBorder="1" applyAlignment="1">
      <alignment horizontal="center"/>
    </xf>
    <xf numFmtId="0" fontId="21" fillId="13" borderId="19" xfId="0" applyFont="1" applyFill="1" applyBorder="1" applyAlignment="1">
      <alignment horizontal="left" vertical="center" wrapText="1"/>
    </xf>
    <xf numFmtId="0" fontId="0" fillId="13" borderId="20" xfId="0" applyFont="1" applyFill="1" applyBorder="1" applyAlignment="1">
      <alignment horizontal="center"/>
    </xf>
    <xf numFmtId="3" fontId="0" fillId="13" borderId="20" xfId="0" applyNumberFormat="1" applyFont="1" applyFill="1" applyBorder="1" applyAlignment="1">
      <alignment horizontal="center"/>
    </xf>
    <xf numFmtId="0" fontId="63" fillId="0" borderId="13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center"/>
    </xf>
    <xf numFmtId="0" fontId="63" fillId="0" borderId="19" xfId="0" applyFont="1" applyFill="1" applyBorder="1" applyAlignment="1">
      <alignment horizontal="center" vertical="center" wrapText="1"/>
    </xf>
    <xf numFmtId="9" fontId="63" fillId="0" borderId="20" xfId="1" applyFont="1" applyFill="1" applyBorder="1" applyAlignment="1">
      <alignment horizontal="center" vertical="center"/>
    </xf>
    <xf numFmtId="0" fontId="63" fillId="0" borderId="41" xfId="0" applyFont="1" applyFill="1" applyBorder="1" applyAlignment="1">
      <alignment horizontal="left" vertical="center" wrapText="1"/>
    </xf>
    <xf numFmtId="0" fontId="63" fillId="0" borderId="19" xfId="0" applyFont="1" applyFill="1" applyBorder="1" applyAlignment="1">
      <alignment horizontal="left" vertical="center" wrapText="1"/>
    </xf>
    <xf numFmtId="0" fontId="0" fillId="13" borderId="64" xfId="0" applyFont="1" applyFill="1" applyBorder="1" applyAlignment="1">
      <alignment horizontal="center"/>
    </xf>
    <xf numFmtId="3" fontId="0" fillId="13" borderId="66" xfId="0" applyNumberFormat="1" applyFont="1" applyFill="1" applyBorder="1" applyAlignment="1">
      <alignment horizontal="center"/>
    </xf>
    <xf numFmtId="0" fontId="0" fillId="0" borderId="64" xfId="0" applyFont="1" applyBorder="1" applyAlignment="1">
      <alignment horizontal="center"/>
    </xf>
    <xf numFmtId="9" fontId="63" fillId="0" borderId="66" xfId="1" applyFont="1" applyFill="1" applyBorder="1" applyAlignment="1">
      <alignment horizontal="center" vertical="center"/>
    </xf>
    <xf numFmtId="0" fontId="9" fillId="0" borderId="118" xfId="0" applyFont="1" applyBorder="1"/>
    <xf numFmtId="0" fontId="9" fillId="0" borderId="130" xfId="0" applyFont="1" applyBorder="1"/>
    <xf numFmtId="0" fontId="63" fillId="0" borderId="22" xfId="0" applyFont="1" applyFill="1" applyBorder="1" applyAlignment="1">
      <alignment horizontal="left" vertical="center" wrapText="1"/>
    </xf>
    <xf numFmtId="9" fontId="64" fillId="0" borderId="128" xfId="1" applyFont="1" applyFill="1" applyBorder="1" applyAlignment="1">
      <alignment horizontal="center" vertical="center"/>
    </xf>
    <xf numFmtId="9" fontId="23" fillId="0" borderId="128" xfId="1" applyFont="1" applyFill="1" applyBorder="1" applyAlignment="1">
      <alignment horizontal="center" vertical="center"/>
    </xf>
    <xf numFmtId="0" fontId="0" fillId="16" borderId="13" xfId="0" applyFont="1" applyFill="1" applyBorder="1" applyAlignment="1">
      <alignment horizontal="center"/>
    </xf>
    <xf numFmtId="0" fontId="0" fillId="16" borderId="14" xfId="0" applyFont="1" applyFill="1" applyBorder="1" applyAlignment="1">
      <alignment horizontal="center"/>
    </xf>
    <xf numFmtId="0" fontId="0" fillId="16" borderId="64" xfId="0" applyFont="1" applyFill="1" applyBorder="1" applyAlignment="1">
      <alignment horizontal="center"/>
    </xf>
    <xf numFmtId="0" fontId="0" fillId="16" borderId="15" xfId="0" applyFont="1" applyFill="1" applyBorder="1" applyAlignment="1">
      <alignment horizontal="center"/>
    </xf>
    <xf numFmtId="0" fontId="0" fillId="16" borderId="120" xfId="0" applyFont="1" applyFill="1" applyBorder="1" applyAlignment="1">
      <alignment horizontal="center"/>
    </xf>
    <xf numFmtId="0" fontId="3" fillId="53" borderId="62" xfId="0" applyFont="1" applyFill="1" applyBorder="1" applyAlignment="1">
      <alignment horizontal="left"/>
    </xf>
    <xf numFmtId="0" fontId="3" fillId="53" borderId="34" xfId="0" applyNumberFormat="1" applyFont="1" applyFill="1" applyBorder="1" applyAlignment="1">
      <alignment horizontal="center" vertical="center"/>
    </xf>
    <xf numFmtId="0" fontId="3" fillId="53" borderId="35" xfId="0" applyNumberFormat="1" applyFont="1" applyFill="1" applyBorder="1" applyAlignment="1">
      <alignment horizontal="center" vertical="center"/>
    </xf>
    <xf numFmtId="0" fontId="3" fillId="53" borderId="36" xfId="0" applyNumberFormat="1" applyFont="1" applyFill="1" applyBorder="1" applyAlignment="1">
      <alignment horizontal="center" vertical="center"/>
    </xf>
    <xf numFmtId="0" fontId="3" fillId="53" borderId="45" xfId="0" applyNumberFormat="1" applyFont="1" applyFill="1" applyBorder="1" applyAlignment="1">
      <alignment horizontal="center" vertical="center"/>
    </xf>
    <xf numFmtId="9" fontId="3" fillId="53" borderId="43" xfId="1" applyFont="1" applyFill="1" applyBorder="1" applyAlignment="1">
      <alignment horizontal="center" vertical="center"/>
    </xf>
    <xf numFmtId="0" fontId="3" fillId="53" borderId="62" xfId="0" applyFont="1" applyFill="1" applyBorder="1"/>
    <xf numFmtId="0" fontId="3" fillId="53" borderId="34" xfId="0" applyFont="1" applyFill="1" applyBorder="1" applyAlignment="1">
      <alignment horizontal="center" vertical="center"/>
    </xf>
    <xf numFmtId="0" fontId="3" fillId="53" borderId="35" xfId="0" applyFont="1" applyFill="1" applyBorder="1" applyAlignment="1">
      <alignment horizontal="center" vertical="center"/>
    </xf>
    <xf numFmtId="0" fontId="3" fillId="53" borderId="36" xfId="0" applyFont="1" applyFill="1" applyBorder="1" applyAlignment="1">
      <alignment horizontal="center" vertical="center"/>
    </xf>
    <xf numFmtId="0" fontId="3" fillId="53" borderId="45" xfId="0" applyFont="1" applyFill="1" applyBorder="1" applyAlignment="1">
      <alignment horizontal="center" vertical="center"/>
    </xf>
    <xf numFmtId="0" fontId="3" fillId="53" borderId="43" xfId="0" applyFont="1" applyFill="1" applyBorder="1" applyAlignment="1">
      <alignment horizontal="center" vertical="center"/>
    </xf>
    <xf numFmtId="9" fontId="3" fillId="11" borderId="54" xfId="1" applyFont="1" applyFill="1" applyBorder="1" applyAlignment="1">
      <alignment horizontal="center" vertical="center"/>
    </xf>
    <xf numFmtId="9" fontId="3" fillId="11" borderId="55" xfId="1" applyFont="1" applyFill="1" applyBorder="1" applyAlignment="1">
      <alignment horizontal="center" vertical="center"/>
    </xf>
    <xf numFmtId="9" fontId="3" fillId="11" borderId="60" xfId="1" applyFont="1" applyFill="1" applyBorder="1" applyAlignment="1">
      <alignment horizontal="center" vertical="center"/>
    </xf>
    <xf numFmtId="0" fontId="3" fillId="53" borderId="40" xfId="0" applyFont="1" applyFill="1" applyBorder="1"/>
    <xf numFmtId="0" fontId="3" fillId="53" borderId="11" xfId="0" applyFont="1" applyFill="1" applyBorder="1" applyAlignment="1">
      <alignment horizontal="center" vertical="center"/>
    </xf>
    <xf numFmtId="0" fontId="3" fillId="53" borderId="12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left"/>
    </xf>
    <xf numFmtId="0" fontId="3" fillId="11" borderId="26" xfId="0" applyNumberFormat="1" applyFont="1" applyFill="1" applyBorder="1" applyAlignment="1">
      <alignment horizontal="center" vertical="center"/>
    </xf>
    <xf numFmtId="0" fontId="3" fillId="11" borderId="27" xfId="0" applyNumberFormat="1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left"/>
    </xf>
    <xf numFmtId="0" fontId="3" fillId="11" borderId="14" xfId="0" applyNumberFormat="1" applyFont="1" applyFill="1" applyBorder="1" applyAlignment="1">
      <alignment horizontal="center" vertical="center"/>
    </xf>
    <xf numFmtId="0" fontId="3" fillId="11" borderId="15" xfId="0" applyNumberFormat="1" applyFont="1" applyFill="1" applyBorder="1" applyAlignment="1">
      <alignment horizontal="center" vertical="center"/>
    </xf>
    <xf numFmtId="9" fontId="3" fillId="11" borderId="51" xfId="1" applyFont="1" applyFill="1" applyBorder="1" applyAlignment="1">
      <alignment horizontal="center" vertical="center"/>
    </xf>
    <xf numFmtId="164" fontId="3" fillId="11" borderId="51" xfId="1" applyNumberFormat="1" applyFont="1" applyFill="1" applyBorder="1" applyAlignment="1">
      <alignment vertical="center"/>
    </xf>
    <xf numFmtId="0" fontId="3" fillId="5" borderId="22" xfId="0" applyFont="1" applyFill="1" applyBorder="1"/>
    <xf numFmtId="0" fontId="3" fillId="5" borderId="23" xfId="0" applyFont="1" applyFill="1" applyBorder="1"/>
    <xf numFmtId="0" fontId="3" fillId="5" borderId="24" xfId="0" applyFont="1" applyFill="1" applyBorder="1" applyAlignment="1">
      <alignment horizontal="center" wrapText="1"/>
    </xf>
    <xf numFmtId="0" fontId="3" fillId="5" borderId="19" xfId="0" applyNumberFormat="1" applyFont="1" applyFill="1" applyBorder="1"/>
    <xf numFmtId="0" fontId="3" fillId="5" borderId="54" xfId="0" applyFont="1" applyFill="1" applyBorder="1" applyAlignment="1">
      <alignment horizontal="left"/>
    </xf>
    <xf numFmtId="0" fontId="3" fillId="5" borderId="55" xfId="0" applyFont="1" applyFill="1" applyBorder="1" applyAlignment="1">
      <alignment horizontal="left"/>
    </xf>
    <xf numFmtId="0" fontId="3" fillId="5" borderId="56" xfId="0" applyFont="1" applyFill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9" fillId="0" borderId="14" xfId="0" applyFont="1" applyBorder="1"/>
    <xf numFmtId="0" fontId="9" fillId="0" borderId="15" xfId="0" applyFont="1" applyBorder="1"/>
    <xf numFmtId="0" fontId="9" fillId="0" borderId="17" xfId="0" applyFont="1" applyBorder="1"/>
    <xf numFmtId="0" fontId="9" fillId="0" borderId="18" xfId="0" applyFont="1" applyBorder="1"/>
    <xf numFmtId="0" fontId="3" fillId="0" borderId="19" xfId="0" applyFont="1" applyBorder="1" applyAlignment="1">
      <alignment horizontal="right"/>
    </xf>
    <xf numFmtId="0" fontId="9" fillId="0" borderId="20" xfId="0" applyFont="1" applyBorder="1"/>
    <xf numFmtId="0" fontId="9" fillId="0" borderId="21" xfId="0" applyFont="1" applyBorder="1"/>
    <xf numFmtId="0" fontId="3" fillId="5" borderId="14" xfId="0" applyFont="1" applyFill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3" fillId="5" borderId="26" xfId="0" applyNumberFormat="1" applyFont="1" applyFill="1" applyBorder="1" applyAlignment="1">
      <alignment horizontal="center"/>
    </xf>
    <xf numFmtId="0" fontId="3" fillId="12" borderId="37" xfId="0" applyFont="1" applyFill="1" applyBorder="1" applyAlignment="1">
      <alignment horizontal="center"/>
    </xf>
    <xf numFmtId="0" fontId="3" fillId="12" borderId="13" xfId="0" applyNumberFormat="1" applyFont="1" applyFill="1" applyBorder="1" applyAlignment="1">
      <alignment horizontal="center"/>
    </xf>
    <xf numFmtId="0" fontId="3" fillId="12" borderId="14" xfId="0" applyNumberFormat="1" applyFont="1" applyFill="1" applyBorder="1" applyAlignment="1">
      <alignment horizontal="center"/>
    </xf>
    <xf numFmtId="0" fontId="3" fillId="12" borderId="15" xfId="0" applyNumberFormat="1" applyFont="1" applyFill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3" fillId="5" borderId="27" xfId="0" applyFont="1" applyFill="1" applyBorder="1"/>
    <xf numFmtId="0" fontId="3" fillId="12" borderId="19" xfId="0" applyFont="1" applyFill="1" applyBorder="1" applyAlignment="1">
      <alignment horizontal="left"/>
    </xf>
    <xf numFmtId="0" fontId="3" fillId="12" borderId="20" xfId="0" applyNumberFormat="1" applyFont="1" applyFill="1" applyBorder="1"/>
    <xf numFmtId="0" fontId="3" fillId="12" borderId="21" xfId="0" applyNumberFormat="1" applyFont="1" applyFill="1" applyBorder="1"/>
    <xf numFmtId="0" fontId="21" fillId="54" borderId="13" xfId="0" applyFont="1" applyFill="1" applyBorder="1" applyAlignment="1">
      <alignment horizontal="left" vertical="center" wrapText="1"/>
    </xf>
    <xf numFmtId="0" fontId="0" fillId="54" borderId="14" xfId="0" applyFont="1" applyFill="1" applyBorder="1" applyAlignment="1">
      <alignment horizontal="center"/>
    </xf>
    <xf numFmtId="3" fontId="0" fillId="54" borderId="14" xfId="0" applyNumberFormat="1" applyFont="1" applyFill="1" applyBorder="1" applyAlignment="1">
      <alignment horizontal="center"/>
    </xf>
    <xf numFmtId="3" fontId="0" fillId="54" borderId="64" xfId="0" applyNumberFormat="1" applyFont="1" applyFill="1" applyBorder="1" applyAlignment="1">
      <alignment horizontal="center"/>
    </xf>
    <xf numFmtId="0" fontId="0" fillId="54" borderId="54" xfId="0" applyFont="1" applyFill="1" applyBorder="1" applyAlignment="1">
      <alignment horizontal="center"/>
    </xf>
    <xf numFmtId="0" fontId="21" fillId="54" borderId="19" xfId="0" applyFont="1" applyFill="1" applyBorder="1" applyAlignment="1">
      <alignment horizontal="left" vertical="center" wrapText="1"/>
    </xf>
    <xf numFmtId="0" fontId="0" fillId="54" borderId="20" xfId="0" applyFont="1" applyFill="1" applyBorder="1" applyAlignment="1">
      <alignment horizontal="center"/>
    </xf>
    <xf numFmtId="3" fontId="0" fillId="54" borderId="20" xfId="0" applyNumberFormat="1" applyFont="1" applyFill="1" applyBorder="1" applyAlignment="1">
      <alignment horizontal="center"/>
    </xf>
    <xf numFmtId="3" fontId="0" fillId="54" borderId="66" xfId="0" applyNumberFormat="1" applyFont="1" applyFill="1" applyBorder="1" applyAlignment="1">
      <alignment horizontal="center"/>
    </xf>
    <xf numFmtId="0" fontId="0" fillId="54" borderId="56" xfId="0" applyFont="1" applyFill="1" applyBorder="1" applyAlignment="1">
      <alignment horizontal="center"/>
    </xf>
    <xf numFmtId="3" fontId="0" fillId="2" borderId="13" xfId="0" applyNumberFormat="1" applyFont="1" applyFill="1" applyBorder="1" applyAlignment="1">
      <alignment horizontal="center"/>
    </xf>
    <xf numFmtId="3" fontId="0" fillId="2" borderId="14" xfId="0" applyNumberFormat="1" applyFont="1" applyFill="1" applyBorder="1" applyAlignment="1">
      <alignment horizontal="center"/>
    </xf>
    <xf numFmtId="3" fontId="0" fillId="2" borderId="15" xfId="0" applyNumberFormat="1" applyFont="1" applyFill="1" applyBorder="1" applyAlignment="1">
      <alignment horizontal="center"/>
    </xf>
    <xf numFmtId="3" fontId="0" fillId="2" borderId="64" xfId="0" applyNumberFormat="1" applyFont="1" applyFill="1" applyBorder="1" applyAlignment="1">
      <alignment horizontal="center"/>
    </xf>
    <xf numFmtId="3" fontId="0" fillId="2" borderId="120" xfId="0" applyNumberFormat="1" applyFill="1" applyBorder="1" applyAlignment="1">
      <alignment horizontal="center"/>
    </xf>
    <xf numFmtId="3" fontId="0" fillId="2" borderId="19" xfId="0" applyNumberFormat="1" applyFont="1" applyFill="1" applyBorder="1" applyAlignment="1">
      <alignment horizontal="center"/>
    </xf>
    <xf numFmtId="3" fontId="0" fillId="2" borderId="20" xfId="0" applyNumberFormat="1" applyFont="1" applyFill="1" applyBorder="1" applyAlignment="1">
      <alignment horizontal="center"/>
    </xf>
    <xf numFmtId="3" fontId="0" fillId="2" borderId="21" xfId="0" applyNumberFormat="1" applyFont="1" applyFill="1" applyBorder="1" applyAlignment="1">
      <alignment horizontal="center"/>
    </xf>
    <xf numFmtId="3" fontId="0" fillId="2" borderId="66" xfId="0" applyNumberFormat="1" applyFont="1" applyFill="1" applyBorder="1" applyAlignment="1">
      <alignment horizontal="center"/>
    </xf>
    <xf numFmtId="3" fontId="0" fillId="2" borderId="121" xfId="0" applyNumberFormat="1" applyFill="1" applyBorder="1" applyAlignment="1">
      <alignment horizontal="center"/>
    </xf>
    <xf numFmtId="0" fontId="21" fillId="16" borderId="37" xfId="0" applyFont="1" applyFill="1" applyBorder="1" applyAlignment="1">
      <alignment horizontal="left" vertical="center" wrapText="1"/>
    </xf>
    <xf numFmtId="0" fontId="21" fillId="16" borderId="39" xfId="0" applyFont="1" applyFill="1" applyBorder="1" applyAlignment="1">
      <alignment horizontal="left" vertical="center" wrapText="1"/>
    </xf>
    <xf numFmtId="0" fontId="21" fillId="2" borderId="37" xfId="0" applyFont="1" applyFill="1" applyBorder="1" applyAlignment="1">
      <alignment horizontal="left" vertical="center" wrapText="1"/>
    </xf>
    <xf numFmtId="0" fontId="21" fillId="2" borderId="39" xfId="0" applyFont="1" applyFill="1" applyBorder="1" applyAlignment="1">
      <alignment horizontal="left" vertical="center" wrapText="1"/>
    </xf>
    <xf numFmtId="0" fontId="60" fillId="2" borderId="1" xfId="0" applyFont="1" applyFill="1" applyBorder="1" applyAlignment="1" applyProtection="1">
      <alignment horizontal="center" vertical="center" wrapText="1"/>
    </xf>
    <xf numFmtId="9" fontId="36" fillId="9" borderId="1" xfId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60" fillId="0" borderId="1" xfId="0" applyFont="1" applyFill="1" applyBorder="1" applyAlignment="1" applyProtection="1">
      <alignment horizontal="center" vertical="center" wrapText="1"/>
    </xf>
    <xf numFmtId="3" fontId="62" fillId="0" borderId="1" xfId="0" applyNumberFormat="1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 applyProtection="1">
      <alignment vertical="center" wrapText="1"/>
    </xf>
    <xf numFmtId="0" fontId="60" fillId="0" borderId="1" xfId="0" applyFont="1" applyFill="1" applyBorder="1" applyAlignment="1" applyProtection="1">
      <alignment vertical="center" wrapText="1"/>
    </xf>
    <xf numFmtId="3" fontId="61" fillId="2" borderId="49" xfId="0" applyNumberFormat="1" applyFont="1" applyFill="1" applyBorder="1" applyAlignment="1" applyProtection="1">
      <alignment horizontal="center" vertical="center"/>
    </xf>
    <xf numFmtId="9" fontId="60" fillId="9" borderId="47" xfId="1" applyFont="1" applyFill="1" applyBorder="1" applyAlignment="1" applyProtection="1">
      <alignment horizontal="center" vertical="center"/>
    </xf>
    <xf numFmtId="9" fontId="60" fillId="9" borderId="17" xfId="1" applyFont="1" applyFill="1" applyBorder="1" applyAlignment="1" applyProtection="1">
      <alignment horizontal="center" vertical="center"/>
    </xf>
    <xf numFmtId="9" fontId="36" fillId="9" borderId="49" xfId="1" applyFont="1" applyFill="1" applyBorder="1" applyAlignment="1" applyProtection="1">
      <alignment horizontal="center" vertical="center"/>
    </xf>
    <xf numFmtId="9" fontId="57" fillId="9" borderId="95" xfId="1" applyFont="1" applyFill="1" applyBorder="1" applyAlignment="1" applyProtection="1">
      <alignment horizontal="center" vertical="center"/>
    </xf>
    <xf numFmtId="9" fontId="60" fillId="9" borderId="96" xfId="1" applyFont="1" applyFill="1" applyBorder="1" applyAlignment="1" applyProtection="1">
      <alignment horizontal="center" vertical="center"/>
    </xf>
    <xf numFmtId="9" fontId="61" fillId="9" borderId="16" xfId="1" applyFont="1" applyFill="1" applyBorder="1" applyAlignment="1" applyProtection="1">
      <alignment horizontal="center" vertical="center"/>
    </xf>
    <xf numFmtId="9" fontId="60" fillId="9" borderId="18" xfId="1" applyFont="1" applyFill="1" applyBorder="1" applyAlignment="1" applyProtection="1">
      <alignment horizontal="center" vertical="center"/>
    </xf>
    <xf numFmtId="9" fontId="57" fillId="9" borderId="19" xfId="1" applyFont="1" applyFill="1" applyBorder="1" applyAlignment="1" applyProtection="1">
      <alignment horizontal="center" vertical="center"/>
    </xf>
    <xf numFmtId="9" fontId="60" fillId="0" borderId="20" xfId="1" applyFont="1" applyFill="1" applyBorder="1" applyAlignment="1" applyProtection="1">
      <alignment horizontal="center" vertical="center"/>
    </xf>
    <xf numFmtId="9" fontId="60" fillId="0" borderId="21" xfId="1" applyFont="1" applyFill="1" applyBorder="1" applyAlignment="1" applyProtection="1">
      <alignment horizontal="center" vertical="center"/>
    </xf>
    <xf numFmtId="3" fontId="61" fillId="8" borderId="4" xfId="0" applyNumberFormat="1" applyFont="1" applyFill="1" applyBorder="1" applyAlignment="1" applyProtection="1">
      <alignment horizontal="center" vertical="center"/>
    </xf>
    <xf numFmtId="0" fontId="15" fillId="7" borderId="68" xfId="0" applyFont="1" applyFill="1" applyBorder="1" applyAlignment="1" applyProtection="1">
      <alignment horizontal="center" vertical="center" wrapText="1"/>
    </xf>
    <xf numFmtId="3" fontId="62" fillId="0" borderId="50" xfId="0" applyNumberFormat="1" applyFont="1" applyFill="1" applyBorder="1" applyAlignment="1" applyProtection="1">
      <alignment horizontal="center" vertical="center"/>
    </xf>
    <xf numFmtId="3" fontId="62" fillId="0" borderId="49" xfId="0" applyNumberFormat="1" applyFont="1" applyFill="1" applyBorder="1" applyAlignment="1" applyProtection="1">
      <alignment horizontal="center" vertical="center"/>
    </xf>
    <xf numFmtId="3" fontId="62" fillId="0" borderId="144" xfId="0" applyNumberFormat="1" applyFont="1" applyFill="1" applyBorder="1" applyAlignment="1" applyProtection="1">
      <alignment horizontal="center" vertical="center"/>
    </xf>
    <xf numFmtId="3" fontId="62" fillId="0" borderId="145" xfId="0" applyNumberFormat="1" applyFont="1" applyFill="1" applyBorder="1" applyAlignment="1" applyProtection="1">
      <alignment horizontal="center" vertical="center"/>
    </xf>
    <xf numFmtId="3" fontId="62" fillId="0" borderId="146" xfId="0" applyNumberFormat="1" applyFont="1" applyFill="1" applyBorder="1" applyAlignment="1" applyProtection="1">
      <alignment horizontal="center" vertical="center"/>
    </xf>
    <xf numFmtId="9" fontId="62" fillId="0" borderId="50" xfId="1" applyFont="1" applyFill="1" applyBorder="1" applyAlignment="1" applyProtection="1">
      <alignment horizontal="center" vertical="center"/>
    </xf>
    <xf numFmtId="9" fontId="62" fillId="0" borderId="49" xfId="1" applyFont="1" applyFill="1" applyBorder="1" applyAlignment="1" applyProtection="1">
      <alignment horizontal="center" vertical="center"/>
    </xf>
    <xf numFmtId="9" fontId="62" fillId="0" borderId="144" xfId="1" applyFont="1" applyFill="1" applyBorder="1" applyAlignment="1" applyProtection="1">
      <alignment horizontal="center" vertical="center"/>
    </xf>
    <xf numFmtId="9" fontId="62" fillId="0" borderId="146" xfId="1" applyFont="1" applyFill="1" applyBorder="1" applyAlignment="1" applyProtection="1">
      <alignment horizontal="center" vertical="center"/>
    </xf>
    <xf numFmtId="3" fontId="61" fillId="0" borderId="118" xfId="1" applyNumberFormat="1" applyFont="1" applyFill="1" applyBorder="1" applyAlignment="1" applyProtection="1">
      <alignment horizontal="center"/>
    </xf>
    <xf numFmtId="3" fontId="61" fillId="0" borderId="130" xfId="1" applyNumberFormat="1" applyFont="1" applyFill="1" applyBorder="1" applyAlignment="1" applyProtection="1">
      <alignment horizontal="center"/>
    </xf>
    <xf numFmtId="0" fontId="56" fillId="6" borderId="8" xfId="0" applyFont="1" applyFill="1" applyBorder="1" applyAlignment="1" applyProtection="1">
      <alignment horizontal="center" vertical="center" wrapText="1"/>
    </xf>
    <xf numFmtId="0" fontId="56" fillId="6" borderId="89" xfId="0" applyFont="1" applyFill="1" applyBorder="1" applyAlignment="1" applyProtection="1">
      <alignment horizontal="center" vertical="center" wrapText="1"/>
    </xf>
    <xf numFmtId="0" fontId="15" fillId="7" borderId="147" xfId="0" applyFont="1" applyFill="1" applyBorder="1" applyAlignment="1" applyProtection="1">
      <alignment horizontal="center" vertical="center" wrapText="1"/>
    </xf>
    <xf numFmtId="0" fontId="15" fillId="7" borderId="8" xfId="0" applyFont="1" applyFill="1" applyBorder="1" applyAlignment="1" applyProtection="1">
      <alignment horizontal="center" vertical="center" wrapText="1"/>
    </xf>
    <xf numFmtId="0" fontId="67" fillId="7" borderId="147" xfId="0" applyFont="1" applyFill="1" applyBorder="1" applyAlignment="1" applyProtection="1">
      <alignment horizontal="center" vertical="center" wrapText="1"/>
    </xf>
    <xf numFmtId="0" fontId="67" fillId="7" borderId="148" xfId="0" applyFont="1" applyFill="1" applyBorder="1" applyAlignment="1" applyProtection="1">
      <alignment horizontal="center" vertical="center" wrapText="1"/>
    </xf>
    <xf numFmtId="0" fontId="67" fillId="7" borderId="51" xfId="0" applyFont="1" applyFill="1" applyBorder="1" applyAlignment="1" applyProtection="1">
      <alignment horizontal="center" vertical="center" wrapText="1"/>
    </xf>
    <xf numFmtId="0" fontId="60" fillId="0" borderId="6" xfId="0" applyFont="1" applyFill="1" applyBorder="1" applyAlignment="1" applyProtection="1">
      <alignment vertical="center" wrapText="1"/>
    </xf>
    <xf numFmtId="0" fontId="60" fillId="0" borderId="6" xfId="0" applyFont="1" applyFill="1" applyBorder="1" applyAlignment="1" applyProtection="1">
      <alignment horizontal="center" vertical="center" wrapText="1"/>
    </xf>
    <xf numFmtId="3" fontId="61" fillId="8" borderId="87" xfId="0" applyNumberFormat="1" applyFont="1" applyFill="1" applyBorder="1" applyAlignment="1" applyProtection="1">
      <alignment horizontal="center" vertical="center"/>
    </xf>
    <xf numFmtId="3" fontId="62" fillId="0" borderId="99" xfId="0" applyNumberFormat="1" applyFont="1" applyFill="1" applyBorder="1" applyAlignment="1" applyProtection="1">
      <alignment horizontal="center" vertical="center"/>
    </xf>
    <xf numFmtId="3" fontId="62" fillId="0" borderId="6" xfId="0" applyNumberFormat="1" applyFont="1" applyFill="1" applyBorder="1" applyAlignment="1" applyProtection="1">
      <alignment horizontal="center" vertical="center"/>
    </xf>
    <xf numFmtId="3" fontId="62" fillId="0" borderId="100" xfId="0" applyNumberFormat="1" applyFont="1" applyFill="1" applyBorder="1" applyAlignment="1" applyProtection="1">
      <alignment horizontal="center" vertical="center"/>
    </xf>
    <xf numFmtId="9" fontId="62" fillId="0" borderId="99" xfId="1" applyFont="1" applyFill="1" applyBorder="1" applyAlignment="1" applyProtection="1">
      <alignment horizontal="center" vertical="center"/>
    </xf>
    <xf numFmtId="9" fontId="62" fillId="0" borderId="100" xfId="1" applyFont="1" applyFill="1" applyBorder="1" applyAlignment="1" applyProtection="1">
      <alignment horizontal="center" vertical="center"/>
    </xf>
    <xf numFmtId="3" fontId="61" fillId="0" borderId="117" xfId="1" applyNumberFormat="1" applyFont="1" applyFill="1" applyBorder="1" applyAlignment="1" applyProtection="1">
      <alignment horizontal="center"/>
    </xf>
    <xf numFmtId="0" fontId="60" fillId="2" borderId="25" xfId="0" applyFont="1" applyFill="1" applyBorder="1" applyAlignment="1" applyProtection="1">
      <alignment vertical="center" wrapText="1"/>
    </xf>
    <xf numFmtId="3" fontId="61" fillId="2" borderId="26" xfId="0" applyNumberFormat="1" applyFont="1" applyFill="1" applyBorder="1" applyAlignment="1" applyProtection="1">
      <alignment horizontal="center"/>
    </xf>
    <xf numFmtId="3" fontId="14" fillId="2" borderId="149" xfId="0" applyNumberFormat="1" applyFont="1" applyFill="1" applyBorder="1" applyAlignment="1" applyProtection="1">
      <alignment horizontal="center"/>
    </xf>
    <xf numFmtId="3" fontId="14" fillId="2" borderId="25" xfId="0" applyNumberFormat="1" applyFont="1" applyFill="1" applyBorder="1" applyAlignment="1" applyProtection="1">
      <alignment horizontal="center"/>
    </xf>
    <xf numFmtId="3" fontId="14" fillId="2" borderId="26" xfId="0" applyNumberFormat="1" applyFont="1" applyFill="1" applyBorder="1" applyAlignment="1" applyProtection="1">
      <alignment horizontal="center"/>
    </xf>
    <xf numFmtId="3" fontId="14" fillId="2" borderId="27" xfId="0" applyNumberFormat="1" applyFont="1" applyFill="1" applyBorder="1" applyAlignment="1" applyProtection="1">
      <alignment horizontal="center"/>
    </xf>
    <xf numFmtId="9" fontId="14" fillId="2" borderId="25" xfId="1" applyFont="1" applyFill="1" applyBorder="1" applyAlignment="1" applyProtection="1">
      <alignment horizontal="center"/>
    </xf>
    <xf numFmtId="9" fontId="14" fillId="2" borderId="27" xfId="1" applyFont="1" applyFill="1" applyBorder="1" applyAlignment="1" applyProtection="1">
      <alignment horizontal="center"/>
    </xf>
    <xf numFmtId="3" fontId="61" fillId="2" borderId="43" xfId="1" applyNumberFormat="1" applyFont="1" applyFill="1" applyBorder="1" applyAlignment="1" applyProtection="1">
      <alignment horizontal="center"/>
    </xf>
    <xf numFmtId="164" fontId="3" fillId="53" borderId="25" xfId="1" applyNumberFormat="1" applyFont="1" applyFill="1" applyBorder="1" applyAlignment="1">
      <alignment horizontal="center"/>
    </xf>
    <xf numFmtId="164" fontId="39" fillId="53" borderId="26" xfId="1" applyNumberFormat="1" applyFont="1" applyFill="1" applyBorder="1" applyAlignment="1">
      <alignment horizontal="center"/>
    </xf>
    <xf numFmtId="164" fontId="3" fillId="53" borderId="27" xfId="1" applyNumberFormat="1" applyFont="1" applyFill="1" applyBorder="1" applyAlignment="1">
      <alignment horizontal="center"/>
    </xf>
    <xf numFmtId="0" fontId="0" fillId="13" borderId="54" xfId="0" applyFont="1" applyFill="1" applyBorder="1" applyAlignment="1">
      <alignment horizontal="center"/>
    </xf>
    <xf numFmtId="0" fontId="0" fillId="13" borderId="56" xfId="0" applyFont="1" applyFill="1" applyBorder="1" applyAlignment="1">
      <alignment horizontal="center"/>
    </xf>
    <xf numFmtId="0" fontId="16" fillId="0" borderId="149" xfId="0" applyFont="1" applyFill="1" applyBorder="1" applyAlignment="1">
      <alignment horizontal="center" vertical="center" textRotation="90" wrapText="1"/>
    </xf>
    <xf numFmtId="0" fontId="7" fillId="4" borderId="64" xfId="0" applyNumberFormat="1" applyFont="1" applyFill="1" applyBorder="1" applyAlignment="1">
      <alignment horizontal="center"/>
    </xf>
    <xf numFmtId="0" fontId="7" fillId="4" borderId="65" xfId="0" applyNumberFormat="1" applyFont="1" applyFill="1" applyBorder="1" applyAlignment="1">
      <alignment horizontal="center"/>
    </xf>
    <xf numFmtId="0" fontId="7" fillId="0" borderId="65" xfId="0" applyNumberFormat="1" applyFont="1" applyFill="1" applyBorder="1" applyAlignment="1">
      <alignment horizontal="center"/>
    </xf>
    <xf numFmtId="0" fontId="7" fillId="0" borderId="66" xfId="0" applyNumberFormat="1" applyFont="1" applyFill="1" applyBorder="1" applyAlignment="1">
      <alignment horizontal="center"/>
    </xf>
    <xf numFmtId="3" fontId="5" fillId="3" borderId="64" xfId="0" applyNumberFormat="1" applyFont="1" applyFill="1" applyBorder="1" applyAlignment="1">
      <alignment horizontal="center" vertical="center"/>
    </xf>
    <xf numFmtId="3" fontId="10" fillId="3" borderId="66" xfId="0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9" fontId="0" fillId="18" borderId="54" xfId="1" applyFont="1" applyFill="1" applyBorder="1"/>
    <xf numFmtId="9" fontId="0" fillId="18" borderId="55" xfId="1" applyFont="1" applyFill="1" applyBorder="1"/>
    <xf numFmtId="9" fontId="0" fillId="18" borderId="56" xfId="1" applyFont="1" applyFill="1" applyBorder="1"/>
    <xf numFmtId="9" fontId="0" fillId="18" borderId="151" xfId="1" applyNumberFormat="1" applyFont="1" applyFill="1" applyBorder="1"/>
    <xf numFmtId="9" fontId="0" fillId="18" borderId="37" xfId="1" applyNumberFormat="1" applyFont="1" applyFill="1" applyBorder="1"/>
    <xf numFmtId="9" fontId="0" fillId="18" borderId="38" xfId="1" applyNumberFormat="1" applyFont="1" applyFill="1" applyBorder="1"/>
    <xf numFmtId="0" fontId="3" fillId="17" borderId="22" xfId="0" applyFont="1" applyFill="1" applyBorder="1" applyAlignment="1">
      <alignment horizontal="left"/>
    </xf>
    <xf numFmtId="0" fontId="3" fillId="17" borderId="23" xfId="0" applyNumberFormat="1" applyFont="1" applyFill="1" applyBorder="1"/>
    <xf numFmtId="0" fontId="3" fillId="17" borderId="24" xfId="0" applyNumberFormat="1" applyFont="1" applyFill="1" applyBorder="1"/>
    <xf numFmtId="0" fontId="3" fillId="5" borderId="26" xfId="0" applyFont="1" applyFill="1" applyBorder="1" applyAlignment="1">
      <alignment horizontal="center" wrapText="1"/>
    </xf>
    <xf numFmtId="0" fontId="0" fillId="12" borderId="6" xfId="0" applyFill="1" applyBorder="1"/>
    <xf numFmtId="0" fontId="3" fillId="5" borderId="19" xfId="0" applyFont="1" applyFill="1" applyBorder="1"/>
    <xf numFmtId="0" fontId="3" fillId="5" borderId="20" xfId="0" applyFont="1" applyFill="1" applyBorder="1"/>
    <xf numFmtId="0" fontId="3" fillId="5" borderId="21" xfId="0" applyFont="1" applyFill="1" applyBorder="1" applyAlignment="1">
      <alignment horizontal="center" vertical="center" wrapText="1"/>
    </xf>
    <xf numFmtId="0" fontId="3" fillId="5" borderId="12" xfId="0" applyFont="1" applyFill="1" applyBorder="1"/>
    <xf numFmtId="0" fontId="3" fillId="5" borderId="12" xfId="0" applyFont="1" applyFill="1" applyBorder="1" applyAlignment="1">
      <alignment wrapText="1"/>
    </xf>
    <xf numFmtId="0" fontId="3" fillId="0" borderId="152" xfId="0" applyFont="1" applyBorder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3" fillId="12" borderId="19" xfId="0" applyFont="1" applyFill="1" applyBorder="1" applyAlignment="1">
      <alignment horizontal="center"/>
    </xf>
    <xf numFmtId="0" fontId="3" fillId="12" borderId="20" xfId="0" applyNumberFormat="1" applyFont="1" applyFill="1" applyBorder="1" applyAlignment="1">
      <alignment horizontal="center"/>
    </xf>
    <xf numFmtId="0" fontId="3" fillId="12" borderId="21" xfId="0" applyNumberFormat="1" applyFont="1" applyFill="1" applyBorder="1" applyAlignment="1">
      <alignment horizontal="center"/>
    </xf>
    <xf numFmtId="0" fontId="3" fillId="5" borderId="26" xfId="0" applyNumberFormat="1" applyFont="1" applyFill="1" applyBorder="1"/>
    <xf numFmtId="0" fontId="3" fillId="5" borderId="27" xfId="0" applyNumberFormat="1" applyFont="1" applyFill="1" applyBorder="1"/>
    <xf numFmtId="9" fontId="68" fillId="0" borderId="0" xfId="1" applyFont="1" applyAlignment="1">
      <alignment horizontal="center"/>
    </xf>
    <xf numFmtId="0" fontId="68" fillId="0" borderId="0" xfId="0" applyFont="1" applyAlignment="1">
      <alignment horizontal="center"/>
    </xf>
    <xf numFmtId="3" fontId="2" fillId="0" borderId="54" xfId="0" applyNumberFormat="1" applyFont="1" applyFill="1" applyBorder="1" applyAlignment="1">
      <alignment horizontal="center"/>
    </xf>
    <xf numFmtId="164" fontId="2" fillId="0" borderId="56" xfId="1" applyNumberFormat="1" applyFont="1" applyFill="1" applyBorder="1" applyAlignment="1">
      <alignment horizontal="center"/>
    </xf>
    <xf numFmtId="9" fontId="68" fillId="0" borderId="43" xfId="1" applyFont="1" applyBorder="1" applyAlignment="1">
      <alignment horizontal="center"/>
    </xf>
    <xf numFmtId="9" fontId="69" fillId="0" borderId="143" xfId="1" applyFont="1" applyFill="1" applyBorder="1" applyAlignment="1">
      <alignment horizontal="center" vertical="center"/>
    </xf>
    <xf numFmtId="3" fontId="32" fillId="0" borderId="129" xfId="0" applyNumberFormat="1" applyFont="1" applyFill="1" applyBorder="1" applyAlignment="1">
      <alignment horizontal="center"/>
    </xf>
    <xf numFmtId="3" fontId="39" fillId="0" borderId="14" xfId="0" applyNumberFormat="1" applyFont="1" applyFill="1" applyBorder="1" applyAlignment="1">
      <alignment horizontal="center"/>
    </xf>
    <xf numFmtId="3" fontId="32" fillId="0" borderId="14" xfId="0" applyNumberFormat="1" applyFont="1" applyFill="1" applyBorder="1" applyAlignment="1">
      <alignment horizontal="center"/>
    </xf>
    <xf numFmtId="3" fontId="32" fillId="0" borderId="64" xfId="0" applyNumberFormat="1" applyFont="1" applyFill="1" applyBorder="1" applyAlignment="1">
      <alignment horizontal="center"/>
    </xf>
    <xf numFmtId="9" fontId="57" fillId="0" borderId="136" xfId="1" applyFont="1" applyFill="1" applyBorder="1" applyAlignment="1">
      <alignment horizontal="center" vertical="center"/>
    </xf>
    <xf numFmtId="164" fontId="39" fillId="0" borderId="126" xfId="1" applyNumberFormat="1" applyFont="1" applyFill="1" applyBorder="1" applyAlignment="1">
      <alignment horizontal="center"/>
    </xf>
    <xf numFmtId="9" fontId="57" fillId="0" borderId="150" xfId="1" applyFont="1" applyFill="1" applyBorder="1" applyAlignment="1">
      <alignment horizontal="center" vertical="center"/>
    </xf>
    <xf numFmtId="9" fontId="39" fillId="0" borderId="137" xfId="1" applyFont="1" applyFill="1" applyBorder="1" applyAlignment="1">
      <alignment horizontal="center" vertical="center"/>
    </xf>
    <xf numFmtId="9" fontId="32" fillId="0" borderId="138" xfId="1" applyFont="1" applyFill="1" applyBorder="1" applyAlignment="1">
      <alignment horizontal="center" vertical="center"/>
    </xf>
    <xf numFmtId="9" fontId="39" fillId="0" borderId="138" xfId="1" applyFont="1" applyFill="1" applyBorder="1" applyAlignment="1">
      <alignment horizontal="center" vertical="center"/>
    </xf>
    <xf numFmtId="9" fontId="32" fillId="0" borderId="139" xfId="1" applyFont="1" applyFill="1" applyBorder="1" applyAlignment="1">
      <alignment horizontal="center" vertical="center"/>
    </xf>
    <xf numFmtId="9" fontId="39" fillId="0" borderId="140" xfId="1" applyFont="1" applyFill="1" applyBorder="1" applyAlignment="1">
      <alignment horizontal="center" vertical="center"/>
    </xf>
    <xf numFmtId="9" fontId="32" fillId="2" borderId="138" xfId="1" applyFont="1" applyFill="1" applyBorder="1" applyAlignment="1">
      <alignment horizontal="center" vertical="center"/>
    </xf>
    <xf numFmtId="9" fontId="39" fillId="0" borderId="141" xfId="1" applyFont="1" applyFill="1" applyBorder="1" applyAlignment="1">
      <alignment horizontal="center" vertical="center"/>
    </xf>
    <xf numFmtId="9" fontId="32" fillId="2" borderId="139" xfId="1" applyFont="1" applyFill="1" applyBorder="1" applyAlignment="1">
      <alignment horizontal="center" vertical="center"/>
    </xf>
    <xf numFmtId="1" fontId="63" fillId="0" borderId="54" xfId="1" applyNumberFormat="1" applyFont="1" applyFill="1" applyBorder="1" applyAlignment="1">
      <alignment horizontal="center" vertical="center"/>
    </xf>
    <xf numFmtId="9" fontId="63" fillId="0" borderId="56" xfId="1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14" fontId="40" fillId="0" borderId="0" xfId="0" applyNumberFormat="1" applyFont="1" applyAlignment="1">
      <alignment horizontal="center"/>
    </xf>
    <xf numFmtId="10" fontId="39" fillId="2" borderId="75" xfId="0" applyNumberFormat="1" applyFont="1" applyFill="1" applyBorder="1" applyAlignment="1">
      <alignment horizontal="center" vertical="center" wrapText="1"/>
    </xf>
    <xf numFmtId="10" fontId="39" fillId="2" borderId="76" xfId="0" applyNumberFormat="1" applyFont="1" applyFill="1" applyBorder="1" applyAlignment="1">
      <alignment horizontal="center" vertical="center" wrapText="1"/>
    </xf>
    <xf numFmtId="10" fontId="39" fillId="2" borderId="77" xfId="0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0" fontId="18" fillId="0" borderId="47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4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48" xfId="0" applyFont="1" applyFill="1" applyBorder="1" applyAlignment="1">
      <alignment horizontal="center" vertical="center" wrapText="1"/>
    </xf>
    <xf numFmtId="3" fontId="9" fillId="0" borderId="88" xfId="0" applyNumberFormat="1" applyFont="1" applyFill="1" applyBorder="1" applyAlignment="1">
      <alignment horizontal="center" vertical="center"/>
    </xf>
    <xf numFmtId="3" fontId="9" fillId="0" borderId="119" xfId="0" applyNumberFormat="1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33" fillId="12" borderId="62" xfId="0" applyFont="1" applyFill="1" applyBorder="1" applyAlignment="1">
      <alignment horizontal="center"/>
    </xf>
    <xf numFmtId="0" fontId="33" fillId="12" borderId="44" xfId="0" applyFont="1" applyFill="1" applyBorder="1" applyAlignment="1">
      <alignment horizontal="center"/>
    </xf>
    <xf numFmtId="0" fontId="33" fillId="12" borderId="45" xfId="0" applyFont="1" applyFill="1" applyBorder="1" applyAlignment="1">
      <alignment horizontal="center"/>
    </xf>
    <xf numFmtId="0" fontId="31" fillId="16" borderId="62" xfId="0" applyFont="1" applyFill="1" applyBorder="1" applyAlignment="1">
      <alignment horizontal="center"/>
    </xf>
    <xf numFmtId="0" fontId="31" fillId="16" borderId="44" xfId="0" applyFont="1" applyFill="1" applyBorder="1" applyAlignment="1">
      <alignment horizontal="center"/>
    </xf>
    <xf numFmtId="0" fontId="31" fillId="16" borderId="45" xfId="0" applyFont="1" applyFill="1" applyBorder="1" applyAlignment="1">
      <alignment horizontal="center"/>
    </xf>
    <xf numFmtId="9" fontId="38" fillId="18" borderId="51" xfId="1" applyFont="1" applyFill="1" applyBorder="1" applyAlignment="1">
      <alignment horizontal="center" vertical="center"/>
    </xf>
    <xf numFmtId="9" fontId="38" fillId="18" borderId="52" xfId="1" applyFont="1" applyFill="1" applyBorder="1" applyAlignment="1">
      <alignment horizontal="center" vertical="center"/>
    </xf>
    <xf numFmtId="9" fontId="38" fillId="18" borderId="53" xfId="1" applyFont="1" applyFill="1" applyBorder="1" applyAlignment="1">
      <alignment horizontal="center" vertical="center"/>
    </xf>
    <xf numFmtId="9" fontId="33" fillId="18" borderId="51" xfId="1" applyFont="1" applyFill="1" applyBorder="1" applyAlignment="1">
      <alignment horizontal="center" vertical="center"/>
    </xf>
    <xf numFmtId="9" fontId="33" fillId="18" borderId="52" xfId="1" applyFont="1" applyFill="1" applyBorder="1" applyAlignment="1">
      <alignment horizontal="center" vertical="center"/>
    </xf>
    <xf numFmtId="9" fontId="33" fillId="18" borderId="53" xfId="1" applyFont="1" applyFill="1" applyBorder="1" applyAlignment="1">
      <alignment horizontal="center" vertical="center"/>
    </xf>
    <xf numFmtId="0" fontId="57" fillId="0" borderId="88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5" fillId="7" borderId="133" xfId="0" applyFont="1" applyFill="1" applyBorder="1" applyAlignment="1" applyProtection="1">
      <alignment horizontal="center" vertical="center" wrapText="1"/>
    </xf>
    <xf numFmtId="0" fontId="15" fillId="7" borderId="134" xfId="0" applyFont="1" applyFill="1" applyBorder="1" applyAlignment="1" applyProtection="1">
      <alignment horizontal="center" vertical="center" wrapText="1"/>
    </xf>
    <xf numFmtId="0" fontId="15" fillId="7" borderId="135" xfId="0" applyFont="1" applyFill="1" applyBorder="1" applyAlignment="1" applyProtection="1">
      <alignment horizontal="center" vertical="center" wrapText="1"/>
    </xf>
    <xf numFmtId="0" fontId="57" fillId="7" borderId="131" xfId="0" applyFont="1" applyFill="1" applyBorder="1" applyAlignment="1" applyProtection="1">
      <alignment horizontal="center" vertical="center" wrapText="1"/>
    </xf>
    <xf numFmtId="0" fontId="57" fillId="7" borderId="132" xfId="0" applyFont="1" applyFill="1" applyBorder="1" applyAlignment="1" applyProtection="1">
      <alignment horizontal="center" vertical="center" wrapText="1"/>
    </xf>
    <xf numFmtId="0" fontId="56" fillId="6" borderId="133" xfId="0" applyFont="1" applyFill="1" applyBorder="1" applyAlignment="1" applyProtection="1">
      <alignment horizontal="center" vertical="center" wrapText="1"/>
    </xf>
    <xf numFmtId="0" fontId="56" fillId="6" borderId="134" xfId="0" applyFont="1" applyFill="1" applyBorder="1" applyAlignment="1" applyProtection="1">
      <alignment horizontal="center" vertical="center" wrapText="1"/>
    </xf>
    <xf numFmtId="0" fontId="56" fillId="6" borderId="135" xfId="0" applyFont="1" applyFill="1" applyBorder="1" applyAlignment="1" applyProtection="1">
      <alignment horizontal="center" vertical="center" wrapText="1"/>
    </xf>
    <xf numFmtId="0" fontId="57" fillId="7" borderId="133" xfId="0" applyFont="1" applyFill="1" applyBorder="1" applyAlignment="1" applyProtection="1">
      <alignment horizontal="center" vertical="center" wrapText="1"/>
    </xf>
    <xf numFmtId="0" fontId="57" fillId="7" borderId="134" xfId="0" applyFont="1" applyFill="1" applyBorder="1" applyAlignment="1" applyProtection="1">
      <alignment horizontal="center" vertical="center" wrapText="1"/>
    </xf>
    <xf numFmtId="0" fontId="57" fillId="7" borderId="135" xfId="0" applyFont="1" applyFill="1" applyBorder="1" applyAlignment="1" applyProtection="1">
      <alignment horizontal="center" vertical="center" wrapText="1"/>
    </xf>
    <xf numFmtId="0" fontId="55" fillId="0" borderId="1" xfId="0" applyFont="1" applyFill="1" applyBorder="1" applyAlignment="1" applyProtection="1">
      <alignment horizontal="left" vertical="center" wrapText="1"/>
    </xf>
    <xf numFmtId="0" fontId="55" fillId="0" borderId="4" xfId="0" applyFont="1" applyFill="1" applyBorder="1" applyAlignment="1" applyProtection="1">
      <alignment horizontal="left" vertical="center" wrapText="1"/>
    </xf>
    <xf numFmtId="9" fontId="3" fillId="11" borderId="51" xfId="1" applyFont="1" applyFill="1" applyBorder="1" applyAlignment="1">
      <alignment horizontal="center" vertical="center"/>
    </xf>
    <xf numFmtId="9" fontId="3" fillId="11" borderId="52" xfId="1" applyFont="1" applyFill="1" applyBorder="1" applyAlignment="1">
      <alignment horizontal="center" vertical="center"/>
    </xf>
    <xf numFmtId="9" fontId="3" fillId="11" borderId="53" xfId="1" applyFont="1" applyFill="1" applyBorder="1" applyAlignment="1">
      <alignment horizontal="center" vertical="center"/>
    </xf>
    <xf numFmtId="0" fontId="34" fillId="11" borderId="62" xfId="0" applyFont="1" applyFill="1" applyBorder="1" applyAlignment="1">
      <alignment horizontal="center"/>
    </xf>
    <xf numFmtId="0" fontId="34" fillId="11" borderId="44" xfId="0" applyFont="1" applyFill="1" applyBorder="1" applyAlignment="1">
      <alignment horizontal="center"/>
    </xf>
    <xf numFmtId="0" fontId="34" fillId="11" borderId="45" xfId="0" applyFont="1" applyFill="1" applyBorder="1" applyAlignment="1">
      <alignment horizontal="center"/>
    </xf>
    <xf numFmtId="3" fontId="9" fillId="0" borderId="20" xfId="0" applyNumberFormat="1" applyFont="1" applyFill="1" applyBorder="1" applyAlignment="1">
      <alignment horizontal="center" vertical="center"/>
    </xf>
    <xf numFmtId="3" fontId="9" fillId="0" borderId="6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9" fillId="0" borderId="42" xfId="0" applyNumberFormat="1" applyFont="1" applyFill="1" applyBorder="1" applyAlignment="1">
      <alignment horizontal="center" vertical="center"/>
    </xf>
    <xf numFmtId="3" fontId="9" fillId="0" borderId="142" xfId="0" applyNumberFormat="1" applyFont="1" applyFill="1" applyBorder="1" applyAlignment="1">
      <alignment horizontal="center" vertical="center"/>
    </xf>
    <xf numFmtId="10" fontId="3" fillId="13" borderId="51" xfId="1" applyNumberFormat="1" applyFont="1" applyFill="1" applyBorder="1" applyAlignment="1">
      <alignment horizontal="center" vertical="center"/>
    </xf>
    <xf numFmtId="10" fontId="3" fillId="13" borderId="53" xfId="1" applyNumberFormat="1" applyFont="1" applyFill="1" applyBorder="1" applyAlignment="1">
      <alignment horizontal="center" vertical="center"/>
    </xf>
    <xf numFmtId="0" fontId="33" fillId="12" borderId="0" xfId="0" applyFont="1" applyFill="1" applyAlignment="1">
      <alignment horizontal="center"/>
    </xf>
    <xf numFmtId="0" fontId="33" fillId="13" borderId="62" xfId="0" applyFont="1" applyFill="1" applyBorder="1" applyAlignment="1">
      <alignment horizontal="center"/>
    </xf>
    <xf numFmtId="0" fontId="33" fillId="13" borderId="44" xfId="0" applyFont="1" applyFill="1" applyBorder="1" applyAlignment="1">
      <alignment horizontal="center"/>
    </xf>
    <xf numFmtId="0" fontId="33" fillId="13" borderId="45" xfId="0" applyFont="1" applyFill="1" applyBorder="1" applyAlignment="1">
      <alignment horizontal="center"/>
    </xf>
    <xf numFmtId="9" fontId="3" fillId="13" borderId="51" xfId="1" applyFont="1" applyFill="1" applyBorder="1" applyAlignment="1">
      <alignment horizontal="center" vertical="center"/>
    </xf>
    <xf numFmtId="9" fontId="3" fillId="13" borderId="52" xfId="1" applyFont="1" applyFill="1" applyBorder="1" applyAlignment="1">
      <alignment horizontal="center" vertical="center"/>
    </xf>
    <xf numFmtId="9" fontId="3" fillId="13" borderId="53" xfId="1" applyFont="1" applyFill="1" applyBorder="1" applyAlignment="1">
      <alignment horizontal="center" vertical="center"/>
    </xf>
    <xf numFmtId="0" fontId="4" fillId="16" borderId="37" xfId="0" applyFont="1" applyFill="1" applyBorder="1" applyAlignment="1">
      <alignment horizontal="left" vertical="center" wrapText="1"/>
    </xf>
    <xf numFmtId="0" fontId="3" fillId="16" borderId="13" xfId="0" applyFont="1" applyFill="1" applyBorder="1" applyAlignment="1">
      <alignment horizontal="center"/>
    </xf>
    <xf numFmtId="0" fontId="3" fillId="16" borderId="14" xfId="0" applyFont="1" applyFill="1" applyBorder="1" applyAlignment="1">
      <alignment horizontal="center"/>
    </xf>
    <xf numFmtId="0" fontId="3" fillId="16" borderId="64" xfId="0" applyFont="1" applyFill="1" applyBorder="1" applyAlignment="1">
      <alignment horizontal="center"/>
    </xf>
    <xf numFmtId="0" fontId="3" fillId="16" borderId="15" xfId="0" applyFont="1" applyFill="1" applyBorder="1" applyAlignment="1">
      <alignment horizontal="center"/>
    </xf>
    <xf numFmtId="0" fontId="3" fillId="16" borderId="120" xfId="0" applyFont="1" applyFill="1" applyBorder="1" applyAlignment="1">
      <alignment horizontal="center"/>
    </xf>
    <xf numFmtId="0" fontId="4" fillId="16" borderId="39" xfId="0" applyFont="1" applyFill="1" applyBorder="1" applyAlignment="1">
      <alignment horizontal="left" vertical="center" wrapText="1"/>
    </xf>
    <xf numFmtId="3" fontId="3" fillId="16" borderId="19" xfId="0" applyNumberFormat="1" applyFont="1" applyFill="1" applyBorder="1" applyAlignment="1">
      <alignment horizontal="center"/>
    </xf>
    <xf numFmtId="3" fontId="3" fillId="16" borderId="20" xfId="0" applyNumberFormat="1" applyFont="1" applyFill="1" applyBorder="1" applyAlignment="1">
      <alignment horizontal="center"/>
    </xf>
    <xf numFmtId="3" fontId="3" fillId="16" borderId="66" xfId="0" applyNumberFormat="1" applyFont="1" applyFill="1" applyBorder="1" applyAlignment="1">
      <alignment horizontal="center"/>
    </xf>
    <xf numFmtId="3" fontId="3" fillId="16" borderId="21" xfId="0" applyNumberFormat="1" applyFont="1" applyFill="1" applyBorder="1" applyAlignment="1">
      <alignment horizontal="center"/>
    </xf>
    <xf numFmtId="3" fontId="3" fillId="16" borderId="121" xfId="0" applyNumberFormat="1" applyFont="1" applyFill="1" applyBorder="1" applyAlignment="1">
      <alignment horizontal="center"/>
    </xf>
    <xf numFmtId="0" fontId="4" fillId="13" borderId="13" xfId="0" applyFont="1" applyFill="1" applyBorder="1" applyAlignment="1">
      <alignment horizontal="left" vertical="center" wrapText="1"/>
    </xf>
    <xf numFmtId="0" fontId="3" fillId="13" borderId="14" xfId="0" applyFont="1" applyFill="1" applyBorder="1" applyAlignment="1">
      <alignment horizontal="center"/>
    </xf>
    <xf numFmtId="0" fontId="3" fillId="13" borderId="64" xfId="0" applyFont="1" applyFill="1" applyBorder="1" applyAlignment="1">
      <alignment horizontal="center"/>
    </xf>
    <xf numFmtId="0" fontId="3" fillId="13" borderId="54" xfId="0" applyFont="1" applyFill="1" applyBorder="1" applyAlignment="1">
      <alignment horizontal="center"/>
    </xf>
    <xf numFmtId="0" fontId="4" fillId="13" borderId="19" xfId="0" applyFont="1" applyFill="1" applyBorder="1" applyAlignment="1">
      <alignment horizontal="left" vertical="center" wrapText="1"/>
    </xf>
    <xf numFmtId="0" fontId="3" fillId="13" borderId="20" xfId="0" applyFont="1" applyFill="1" applyBorder="1" applyAlignment="1">
      <alignment horizontal="center"/>
    </xf>
    <xf numFmtId="3" fontId="3" fillId="13" borderId="20" xfId="0" applyNumberFormat="1" applyFont="1" applyFill="1" applyBorder="1" applyAlignment="1">
      <alignment horizontal="center"/>
    </xf>
    <xf numFmtId="3" fontId="3" fillId="13" borderId="66" xfId="0" applyNumberFormat="1" applyFont="1" applyFill="1" applyBorder="1" applyAlignment="1">
      <alignment horizontal="center"/>
    </xf>
    <xf numFmtId="0" fontId="3" fillId="13" borderId="56" xfId="0" applyFont="1" applyFill="1" applyBorder="1" applyAlignment="1">
      <alignment horizontal="center"/>
    </xf>
  </cellXfs>
  <cellStyles count="46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00000000-0005-0000-0000-00000C000000}"/>
    <cellStyle name="60% - Énfasis2 2" xfId="38" xr:uid="{00000000-0005-0000-0000-00000D000000}"/>
    <cellStyle name="60% - Énfasis3 2" xfId="39" xr:uid="{00000000-0005-0000-0000-00000E000000}"/>
    <cellStyle name="60% - Énfasis4 2" xfId="40" xr:uid="{00000000-0005-0000-0000-00000F000000}"/>
    <cellStyle name="60% - Énfasis5 2" xfId="41" xr:uid="{00000000-0005-0000-0000-000010000000}"/>
    <cellStyle name="60% - Énfasis6 2" xfId="42" xr:uid="{00000000-0005-0000-0000-000011000000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00000000-0005-0000-0000-000020000000}"/>
    <cellStyle name="Normal" xfId="0" builtinId="0"/>
    <cellStyle name="Normal 2" xfId="45" xr:uid="{00000000-0005-0000-0000-000022000000}"/>
    <cellStyle name="Normal 3" xfId="43" xr:uid="{00000000-0005-0000-0000-000023000000}"/>
    <cellStyle name="Notas" xfId="15" builtinId="10" customBuiltin="1"/>
    <cellStyle name="Porcentaje" xfId="1" builtinId="5"/>
    <cellStyle name="Porcentaje 2" xfId="44" xr:uid="{00000000-0005-0000-0000-000026000000}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01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301863188583909E-2"/>
          <c:y val="8.8927937413601152E-2"/>
          <c:w val="0.91753740317015886"/>
          <c:h val="0.60745741649047535"/>
        </c:manualLayout>
      </c:layout>
      <c:lineChart>
        <c:grouping val="standard"/>
        <c:varyColors val="0"/>
        <c:ser>
          <c:idx val="0"/>
          <c:order val="0"/>
          <c:tx>
            <c:strRef>
              <c:f>'1'!$A$9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7.7830327434843145E-3"/>
                  <c:y val="4.68041775861057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5B-4CCA-BB12-F1D4032AF3FB}"/>
                </c:ext>
              </c:extLst>
            </c:dLbl>
            <c:dLbl>
              <c:idx val="3"/>
              <c:layout>
                <c:manualLayout>
                  <c:x val="-6.4858606195703095E-3"/>
                  <c:y val="3.27629243102741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F5B-4CCA-BB12-F1D4032AF3FB}"/>
                </c:ext>
              </c:extLst>
            </c:dLbl>
            <c:dLbl>
              <c:idx val="4"/>
              <c:layout>
                <c:manualLayout>
                  <c:x val="0"/>
                  <c:y val="2.80825065516634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F5B-4CCA-BB12-F1D4032AF3FB}"/>
                </c:ext>
              </c:extLst>
            </c:dLbl>
            <c:dLbl>
              <c:idx val="5"/>
              <c:layout>
                <c:manualLayout>
                  <c:x val="-1.2971721239140525E-3"/>
                  <c:y val="1.8721671034442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'1'!$B$9:$M$9</c:f>
              <c:numCache>
                <c:formatCode>General</c:formatCode>
                <c:ptCount val="12"/>
                <c:pt idx="0">
                  <c:v>1516</c:v>
                </c:pt>
                <c:pt idx="1">
                  <c:v>1210</c:v>
                </c:pt>
                <c:pt idx="2">
                  <c:v>824</c:v>
                </c:pt>
                <c:pt idx="3">
                  <c:v>852</c:v>
                </c:pt>
                <c:pt idx="4">
                  <c:v>668</c:v>
                </c:pt>
                <c:pt idx="5">
                  <c:v>637</c:v>
                </c:pt>
                <c:pt idx="6">
                  <c:v>807</c:v>
                </c:pt>
                <c:pt idx="7">
                  <c:v>797</c:v>
                </c:pt>
                <c:pt idx="8">
                  <c:v>840</c:v>
                </c:pt>
                <c:pt idx="9">
                  <c:v>830</c:v>
                </c:pt>
                <c:pt idx="10">
                  <c:v>745</c:v>
                </c:pt>
                <c:pt idx="11">
                  <c:v>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91-4E22-8629-50AEF60416CB}"/>
            </c:ext>
          </c:extLst>
        </c:ser>
        <c:ser>
          <c:idx val="1"/>
          <c:order val="1"/>
          <c:tx>
            <c:strRef>
              <c:f>'1'!$A$10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6.4858606195702618E-3"/>
                  <c:y val="-6.08454308619376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5B-4CCA-BB12-F1D4032AF3FB}"/>
                </c:ext>
              </c:extLst>
            </c:dLbl>
            <c:dLbl>
              <c:idx val="3"/>
              <c:layout>
                <c:manualLayout>
                  <c:x val="-2.5943442478281523E-3"/>
                  <c:y val="-5.61650131033270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5B-4CCA-BB12-F1D4032AF3FB}"/>
                </c:ext>
              </c:extLst>
            </c:dLbl>
            <c:dLbl>
              <c:idx val="4"/>
              <c:layout>
                <c:manualLayout>
                  <c:x val="-1.8160409734796733E-2"/>
                  <c:y val="-4.6804177586105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F5B-4CCA-BB12-F1D4032AF3FB}"/>
                </c:ext>
              </c:extLst>
            </c:dLbl>
            <c:dLbl>
              <c:idx val="5"/>
              <c:layout>
                <c:manualLayout>
                  <c:x val="-1.037737699131242E-2"/>
                  <c:y val="-4.21237598274952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F5B-4CCA-BB12-F1D4032AF3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'1'!$B$8:$M$8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'1'!$B$10:$M$10</c:f>
              <c:numCache>
                <c:formatCode>General</c:formatCode>
                <c:ptCount val="12"/>
                <c:pt idx="0">
                  <c:v>633</c:v>
                </c:pt>
                <c:pt idx="1">
                  <c:v>816</c:v>
                </c:pt>
                <c:pt idx="2">
                  <c:v>836</c:v>
                </c:pt>
                <c:pt idx="3">
                  <c:v>915</c:v>
                </c:pt>
                <c:pt idx="4">
                  <c:v>912</c:v>
                </c:pt>
                <c:pt idx="5">
                  <c:v>882</c:v>
                </c:pt>
                <c:pt idx="6">
                  <c:v>810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91-4E22-8629-50AEF6041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547272"/>
        <c:axId val="928546944"/>
      </c:lineChart>
      <c:catAx>
        <c:axId val="928547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6944"/>
        <c:crosses val="autoZero"/>
        <c:auto val="1"/>
        <c:lblAlgn val="ctr"/>
        <c:lblOffset val="100"/>
        <c:noMultiLvlLbl val="0"/>
      </c:catAx>
      <c:valAx>
        <c:axId val="92854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'1.1'!$A$8</c:f>
              <c:strCache>
                <c:ptCount val="1"/>
                <c:pt idx="0">
                  <c:v>Hospital la Serena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'1.1'!$B$8:$M$8</c:f>
              <c:numCache>
                <c:formatCode>General</c:formatCode>
                <c:ptCount val="12"/>
                <c:pt idx="0">
                  <c:v>1280</c:v>
                </c:pt>
                <c:pt idx="1">
                  <c:v>911</c:v>
                </c:pt>
                <c:pt idx="2">
                  <c:v>601</c:v>
                </c:pt>
                <c:pt idx="3">
                  <c:v>534</c:v>
                </c:pt>
                <c:pt idx="4">
                  <c:v>373</c:v>
                </c:pt>
                <c:pt idx="5">
                  <c:v>382</c:v>
                </c:pt>
                <c:pt idx="6">
                  <c:v>526</c:v>
                </c:pt>
                <c:pt idx="7">
                  <c:v>559</c:v>
                </c:pt>
                <c:pt idx="8">
                  <c:v>597</c:v>
                </c:pt>
                <c:pt idx="9">
                  <c:v>668</c:v>
                </c:pt>
                <c:pt idx="10">
                  <c:v>584</c:v>
                </c:pt>
                <c:pt idx="11">
                  <c:v>490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E42-4E28-A0AE-9214FDEAFFB6}"/>
            </c:ext>
          </c:extLst>
        </c:ser>
        <c:ser>
          <c:idx val="1"/>
          <c:order val="1"/>
          <c:tx>
            <c:strRef>
              <c:f>'1.1'!$A$9</c:f>
              <c:strCache>
                <c:ptCount val="1"/>
                <c:pt idx="0">
                  <c:v>Hospital Coquimbo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'1.1'!$B$9:$M$9</c:f>
              <c:numCache>
                <c:formatCode>General</c:formatCode>
                <c:ptCount val="12"/>
                <c:pt idx="0">
                  <c:v>94</c:v>
                </c:pt>
                <c:pt idx="1">
                  <c:v>72</c:v>
                </c:pt>
                <c:pt idx="2">
                  <c:v>63</c:v>
                </c:pt>
                <c:pt idx="3">
                  <c:v>71</c:v>
                </c:pt>
                <c:pt idx="4">
                  <c:v>147</c:v>
                </c:pt>
                <c:pt idx="5">
                  <c:v>113</c:v>
                </c:pt>
                <c:pt idx="6">
                  <c:v>96</c:v>
                </c:pt>
                <c:pt idx="7">
                  <c:v>47</c:v>
                </c:pt>
                <c:pt idx="8">
                  <c:v>77</c:v>
                </c:pt>
                <c:pt idx="9">
                  <c:v>34</c:v>
                </c:pt>
                <c:pt idx="10">
                  <c:v>23</c:v>
                </c:pt>
                <c:pt idx="11">
                  <c:v>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E42-4E28-A0AE-9214FDEAFFB6}"/>
            </c:ext>
          </c:extLst>
        </c:ser>
        <c:ser>
          <c:idx val="2"/>
          <c:order val="2"/>
          <c:tx>
            <c:strRef>
              <c:f>'1.1'!$A$10</c:f>
              <c:strCache>
                <c:ptCount val="1"/>
                <c:pt idx="0">
                  <c:v>Hospital Ovalle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'1.1'!$B$10:$M$10</c:f>
              <c:numCache>
                <c:formatCode>General</c:formatCode>
                <c:ptCount val="12"/>
                <c:pt idx="0">
                  <c:v>60</c:v>
                </c:pt>
                <c:pt idx="1">
                  <c:v>110</c:v>
                </c:pt>
                <c:pt idx="2">
                  <c:v>81</c:v>
                </c:pt>
                <c:pt idx="3">
                  <c:v>62</c:v>
                </c:pt>
                <c:pt idx="4">
                  <c:v>57</c:v>
                </c:pt>
                <c:pt idx="5">
                  <c:v>33</c:v>
                </c:pt>
                <c:pt idx="6">
                  <c:v>77</c:v>
                </c:pt>
                <c:pt idx="7">
                  <c:v>38</c:v>
                </c:pt>
                <c:pt idx="8">
                  <c:v>48</c:v>
                </c:pt>
                <c:pt idx="9">
                  <c:v>50</c:v>
                </c:pt>
                <c:pt idx="10">
                  <c:v>51</c:v>
                </c:pt>
                <c:pt idx="11">
                  <c:v>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E42-4E28-A0AE-9214FDEAFFB6}"/>
            </c:ext>
          </c:extLst>
        </c:ser>
        <c:ser>
          <c:idx val="3"/>
          <c:order val="3"/>
          <c:tx>
            <c:strRef>
              <c:f>'1.1'!$A$11</c:f>
              <c:strCache>
                <c:ptCount val="1"/>
                <c:pt idx="0">
                  <c:v>Hospital Illapel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'1.1'!$B$11:$M$11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16</c:v>
                </c:pt>
                <c:pt idx="5">
                  <c:v>19</c:v>
                </c:pt>
                <c:pt idx="6">
                  <c:v>21</c:v>
                </c:pt>
                <c:pt idx="7">
                  <c:v>1</c:v>
                </c:pt>
                <c:pt idx="8">
                  <c:v>4</c:v>
                </c:pt>
                <c:pt idx="9">
                  <c:v>3</c:v>
                </c:pt>
                <c:pt idx="10">
                  <c:v>5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E42-4E28-A0AE-9214FDEAFFB6}"/>
            </c:ext>
          </c:extLst>
        </c:ser>
        <c:ser>
          <c:idx val="4"/>
          <c:order val="4"/>
          <c:tx>
            <c:strRef>
              <c:f>'1.1'!$A$12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'1.1'!$B$12:$M$12</c:f>
              <c:numCache>
                <c:formatCode>General</c:formatCode>
                <c:ptCount val="12"/>
                <c:pt idx="0">
                  <c:v>19</c:v>
                </c:pt>
                <c:pt idx="1">
                  <c:v>25</c:v>
                </c:pt>
                <c:pt idx="2">
                  <c:v>18</c:v>
                </c:pt>
                <c:pt idx="3">
                  <c:v>30</c:v>
                </c:pt>
                <c:pt idx="4">
                  <c:v>9</c:v>
                </c:pt>
                <c:pt idx="5">
                  <c:v>10</c:v>
                </c:pt>
                <c:pt idx="6">
                  <c:v>24</c:v>
                </c:pt>
                <c:pt idx="7">
                  <c:v>33</c:v>
                </c:pt>
                <c:pt idx="8">
                  <c:v>38</c:v>
                </c:pt>
                <c:pt idx="9">
                  <c:v>23</c:v>
                </c:pt>
                <c:pt idx="10">
                  <c:v>26</c:v>
                </c:pt>
                <c:pt idx="11">
                  <c:v>11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E42-4E28-A0AE-9214FDEAFFB6}"/>
            </c:ext>
          </c:extLst>
        </c:ser>
        <c:ser>
          <c:idx val="5"/>
          <c:order val="5"/>
          <c:tx>
            <c:strRef>
              <c:f>'1.1'!$A$13</c:f>
              <c:strCache>
                <c:ptCount val="1"/>
                <c:pt idx="0">
                  <c:v>APS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'1.1'!$B$7:$M$7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'1.1'!$B$13:$M$13</c:f>
              <c:numCache>
                <c:formatCode>General</c:formatCode>
                <c:ptCount val="12"/>
                <c:pt idx="0">
                  <c:v>62</c:v>
                </c:pt>
                <c:pt idx="1">
                  <c:v>90</c:v>
                </c:pt>
                <c:pt idx="2">
                  <c:v>58</c:v>
                </c:pt>
                <c:pt idx="3">
                  <c:v>147</c:v>
                </c:pt>
                <c:pt idx="4">
                  <c:v>66</c:v>
                </c:pt>
                <c:pt idx="5">
                  <c:v>80</c:v>
                </c:pt>
                <c:pt idx="6">
                  <c:v>63</c:v>
                </c:pt>
                <c:pt idx="7">
                  <c:v>99</c:v>
                </c:pt>
                <c:pt idx="8">
                  <c:v>76</c:v>
                </c:pt>
                <c:pt idx="9">
                  <c:v>52</c:v>
                </c:pt>
                <c:pt idx="10">
                  <c:v>56</c:v>
                </c:pt>
                <c:pt idx="11">
                  <c:v>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7E42-4E28-A0AE-9214FDEAF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0636744"/>
        <c:axId val="660642320"/>
      </c:lineChart>
      <c:catAx>
        <c:axId val="66063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660642320"/>
        <c:crosses val="autoZero"/>
        <c:auto val="1"/>
        <c:lblAlgn val="ctr"/>
        <c:lblOffset val="100"/>
        <c:noMultiLvlLbl val="0"/>
      </c:catAx>
      <c:valAx>
        <c:axId val="66064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660636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674965602915349"/>
          <c:y val="7.7057240185402359E-2"/>
          <c:w val="0.32325034397084657"/>
          <c:h val="0.5744721058803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'1.1'!$A$20</c:f>
              <c:strCache>
                <c:ptCount val="1"/>
                <c:pt idx="0">
                  <c:v>Hospital la Serena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'1.1'!$B$19:$M$19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'1.1'!$B$20:$M$20</c:f>
              <c:numCache>
                <c:formatCode>General</c:formatCode>
                <c:ptCount val="12"/>
                <c:pt idx="0">
                  <c:v>527</c:v>
                </c:pt>
                <c:pt idx="1">
                  <c:v>988</c:v>
                </c:pt>
                <c:pt idx="2">
                  <c:v>596</c:v>
                </c:pt>
                <c:pt idx="3">
                  <c:v>605</c:v>
                </c:pt>
                <c:pt idx="4">
                  <c:v>660</c:v>
                </c:pt>
                <c:pt idx="5">
                  <c:v>710</c:v>
                </c:pt>
                <c:pt idx="6">
                  <c:v>636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E2-42F5-9085-6E5EF5CFD8EC}"/>
            </c:ext>
          </c:extLst>
        </c:ser>
        <c:ser>
          <c:idx val="1"/>
          <c:order val="1"/>
          <c:tx>
            <c:strRef>
              <c:f>'1.1'!$A$21</c:f>
              <c:strCache>
                <c:ptCount val="1"/>
                <c:pt idx="0">
                  <c:v>Hospital Coquimbo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'1.1'!$B$19:$M$19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'1.1'!$B$21:$M$21</c:f>
              <c:numCache>
                <c:formatCode>General</c:formatCode>
                <c:ptCount val="12"/>
                <c:pt idx="0">
                  <c:v>0</c:v>
                </c:pt>
                <c:pt idx="1">
                  <c:v>31</c:v>
                </c:pt>
                <c:pt idx="2">
                  <c:v>35</c:v>
                </c:pt>
                <c:pt idx="3">
                  <c:v>28</c:v>
                </c:pt>
                <c:pt idx="4">
                  <c:v>47</c:v>
                </c:pt>
                <c:pt idx="5">
                  <c:v>33</c:v>
                </c:pt>
                <c:pt idx="6">
                  <c:v>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CE2-42F5-9085-6E5EF5CFD8EC}"/>
            </c:ext>
          </c:extLst>
        </c:ser>
        <c:ser>
          <c:idx val="2"/>
          <c:order val="2"/>
          <c:tx>
            <c:strRef>
              <c:f>'1.1'!$A$22</c:f>
              <c:strCache>
                <c:ptCount val="1"/>
                <c:pt idx="0">
                  <c:v>Hospital Ovalle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'1.1'!$B$19:$M$19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'1.1'!$B$22:$M$22</c:f>
              <c:numCache>
                <c:formatCode>General</c:formatCode>
                <c:ptCount val="12"/>
                <c:pt idx="0">
                  <c:v>61</c:v>
                </c:pt>
                <c:pt idx="1">
                  <c:v>165</c:v>
                </c:pt>
                <c:pt idx="2">
                  <c:v>65</c:v>
                </c:pt>
                <c:pt idx="3">
                  <c:v>40</c:v>
                </c:pt>
                <c:pt idx="4">
                  <c:v>51</c:v>
                </c:pt>
                <c:pt idx="5">
                  <c:v>50</c:v>
                </c:pt>
                <c:pt idx="6">
                  <c:v>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CE2-42F5-9085-6E5EF5CFD8EC}"/>
            </c:ext>
          </c:extLst>
        </c:ser>
        <c:ser>
          <c:idx val="3"/>
          <c:order val="3"/>
          <c:tx>
            <c:strRef>
              <c:f>'1.1'!$A$23</c:f>
              <c:strCache>
                <c:ptCount val="1"/>
                <c:pt idx="0">
                  <c:v>Hospital Illapel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'1.1'!$B$19:$M$19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'1.1'!$B$23:$M$23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CE2-42F5-9085-6E5EF5CFD8EC}"/>
            </c:ext>
          </c:extLst>
        </c:ser>
        <c:ser>
          <c:idx val="4"/>
          <c:order val="4"/>
          <c:tx>
            <c:strRef>
              <c:f>'1.1'!$A$24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'1.1'!$B$19:$M$19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'1.1'!$B$24:$M$24</c:f>
              <c:numCache>
                <c:formatCode>General</c:formatCode>
                <c:ptCount val="12"/>
                <c:pt idx="0">
                  <c:v>11</c:v>
                </c:pt>
                <c:pt idx="1">
                  <c:v>35</c:v>
                </c:pt>
                <c:pt idx="2">
                  <c:v>20</c:v>
                </c:pt>
                <c:pt idx="3">
                  <c:v>12</c:v>
                </c:pt>
                <c:pt idx="4">
                  <c:v>20</c:v>
                </c:pt>
                <c:pt idx="5">
                  <c:v>16</c:v>
                </c:pt>
                <c:pt idx="6">
                  <c:v>24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CE2-42F5-9085-6E5EF5CFD8EC}"/>
            </c:ext>
          </c:extLst>
        </c:ser>
        <c:ser>
          <c:idx val="5"/>
          <c:order val="5"/>
          <c:tx>
            <c:strRef>
              <c:f>'1.1'!$A$25</c:f>
              <c:strCache>
                <c:ptCount val="1"/>
                <c:pt idx="0">
                  <c:v>APS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'1.1'!$B$19:$M$19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'1.1'!$B$25:$M$25</c:f>
              <c:numCache>
                <c:formatCode>General</c:formatCode>
                <c:ptCount val="12"/>
                <c:pt idx="0">
                  <c:v>34</c:v>
                </c:pt>
                <c:pt idx="1">
                  <c:v>133</c:v>
                </c:pt>
                <c:pt idx="2">
                  <c:v>88</c:v>
                </c:pt>
                <c:pt idx="3">
                  <c:v>99</c:v>
                </c:pt>
                <c:pt idx="4">
                  <c:v>78</c:v>
                </c:pt>
                <c:pt idx="5">
                  <c:v>72</c:v>
                </c:pt>
                <c:pt idx="6">
                  <c:v>101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0CE2-42F5-9085-6E5EF5CFD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7313080"/>
        <c:axId val="507314064"/>
      </c:lineChart>
      <c:catAx>
        <c:axId val="507313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7314064"/>
        <c:crosses val="autoZero"/>
        <c:auto val="1"/>
        <c:lblAlgn val="ctr"/>
        <c:lblOffset val="100"/>
        <c:noMultiLvlLbl val="0"/>
      </c:catAx>
      <c:valAx>
        <c:axId val="50731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7313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49137</xdr:colOff>
      <xdr:row>11</xdr:row>
      <xdr:rowOff>7277</xdr:rowOff>
    </xdr:from>
    <xdr:to>
      <xdr:col>12</xdr:col>
      <xdr:colOff>695665</xdr:colOff>
      <xdr:row>25</xdr:row>
      <xdr:rowOff>53710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6E7433D-5DA9-4C89-B377-6BFF8E6739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35719</xdr:colOff>
      <xdr:row>0</xdr:row>
      <xdr:rowOff>166687</xdr:rowOff>
    </xdr:from>
    <xdr:to>
      <xdr:col>19</xdr:col>
      <xdr:colOff>642937</xdr:colOff>
      <xdr:row>14</xdr:row>
      <xdr:rowOff>71437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8538CD0-A5DF-4DBD-B1E2-36E96621ED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57149</xdr:colOff>
      <xdr:row>15</xdr:row>
      <xdr:rowOff>76200</xdr:rowOff>
    </xdr:from>
    <xdr:to>
      <xdr:col>19</xdr:col>
      <xdr:colOff>702468</xdr:colOff>
      <xdr:row>28</xdr:row>
      <xdr:rowOff>90488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D7413CD-E554-4ECF-9AAC-35424479CC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2"/>
  <sheetViews>
    <sheetView workbookViewId="0">
      <selection activeCell="D8" sqref="D8"/>
    </sheetView>
  </sheetViews>
  <sheetFormatPr baseColWidth="10" defaultRowHeight="15" x14ac:dyDescent="0.25"/>
  <cols>
    <col min="1" max="1" width="11.42578125" style="108"/>
    <col min="2" max="2" width="29" customWidth="1"/>
  </cols>
  <sheetData>
    <row r="2" spans="1:2" x14ac:dyDescent="0.25">
      <c r="A2" s="165" t="s">
        <v>180</v>
      </c>
      <c r="B2" s="166" t="s">
        <v>181</v>
      </c>
    </row>
    <row r="3" spans="1:2" x14ac:dyDescent="0.25">
      <c r="A3" s="165" t="s">
        <v>380</v>
      </c>
      <c r="B3" s="166" t="s">
        <v>182</v>
      </c>
    </row>
    <row r="4" spans="1:2" x14ac:dyDescent="0.25">
      <c r="A4" s="165" t="s">
        <v>381</v>
      </c>
      <c r="B4" s="166" t="s">
        <v>183</v>
      </c>
    </row>
    <row r="6" spans="1:2" x14ac:dyDescent="0.25">
      <c r="A6" s="108" t="s">
        <v>59</v>
      </c>
    </row>
    <row r="7" spans="1:2" x14ac:dyDescent="0.25">
      <c r="A7" s="167" t="s">
        <v>184</v>
      </c>
      <c r="B7" s="109" t="s">
        <v>185</v>
      </c>
    </row>
    <row r="8" spans="1:2" x14ac:dyDescent="0.25">
      <c r="A8" s="167" t="s">
        <v>188</v>
      </c>
      <c r="B8" s="109" t="s">
        <v>186</v>
      </c>
    </row>
    <row r="9" spans="1:2" x14ac:dyDescent="0.25">
      <c r="A9" s="168" t="s">
        <v>187</v>
      </c>
      <c r="B9" s="101" t="s">
        <v>185</v>
      </c>
    </row>
    <row r="10" spans="1:2" x14ac:dyDescent="0.25">
      <c r="A10" s="168" t="s">
        <v>189</v>
      </c>
      <c r="B10" s="101" t="s">
        <v>186</v>
      </c>
    </row>
    <row r="11" spans="1:2" x14ac:dyDescent="0.25">
      <c r="A11" s="169" t="s">
        <v>190</v>
      </c>
      <c r="B11" s="170" t="s">
        <v>185</v>
      </c>
    </row>
    <row r="12" spans="1:2" x14ac:dyDescent="0.25">
      <c r="A12" s="169" t="s">
        <v>191</v>
      </c>
      <c r="B12" s="170" t="s">
        <v>186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M31"/>
  <sheetViews>
    <sheetView zoomScale="80" zoomScaleNormal="80" workbookViewId="0">
      <selection activeCell="N32" sqref="N32"/>
    </sheetView>
  </sheetViews>
  <sheetFormatPr baseColWidth="10" defaultRowHeight="15" x14ac:dyDescent="0.25"/>
  <sheetData>
    <row r="1" spans="1:13" x14ac:dyDescent="0.25">
      <c r="A1" s="13" t="s">
        <v>39</v>
      </c>
    </row>
    <row r="2" spans="1:13" x14ac:dyDescent="0.25">
      <c r="A2" s="13" t="s">
        <v>40</v>
      </c>
    </row>
    <row r="3" spans="1:13" x14ac:dyDescent="0.25">
      <c r="A3" s="13" t="s">
        <v>41</v>
      </c>
    </row>
    <row r="4" spans="1:13" x14ac:dyDescent="0.25">
      <c r="A4" s="13" t="s">
        <v>42</v>
      </c>
    </row>
    <row r="6" spans="1:13" ht="21" x14ac:dyDescent="0.35">
      <c r="B6" s="641" t="s">
        <v>192</v>
      </c>
      <c r="C6" s="641"/>
      <c r="D6" s="641"/>
      <c r="E6" s="641"/>
      <c r="F6" s="641"/>
      <c r="G6" s="641"/>
      <c r="H6" s="641"/>
      <c r="I6" s="641"/>
      <c r="J6" s="641"/>
      <c r="K6" s="641"/>
      <c r="L6" s="641"/>
    </row>
    <row r="7" spans="1:13" x14ac:dyDescent="0.25">
      <c r="A7" s="39"/>
    </row>
    <row r="8" spans="1:13" x14ac:dyDescent="0.25">
      <c r="A8" s="40" t="s">
        <v>83</v>
      </c>
      <c r="B8" s="41" t="s">
        <v>96</v>
      </c>
      <c r="C8" s="41" t="s">
        <v>97</v>
      </c>
      <c r="D8" s="41" t="s">
        <v>98</v>
      </c>
      <c r="E8" s="41" t="s">
        <v>99</v>
      </c>
      <c r="F8" s="41" t="s">
        <v>100</v>
      </c>
      <c r="G8" s="41" t="s">
        <v>101</v>
      </c>
      <c r="H8" s="41" t="s">
        <v>102</v>
      </c>
      <c r="I8" s="41" t="s">
        <v>103</v>
      </c>
      <c r="J8" s="41" t="s">
        <v>104</v>
      </c>
      <c r="K8" s="41" t="s">
        <v>105</v>
      </c>
      <c r="L8" s="41" t="s">
        <v>106</v>
      </c>
      <c r="M8" s="41" t="s">
        <v>107</v>
      </c>
    </row>
    <row r="9" spans="1:13" x14ac:dyDescent="0.25">
      <c r="A9" s="40">
        <v>2017</v>
      </c>
      <c r="B9" s="42">
        <v>1516</v>
      </c>
      <c r="C9" s="42">
        <v>1210</v>
      </c>
      <c r="D9" s="42">
        <v>824</v>
      </c>
      <c r="E9" s="42">
        <v>852</v>
      </c>
      <c r="F9" s="42">
        <v>668</v>
      </c>
      <c r="G9" s="42">
        <v>637</v>
      </c>
      <c r="H9" s="42">
        <v>807</v>
      </c>
      <c r="I9" s="42">
        <v>797</v>
      </c>
      <c r="J9" s="42">
        <v>840</v>
      </c>
      <c r="K9" s="42">
        <v>830</v>
      </c>
      <c r="L9" s="42">
        <v>745</v>
      </c>
      <c r="M9" s="42">
        <v>629</v>
      </c>
    </row>
    <row r="10" spans="1:13" x14ac:dyDescent="0.25">
      <c r="A10" s="40">
        <v>2018</v>
      </c>
      <c r="B10" s="42">
        <v>633</v>
      </c>
      <c r="C10" s="42">
        <v>816</v>
      </c>
      <c r="D10" s="42">
        <v>836</v>
      </c>
      <c r="E10" s="42">
        <v>915</v>
      </c>
      <c r="F10" s="42">
        <v>912</v>
      </c>
      <c r="G10" s="172">
        <v>882</v>
      </c>
      <c r="H10" s="172">
        <v>810</v>
      </c>
      <c r="I10" s="172"/>
      <c r="J10" s="172"/>
      <c r="K10" s="172"/>
      <c r="L10" s="172"/>
      <c r="M10" s="172"/>
    </row>
    <row r="11" spans="1:13" x14ac:dyDescent="0.25">
      <c r="A11" s="43"/>
      <c r="B11" s="43"/>
      <c r="C11" s="43"/>
    </row>
    <row r="12" spans="1:13" x14ac:dyDescent="0.25">
      <c r="A12" s="43"/>
      <c r="B12" s="43"/>
      <c r="C12" s="43"/>
    </row>
    <row r="13" spans="1:13" x14ac:dyDescent="0.25">
      <c r="A13" s="43"/>
      <c r="B13" s="43"/>
      <c r="C13" s="43"/>
      <c r="D13" s="43"/>
      <c r="E13" s="43"/>
      <c r="F13" s="43"/>
      <c r="G13" s="43"/>
      <c r="H13" s="43"/>
    </row>
    <row r="14" spans="1:13" x14ac:dyDescent="0.25">
      <c r="A14" s="43"/>
      <c r="B14" s="43"/>
      <c r="C14" s="43"/>
      <c r="D14" s="43"/>
      <c r="E14" s="43"/>
      <c r="F14" s="43"/>
      <c r="G14" s="43"/>
      <c r="H14" s="43"/>
    </row>
    <row r="15" spans="1:13" x14ac:dyDescent="0.25">
      <c r="A15" s="43"/>
      <c r="B15" s="43"/>
      <c r="C15" s="43"/>
      <c r="D15" s="43"/>
      <c r="E15" s="43"/>
      <c r="F15" s="43"/>
      <c r="G15" s="43"/>
      <c r="H15" s="43"/>
    </row>
    <row r="16" spans="1:13" x14ac:dyDescent="0.25">
      <c r="A16" s="43"/>
      <c r="B16" s="43"/>
      <c r="C16" s="43"/>
      <c r="D16" s="43"/>
      <c r="E16" s="43"/>
      <c r="F16" s="43"/>
      <c r="G16" s="43"/>
      <c r="H16" s="43"/>
    </row>
    <row r="17" spans="1:8" x14ac:dyDescent="0.25">
      <c r="A17" s="43"/>
      <c r="B17" s="43"/>
      <c r="C17" s="43"/>
      <c r="D17" s="43"/>
      <c r="E17" s="43"/>
      <c r="F17" s="43"/>
      <c r="G17" s="43"/>
      <c r="H17" s="43"/>
    </row>
    <row r="18" spans="1:8" x14ac:dyDescent="0.25">
      <c r="A18" s="43"/>
      <c r="B18" s="43"/>
      <c r="C18" s="43"/>
      <c r="D18" s="43"/>
      <c r="E18" s="43"/>
      <c r="F18" s="43"/>
      <c r="G18" s="43"/>
      <c r="H18" s="43"/>
    </row>
    <row r="19" spans="1:8" x14ac:dyDescent="0.25">
      <c r="A19" s="43"/>
      <c r="B19" s="43"/>
      <c r="C19" s="43"/>
      <c r="D19" s="43"/>
      <c r="E19" s="43"/>
      <c r="F19" s="43"/>
      <c r="G19" s="43"/>
      <c r="H19" s="43"/>
    </row>
    <row r="20" spans="1:8" x14ac:dyDescent="0.25">
      <c r="A20" s="43"/>
      <c r="B20" s="43"/>
      <c r="C20" s="43"/>
      <c r="D20" s="43"/>
      <c r="E20" s="43"/>
      <c r="F20" s="43"/>
      <c r="G20" s="43"/>
      <c r="H20" s="43"/>
    </row>
    <row r="21" spans="1:8" x14ac:dyDescent="0.25">
      <c r="A21" s="43"/>
      <c r="B21" s="43"/>
      <c r="C21" s="43"/>
      <c r="D21" s="43"/>
      <c r="E21" s="43"/>
      <c r="F21" s="43"/>
      <c r="G21" s="43"/>
      <c r="H21" s="43"/>
    </row>
    <row r="22" spans="1:8" x14ac:dyDescent="0.25">
      <c r="A22" s="43"/>
      <c r="B22" s="43"/>
      <c r="C22" s="43"/>
      <c r="D22" s="43"/>
      <c r="E22" s="43"/>
      <c r="F22" s="43"/>
      <c r="G22" s="43"/>
      <c r="H22" s="43"/>
    </row>
    <row r="23" spans="1:8" x14ac:dyDescent="0.25">
      <c r="A23" s="43"/>
      <c r="B23" s="43"/>
      <c r="C23" s="43"/>
      <c r="D23" s="43"/>
      <c r="E23" s="43"/>
      <c r="F23" s="43"/>
      <c r="G23" s="43"/>
      <c r="H23" s="43"/>
    </row>
    <row r="24" spans="1:8" x14ac:dyDescent="0.25">
      <c r="A24" s="43"/>
      <c r="B24" s="43"/>
      <c r="C24" s="43"/>
      <c r="D24" s="43"/>
      <c r="E24" s="43"/>
      <c r="F24" s="43"/>
      <c r="G24" s="43"/>
      <c r="H24" s="43"/>
    </row>
    <row r="25" spans="1:8" x14ac:dyDescent="0.25">
      <c r="A25" s="43"/>
      <c r="B25" s="43"/>
      <c r="C25" s="43"/>
      <c r="D25" s="43"/>
      <c r="E25" s="43"/>
      <c r="F25" s="43"/>
      <c r="G25" s="43"/>
      <c r="H25" s="43"/>
    </row>
    <row r="26" spans="1:8" x14ac:dyDescent="0.25">
      <c r="A26" s="43"/>
      <c r="B26" s="43"/>
      <c r="C26" s="43"/>
      <c r="D26" s="43"/>
      <c r="E26" s="43"/>
      <c r="F26" s="43"/>
      <c r="G26" s="43"/>
      <c r="H26" s="43"/>
    </row>
    <row r="27" spans="1:8" x14ac:dyDescent="0.25">
      <c r="A27" s="43"/>
      <c r="B27" s="43"/>
      <c r="C27" s="43"/>
      <c r="D27" s="43"/>
      <c r="E27" s="43"/>
      <c r="F27" s="43"/>
      <c r="G27" s="43"/>
      <c r="H27" s="43"/>
    </row>
    <row r="28" spans="1:8" x14ac:dyDescent="0.25">
      <c r="A28" s="43"/>
      <c r="B28" s="43"/>
      <c r="C28" s="43"/>
      <c r="D28" s="43"/>
      <c r="E28" s="43"/>
      <c r="F28" s="43"/>
      <c r="G28" s="43"/>
      <c r="H28" s="43"/>
    </row>
    <row r="29" spans="1:8" x14ac:dyDescent="0.25">
      <c r="A29" s="43"/>
      <c r="B29" s="43"/>
      <c r="C29" s="43"/>
      <c r="D29" s="43"/>
      <c r="E29" s="43"/>
      <c r="F29" s="43"/>
      <c r="G29" s="43"/>
      <c r="H29" s="43"/>
    </row>
    <row r="30" spans="1:8" x14ac:dyDescent="0.25">
      <c r="E30" s="43"/>
      <c r="F30" s="43"/>
      <c r="G30" s="43"/>
      <c r="H30" s="43"/>
    </row>
    <row r="31" spans="1:8" x14ac:dyDescent="0.25">
      <c r="E31" s="43"/>
      <c r="F31" s="43"/>
      <c r="G31" s="43"/>
      <c r="H31" s="43"/>
    </row>
  </sheetData>
  <mergeCells count="1">
    <mergeCell ref="B6:L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31"/>
  <sheetViews>
    <sheetView topLeftCell="A2" zoomScale="80" zoomScaleNormal="80" workbookViewId="0">
      <selection activeCell="H20" sqref="H20"/>
    </sheetView>
  </sheetViews>
  <sheetFormatPr baseColWidth="10" defaultRowHeight="11.25" x14ac:dyDescent="0.2"/>
  <cols>
    <col min="1" max="1" width="19.85546875" style="47" customWidth="1"/>
    <col min="2" max="16384" width="11.42578125" style="43"/>
  </cols>
  <sheetData>
    <row r="1" spans="1:13" ht="15" x14ac:dyDescent="0.25">
      <c r="A1" s="13" t="s">
        <v>39</v>
      </c>
    </row>
    <row r="2" spans="1:13" ht="15" x14ac:dyDescent="0.25">
      <c r="A2" s="13" t="s">
        <v>40</v>
      </c>
    </row>
    <row r="3" spans="1:13" ht="15" x14ac:dyDescent="0.25">
      <c r="A3" s="13" t="s">
        <v>41</v>
      </c>
    </row>
    <row r="4" spans="1:13" ht="15" x14ac:dyDescent="0.25">
      <c r="A4" s="13" t="s">
        <v>42</v>
      </c>
    </row>
    <row r="6" spans="1:13" ht="22.5" x14ac:dyDescent="0.2">
      <c r="B6" s="44" t="s">
        <v>84</v>
      </c>
      <c r="C6" s="44" t="s">
        <v>85</v>
      </c>
      <c r="D6" s="44" t="s">
        <v>86</v>
      </c>
      <c r="E6" s="44" t="s">
        <v>87</v>
      </c>
      <c r="F6" s="44" t="s">
        <v>88</v>
      </c>
      <c r="G6" s="44" t="s">
        <v>89</v>
      </c>
      <c r="H6" s="44" t="s">
        <v>90</v>
      </c>
      <c r="I6" s="44" t="s">
        <v>91</v>
      </c>
      <c r="J6" s="44" t="s">
        <v>92</v>
      </c>
      <c r="K6" s="44" t="s">
        <v>93</v>
      </c>
      <c r="L6" s="44" t="s">
        <v>94</v>
      </c>
      <c r="M6" s="44" t="s">
        <v>95</v>
      </c>
    </row>
    <row r="7" spans="1:13" x14ac:dyDescent="0.2">
      <c r="A7" s="48" t="s">
        <v>83</v>
      </c>
      <c r="B7" s="44" t="s">
        <v>96</v>
      </c>
      <c r="C7" s="44" t="s">
        <v>97</v>
      </c>
      <c r="D7" s="44" t="s">
        <v>98</v>
      </c>
      <c r="E7" s="44" t="s">
        <v>99</v>
      </c>
      <c r="F7" s="44" t="s">
        <v>100</v>
      </c>
      <c r="G7" s="44" t="s">
        <v>101</v>
      </c>
      <c r="H7" s="44" t="s">
        <v>102</v>
      </c>
      <c r="I7" s="44" t="s">
        <v>103</v>
      </c>
      <c r="J7" s="44" t="s">
        <v>104</v>
      </c>
      <c r="K7" s="44" t="s">
        <v>105</v>
      </c>
      <c r="L7" s="44" t="s">
        <v>106</v>
      </c>
      <c r="M7" s="44" t="s">
        <v>107</v>
      </c>
    </row>
    <row r="8" spans="1:13" x14ac:dyDescent="0.2">
      <c r="A8" s="49" t="s">
        <v>108</v>
      </c>
      <c r="B8" s="45">
        <v>1280</v>
      </c>
      <c r="C8" s="45">
        <v>911</v>
      </c>
      <c r="D8" s="45">
        <v>601</v>
      </c>
      <c r="E8" s="45">
        <v>534</v>
      </c>
      <c r="F8" s="45">
        <v>373</v>
      </c>
      <c r="G8" s="45">
        <v>382</v>
      </c>
      <c r="H8" s="45">
        <v>526</v>
      </c>
      <c r="I8" s="45">
        <v>559</v>
      </c>
      <c r="J8" s="45">
        <v>597</v>
      </c>
      <c r="K8" s="45">
        <v>668</v>
      </c>
      <c r="L8" s="45">
        <v>584</v>
      </c>
      <c r="M8" s="45">
        <v>490</v>
      </c>
    </row>
    <row r="9" spans="1:13" x14ac:dyDescent="0.2">
      <c r="A9" s="49" t="s">
        <v>109</v>
      </c>
      <c r="B9" s="45">
        <v>94</v>
      </c>
      <c r="C9" s="45">
        <v>72</v>
      </c>
      <c r="D9" s="45">
        <v>63</v>
      </c>
      <c r="E9" s="45">
        <v>71</v>
      </c>
      <c r="F9" s="45">
        <v>147</v>
      </c>
      <c r="G9" s="45">
        <v>113</v>
      </c>
      <c r="H9" s="45">
        <v>96</v>
      </c>
      <c r="I9" s="45">
        <v>47</v>
      </c>
      <c r="J9" s="45">
        <v>77</v>
      </c>
      <c r="K9" s="45">
        <v>34</v>
      </c>
      <c r="L9" s="45">
        <v>23</v>
      </c>
      <c r="M9" s="45">
        <v>5</v>
      </c>
    </row>
    <row r="10" spans="1:13" x14ac:dyDescent="0.2">
      <c r="A10" s="49" t="s">
        <v>110</v>
      </c>
      <c r="B10" s="45">
        <v>60</v>
      </c>
      <c r="C10" s="45">
        <v>110</v>
      </c>
      <c r="D10" s="45">
        <v>81</v>
      </c>
      <c r="E10" s="45">
        <v>62</v>
      </c>
      <c r="F10" s="45">
        <v>57</v>
      </c>
      <c r="G10" s="45">
        <v>33</v>
      </c>
      <c r="H10" s="45">
        <v>77</v>
      </c>
      <c r="I10" s="45">
        <v>38</v>
      </c>
      <c r="J10" s="45">
        <v>48</v>
      </c>
      <c r="K10" s="45">
        <v>50</v>
      </c>
      <c r="L10" s="45">
        <v>51</v>
      </c>
      <c r="M10" s="45">
        <v>81</v>
      </c>
    </row>
    <row r="11" spans="1:13" x14ac:dyDescent="0.2">
      <c r="A11" s="49" t="s">
        <v>111</v>
      </c>
      <c r="B11" s="45">
        <v>1</v>
      </c>
      <c r="C11" s="45">
        <v>2</v>
      </c>
      <c r="D11" s="45">
        <v>3</v>
      </c>
      <c r="E11" s="45">
        <v>8</v>
      </c>
      <c r="F11" s="45">
        <v>16</v>
      </c>
      <c r="G11" s="45">
        <v>19</v>
      </c>
      <c r="H11" s="45">
        <v>21</v>
      </c>
      <c r="I11" s="45">
        <v>1</v>
      </c>
      <c r="J11" s="45">
        <v>4</v>
      </c>
      <c r="K11" s="45">
        <v>3</v>
      </c>
      <c r="L11" s="45">
        <v>5</v>
      </c>
      <c r="M11" s="45">
        <v>0</v>
      </c>
    </row>
    <row r="12" spans="1:13" x14ac:dyDescent="0.2">
      <c r="A12" s="49" t="s">
        <v>113</v>
      </c>
      <c r="B12" s="45">
        <f>15+4</f>
        <v>19</v>
      </c>
      <c r="C12" s="45">
        <f>12+7+4+2</f>
        <v>25</v>
      </c>
      <c r="D12" s="45">
        <f>13+2+2+1</f>
        <v>18</v>
      </c>
      <c r="E12" s="45">
        <f>17+6+4+3</f>
        <v>30</v>
      </c>
      <c r="F12" s="45">
        <f>6+1+1+1</f>
        <v>9</v>
      </c>
      <c r="G12" s="45">
        <f>6+3+1</f>
        <v>10</v>
      </c>
      <c r="H12" s="45">
        <f>8+6+5+3+2</f>
        <v>24</v>
      </c>
      <c r="I12" s="45">
        <f>16+15+2</f>
        <v>33</v>
      </c>
      <c r="J12" s="45">
        <f>11+10+6+6+5</f>
        <v>38</v>
      </c>
      <c r="K12" s="45">
        <f>11+5+3+3+1</f>
        <v>23</v>
      </c>
      <c r="L12" s="45">
        <f>13+11+1+1</f>
        <v>26</v>
      </c>
      <c r="M12" s="45">
        <f>8+2+1</f>
        <v>11</v>
      </c>
    </row>
    <row r="13" spans="1:13" x14ac:dyDescent="0.2">
      <c r="A13" s="49" t="s">
        <v>112</v>
      </c>
      <c r="B13" s="45">
        <f t="shared" ref="B13:C13" si="0">B14-(B8+B9+B10+B11+B12)</f>
        <v>62</v>
      </c>
      <c r="C13" s="45">
        <f t="shared" si="0"/>
        <v>90</v>
      </c>
      <c r="D13" s="45">
        <f t="shared" ref="D13:M13" si="1">D14-(D8+D9+D10+D11+D12)</f>
        <v>58</v>
      </c>
      <c r="E13" s="45">
        <f t="shared" si="1"/>
        <v>147</v>
      </c>
      <c r="F13" s="45">
        <f t="shared" si="1"/>
        <v>66</v>
      </c>
      <c r="G13" s="45">
        <f t="shared" si="1"/>
        <v>80</v>
      </c>
      <c r="H13" s="45">
        <f t="shared" si="1"/>
        <v>63</v>
      </c>
      <c r="I13" s="45">
        <f t="shared" si="1"/>
        <v>99</v>
      </c>
      <c r="J13" s="45">
        <f t="shared" si="1"/>
        <v>76</v>
      </c>
      <c r="K13" s="45">
        <f t="shared" si="1"/>
        <v>52</v>
      </c>
      <c r="L13" s="45">
        <f t="shared" si="1"/>
        <v>56</v>
      </c>
      <c r="M13" s="45">
        <f t="shared" si="1"/>
        <v>42</v>
      </c>
    </row>
    <row r="14" spans="1:13" x14ac:dyDescent="0.2">
      <c r="A14" s="51" t="s">
        <v>114</v>
      </c>
      <c r="B14" s="46">
        <v>1516</v>
      </c>
      <c r="C14" s="46">
        <v>1210</v>
      </c>
      <c r="D14" s="46">
        <v>824</v>
      </c>
      <c r="E14" s="46">
        <v>852</v>
      </c>
      <c r="F14" s="46">
        <v>668</v>
      </c>
      <c r="G14" s="46">
        <v>637</v>
      </c>
      <c r="H14" s="46">
        <v>807</v>
      </c>
      <c r="I14" s="46">
        <v>777</v>
      </c>
      <c r="J14" s="46">
        <v>840</v>
      </c>
      <c r="K14" s="46">
        <v>830</v>
      </c>
      <c r="L14" s="46">
        <v>745</v>
      </c>
      <c r="M14" s="46">
        <v>629</v>
      </c>
    </row>
    <row r="15" spans="1:13" x14ac:dyDescent="0.2">
      <c r="A15" s="50"/>
    </row>
    <row r="16" spans="1:13" x14ac:dyDescent="0.2">
      <c r="A16" s="50"/>
    </row>
    <row r="18" spans="1:13" ht="22.5" x14ac:dyDescent="0.2">
      <c r="B18" s="41" t="s">
        <v>115</v>
      </c>
      <c r="C18" s="41" t="s">
        <v>116</v>
      </c>
      <c r="D18" s="41" t="s">
        <v>117</v>
      </c>
      <c r="E18" s="41" t="s">
        <v>118</v>
      </c>
      <c r="F18" s="41" t="s">
        <v>276</v>
      </c>
      <c r="G18" s="41" t="s">
        <v>277</v>
      </c>
      <c r="H18" s="41" t="s">
        <v>419</v>
      </c>
      <c r="I18" s="41"/>
      <c r="J18" s="41"/>
      <c r="K18" s="41"/>
      <c r="L18" s="41"/>
      <c r="M18" s="41"/>
    </row>
    <row r="19" spans="1:13" x14ac:dyDescent="0.2">
      <c r="A19" s="48" t="s">
        <v>83</v>
      </c>
      <c r="B19" s="44" t="s">
        <v>96</v>
      </c>
      <c r="C19" s="44" t="s">
        <v>97</v>
      </c>
      <c r="D19" s="44" t="s">
        <v>98</v>
      </c>
      <c r="E19" s="44" t="s">
        <v>99</v>
      </c>
      <c r="F19" s="44" t="s">
        <v>100</v>
      </c>
      <c r="G19" s="44" t="s">
        <v>101</v>
      </c>
      <c r="H19" s="44" t="s">
        <v>102</v>
      </c>
      <c r="I19" s="44" t="s">
        <v>103</v>
      </c>
      <c r="J19" s="44" t="s">
        <v>104</v>
      </c>
      <c r="K19" s="44" t="s">
        <v>105</v>
      </c>
      <c r="L19" s="44" t="s">
        <v>106</v>
      </c>
      <c r="M19" s="44" t="s">
        <v>107</v>
      </c>
    </row>
    <row r="20" spans="1:13" x14ac:dyDescent="0.2">
      <c r="A20" s="49" t="s">
        <v>108</v>
      </c>
      <c r="B20" s="45">
        <v>527</v>
      </c>
      <c r="C20" s="45">
        <v>988</v>
      </c>
      <c r="D20" s="45">
        <v>596</v>
      </c>
      <c r="E20" s="45">
        <v>605</v>
      </c>
      <c r="F20" s="45">
        <v>660</v>
      </c>
      <c r="G20" s="45">
        <v>710</v>
      </c>
      <c r="H20" s="45">
        <v>636</v>
      </c>
      <c r="I20" s="45"/>
      <c r="J20" s="45"/>
      <c r="K20" s="45"/>
      <c r="L20" s="45"/>
      <c r="M20" s="45"/>
    </row>
    <row r="21" spans="1:13" x14ac:dyDescent="0.2">
      <c r="A21" s="49" t="s">
        <v>109</v>
      </c>
      <c r="B21" s="45">
        <v>0</v>
      </c>
      <c r="C21" s="45">
        <v>31</v>
      </c>
      <c r="D21" s="45">
        <v>35</v>
      </c>
      <c r="E21" s="45">
        <v>28</v>
      </c>
      <c r="F21" s="45">
        <v>47</v>
      </c>
      <c r="G21" s="45">
        <v>33</v>
      </c>
      <c r="H21" s="45">
        <v>5</v>
      </c>
      <c r="I21" s="45"/>
      <c r="J21" s="45"/>
      <c r="K21" s="45"/>
      <c r="L21" s="45"/>
      <c r="M21" s="45"/>
    </row>
    <row r="22" spans="1:13" x14ac:dyDescent="0.2">
      <c r="A22" s="49" t="s">
        <v>110</v>
      </c>
      <c r="B22" s="45">
        <v>61</v>
      </c>
      <c r="C22" s="45">
        <v>165</v>
      </c>
      <c r="D22" s="45">
        <v>65</v>
      </c>
      <c r="E22" s="45">
        <v>40</v>
      </c>
      <c r="F22" s="45">
        <v>51</v>
      </c>
      <c r="G22" s="45">
        <v>50</v>
      </c>
      <c r="H22" s="45">
        <v>43</v>
      </c>
      <c r="I22" s="45"/>
      <c r="J22" s="45"/>
      <c r="K22" s="45"/>
      <c r="L22" s="45"/>
      <c r="M22" s="45"/>
    </row>
    <row r="23" spans="1:13" x14ac:dyDescent="0.2">
      <c r="A23" s="49" t="s">
        <v>111</v>
      </c>
      <c r="B23" s="45">
        <v>0</v>
      </c>
      <c r="C23" s="45">
        <v>0</v>
      </c>
      <c r="D23" s="45">
        <v>0</v>
      </c>
      <c r="E23" s="45">
        <v>1</v>
      </c>
      <c r="F23" s="45">
        <v>4</v>
      </c>
      <c r="G23" s="45">
        <v>1</v>
      </c>
      <c r="H23" s="45">
        <v>1</v>
      </c>
      <c r="I23" s="45"/>
      <c r="J23" s="45"/>
      <c r="K23" s="45"/>
      <c r="L23" s="45"/>
      <c r="M23" s="45"/>
    </row>
    <row r="24" spans="1:13" x14ac:dyDescent="0.2">
      <c r="A24" s="49" t="s">
        <v>113</v>
      </c>
      <c r="B24" s="45">
        <f>6+2+1+1+1</f>
        <v>11</v>
      </c>
      <c r="C24" s="45">
        <f>16+8+7+3+1</f>
        <v>35</v>
      </c>
      <c r="D24" s="45">
        <f>8+8+4</f>
        <v>20</v>
      </c>
      <c r="E24" s="45">
        <f>8+4</f>
        <v>12</v>
      </c>
      <c r="F24" s="45">
        <f>7+7+4+1+1</f>
        <v>20</v>
      </c>
      <c r="G24" s="45">
        <v>16</v>
      </c>
      <c r="H24" s="45">
        <v>24</v>
      </c>
      <c r="I24" s="45"/>
      <c r="J24" s="45"/>
      <c r="K24" s="45"/>
      <c r="L24" s="45"/>
      <c r="M24" s="45"/>
    </row>
    <row r="25" spans="1:13" x14ac:dyDescent="0.2">
      <c r="A25" s="49" t="s">
        <v>112</v>
      </c>
      <c r="B25" s="45">
        <f>B26-(B20+B21+B22+B23+B24)</f>
        <v>34</v>
      </c>
      <c r="C25" s="45">
        <f t="shared" ref="C25:F25" si="2">C26-(C20+C21+C22+C23+C24)</f>
        <v>133</v>
      </c>
      <c r="D25" s="45">
        <f t="shared" si="2"/>
        <v>88</v>
      </c>
      <c r="E25" s="45">
        <f t="shared" si="2"/>
        <v>99</v>
      </c>
      <c r="F25" s="45">
        <f t="shared" si="2"/>
        <v>78</v>
      </c>
      <c r="G25" s="45">
        <f>882-810</f>
        <v>72</v>
      </c>
      <c r="H25" s="45">
        <v>101</v>
      </c>
      <c r="I25" s="45"/>
      <c r="J25" s="45"/>
      <c r="K25" s="45"/>
      <c r="L25" s="45"/>
      <c r="M25" s="45"/>
    </row>
    <row r="26" spans="1:13" x14ac:dyDescent="0.2">
      <c r="A26" s="52" t="s">
        <v>119</v>
      </c>
      <c r="B26" s="53">
        <v>633</v>
      </c>
      <c r="C26" s="53">
        <v>1352</v>
      </c>
      <c r="D26" s="53">
        <v>804</v>
      </c>
      <c r="E26" s="53">
        <v>785</v>
      </c>
      <c r="F26" s="53">
        <v>860</v>
      </c>
      <c r="G26" s="53">
        <v>882</v>
      </c>
      <c r="H26" s="53">
        <v>810</v>
      </c>
      <c r="I26" s="53"/>
      <c r="J26" s="53"/>
      <c r="K26" s="53"/>
      <c r="L26" s="53"/>
      <c r="M26" s="53"/>
    </row>
    <row r="30" spans="1:13" x14ac:dyDescent="0.2">
      <c r="A30" s="43"/>
    </row>
    <row r="31" spans="1:13" x14ac:dyDescent="0.2">
      <c r="A31" s="4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Q69"/>
  <sheetViews>
    <sheetView zoomScale="60" zoomScaleNormal="60" workbookViewId="0">
      <selection activeCell="U30" sqref="U30"/>
    </sheetView>
  </sheetViews>
  <sheetFormatPr baseColWidth="10" defaultRowHeight="15" x14ac:dyDescent="0.25"/>
  <cols>
    <col min="1" max="1" width="5.7109375" customWidth="1"/>
    <col min="2" max="2" width="72.140625" hidden="1" customWidth="1"/>
    <col min="3" max="3" width="11.5703125" hidden="1" customWidth="1"/>
    <col min="4" max="5" width="0" hidden="1" customWidth="1"/>
    <col min="6" max="6" width="3.140625" hidden="1" customWidth="1"/>
    <col min="7" max="7" width="4.28515625" bestFit="1" customWidth="1"/>
    <col min="8" max="8" width="68.140625" customWidth="1"/>
    <col min="13" max="13" width="4.28515625" style="173" bestFit="1" customWidth="1"/>
    <col min="14" max="14" width="68.140625" style="173" customWidth="1"/>
    <col min="15" max="17" width="11.42578125" style="173"/>
  </cols>
  <sheetData>
    <row r="1" spans="1:17" x14ac:dyDescent="0.25">
      <c r="A1" s="39" t="s">
        <v>39</v>
      </c>
    </row>
    <row r="2" spans="1:17" x14ac:dyDescent="0.25">
      <c r="A2" s="39" t="s">
        <v>40</v>
      </c>
    </row>
    <row r="3" spans="1:17" x14ac:dyDescent="0.25">
      <c r="A3" s="39" t="s">
        <v>41</v>
      </c>
    </row>
    <row r="4" spans="1:17" x14ac:dyDescent="0.25">
      <c r="A4" s="39" t="s">
        <v>42</v>
      </c>
    </row>
    <row r="5" spans="1:17" x14ac:dyDescent="0.25">
      <c r="A5" s="39"/>
    </row>
    <row r="6" spans="1:17" ht="20.25" customHeight="1" x14ac:dyDescent="0.35">
      <c r="B6" s="642" t="s">
        <v>270</v>
      </c>
      <c r="C6" s="642"/>
      <c r="D6" s="642"/>
      <c r="G6" s="173"/>
      <c r="H6" s="642" t="s">
        <v>270</v>
      </c>
      <c r="I6" s="642"/>
      <c r="J6" s="642"/>
      <c r="K6" s="176"/>
      <c r="L6" s="173"/>
      <c r="N6" s="642" t="s">
        <v>270</v>
      </c>
      <c r="O6" s="642"/>
      <c r="P6" s="642"/>
      <c r="Q6" s="176"/>
    </row>
    <row r="7" spans="1:17" ht="20.25" customHeight="1" x14ac:dyDescent="0.35">
      <c r="B7" s="643">
        <v>43235</v>
      </c>
      <c r="C7" s="643"/>
      <c r="D7" s="643"/>
      <c r="G7" s="173"/>
      <c r="H7" s="643">
        <v>43256</v>
      </c>
      <c r="I7" s="643"/>
      <c r="J7" s="643"/>
      <c r="K7" s="173"/>
      <c r="L7" s="173"/>
      <c r="N7" s="643">
        <v>43290</v>
      </c>
      <c r="O7" s="643"/>
      <c r="P7" s="643"/>
    </row>
    <row r="8" spans="1:17" ht="30" x14ac:dyDescent="0.25">
      <c r="B8" s="154" t="s">
        <v>197</v>
      </c>
      <c r="C8" s="155" t="s">
        <v>198</v>
      </c>
      <c r="D8" s="156" t="s">
        <v>199</v>
      </c>
      <c r="G8" s="173"/>
      <c r="H8" s="154" t="s">
        <v>197</v>
      </c>
      <c r="I8" s="155" t="s">
        <v>198</v>
      </c>
      <c r="J8" s="156" t="s">
        <v>199</v>
      </c>
      <c r="K8" s="173"/>
      <c r="L8" s="173"/>
      <c r="N8" s="154" t="s">
        <v>197</v>
      </c>
      <c r="O8" s="155" t="s">
        <v>198</v>
      </c>
      <c r="P8" s="156" t="s">
        <v>199</v>
      </c>
    </row>
    <row r="9" spans="1:17" ht="15.75" thickBot="1" x14ac:dyDescent="0.3">
      <c r="B9" s="157" t="s">
        <v>121</v>
      </c>
      <c r="C9" s="158">
        <f>SUM(C10:C69)</f>
        <v>858</v>
      </c>
      <c r="D9" s="159">
        <f>C9/$C$9</f>
        <v>1</v>
      </c>
      <c r="G9" s="173"/>
      <c r="H9" s="157" t="s">
        <v>121</v>
      </c>
      <c r="I9" s="158">
        <v>882</v>
      </c>
      <c r="J9" s="159">
        <v>1</v>
      </c>
      <c r="K9" s="173"/>
      <c r="L9" s="173"/>
      <c r="N9" s="157" t="s">
        <v>121</v>
      </c>
      <c r="O9" s="158">
        <f>SUM(O10:O65)</f>
        <v>810</v>
      </c>
      <c r="P9" s="159">
        <f>O9/$O$9</f>
        <v>1</v>
      </c>
    </row>
    <row r="10" spans="1:17" x14ac:dyDescent="0.25">
      <c r="A10" t="s">
        <v>200</v>
      </c>
      <c r="B10" s="160" t="s">
        <v>201</v>
      </c>
      <c r="C10" s="161">
        <v>210</v>
      </c>
      <c r="D10" s="159">
        <f t="shared" ref="D10:D69" si="0">C10/$C$9</f>
        <v>0.24475524475524477</v>
      </c>
      <c r="E10" s="644">
        <f>SUM(D10,D11,D12)</f>
        <v>0.4358974358974359</v>
      </c>
      <c r="G10" s="173" t="s">
        <v>200</v>
      </c>
      <c r="H10" s="160" t="s">
        <v>201</v>
      </c>
      <c r="I10" s="161">
        <v>230</v>
      </c>
      <c r="J10" s="159">
        <v>0.26077097505668934</v>
      </c>
      <c r="K10" s="644">
        <f>SUM(J10:J12)</f>
        <v>0.49433106575963714</v>
      </c>
      <c r="L10" s="173"/>
      <c r="M10" s="173" t="s">
        <v>200</v>
      </c>
      <c r="N10" s="160" t="s">
        <v>201</v>
      </c>
      <c r="O10" s="161">
        <v>196</v>
      </c>
      <c r="P10" s="159">
        <f t="shared" ref="P10:P65" si="1">O10/$O$9</f>
        <v>0.24197530864197531</v>
      </c>
      <c r="Q10" s="644">
        <f>SUM(P10:P12)</f>
        <v>0.40740740740740744</v>
      </c>
    </row>
    <row r="11" spans="1:17" x14ac:dyDescent="0.25">
      <c r="A11" t="s">
        <v>202</v>
      </c>
      <c r="B11" s="160" t="s">
        <v>203</v>
      </c>
      <c r="C11" s="161">
        <v>89</v>
      </c>
      <c r="D11" s="159">
        <f t="shared" si="0"/>
        <v>0.10372960372960373</v>
      </c>
      <c r="E11" s="645"/>
      <c r="G11" s="173" t="s">
        <v>202</v>
      </c>
      <c r="H11" s="160" t="s">
        <v>205</v>
      </c>
      <c r="I11" s="161">
        <v>125</v>
      </c>
      <c r="J11" s="159">
        <v>0.14172335600907029</v>
      </c>
      <c r="K11" s="645"/>
      <c r="L11" s="173"/>
      <c r="M11" s="173" t="s">
        <v>202</v>
      </c>
      <c r="N11" s="160" t="s">
        <v>205</v>
      </c>
      <c r="O11" s="161">
        <v>69</v>
      </c>
      <c r="P11" s="159">
        <f t="shared" si="1"/>
        <v>8.5185185185185183E-2</v>
      </c>
      <c r="Q11" s="645"/>
    </row>
    <row r="12" spans="1:17" ht="15.75" thickBot="1" x14ac:dyDescent="0.3">
      <c r="A12" t="s">
        <v>204</v>
      </c>
      <c r="B12" s="160" t="s">
        <v>205</v>
      </c>
      <c r="C12" s="161">
        <v>75</v>
      </c>
      <c r="D12" s="159">
        <f t="shared" si="0"/>
        <v>8.7412587412587409E-2</v>
      </c>
      <c r="E12" s="646"/>
      <c r="G12" s="173" t="s">
        <v>204</v>
      </c>
      <c r="H12" s="160" t="s">
        <v>203</v>
      </c>
      <c r="I12" s="161">
        <v>81</v>
      </c>
      <c r="J12" s="159">
        <v>9.1836734693877556E-2</v>
      </c>
      <c r="K12" s="646"/>
      <c r="L12" s="173"/>
      <c r="M12" s="173" t="s">
        <v>204</v>
      </c>
      <c r="N12" s="160" t="s">
        <v>203</v>
      </c>
      <c r="O12" s="161">
        <v>65</v>
      </c>
      <c r="P12" s="159">
        <f t="shared" si="1"/>
        <v>8.0246913580246909E-2</v>
      </c>
      <c r="Q12" s="646"/>
    </row>
    <row r="13" spans="1:17" x14ac:dyDescent="0.25">
      <c r="A13" t="s">
        <v>206</v>
      </c>
      <c r="B13" s="162" t="s">
        <v>207</v>
      </c>
      <c r="C13" s="34">
        <v>55</v>
      </c>
      <c r="D13" s="159">
        <f t="shared" si="0"/>
        <v>6.4102564102564097E-2</v>
      </c>
      <c r="G13" s="173" t="s">
        <v>206</v>
      </c>
      <c r="H13" s="162" t="s">
        <v>207</v>
      </c>
      <c r="I13" s="34">
        <v>41</v>
      </c>
      <c r="J13" s="159">
        <v>4.6485260770975055E-2</v>
      </c>
      <c r="K13" s="173"/>
      <c r="L13" s="173"/>
      <c r="M13" s="173" t="s">
        <v>206</v>
      </c>
      <c r="N13" s="162" t="s">
        <v>213</v>
      </c>
      <c r="O13" s="34">
        <v>58</v>
      </c>
      <c r="P13" s="159">
        <f t="shared" si="1"/>
        <v>7.160493827160494E-2</v>
      </c>
    </row>
    <row r="14" spans="1:17" x14ac:dyDescent="0.25">
      <c r="A14" t="s">
        <v>208</v>
      </c>
      <c r="B14" s="162" t="s">
        <v>209</v>
      </c>
      <c r="C14" s="34">
        <v>41</v>
      </c>
      <c r="D14" s="159">
        <f t="shared" si="0"/>
        <v>4.7785547785547784E-2</v>
      </c>
      <c r="G14" s="173" t="s">
        <v>208</v>
      </c>
      <c r="H14" s="162" t="s">
        <v>215</v>
      </c>
      <c r="I14" s="34">
        <v>40</v>
      </c>
      <c r="J14" s="159">
        <v>4.5351473922902494E-2</v>
      </c>
      <c r="K14" s="173"/>
      <c r="L14" s="173"/>
      <c r="M14" s="173" t="s">
        <v>208</v>
      </c>
      <c r="N14" s="162" t="s">
        <v>207</v>
      </c>
      <c r="O14" s="34">
        <v>45</v>
      </c>
      <c r="P14" s="159">
        <f t="shared" si="1"/>
        <v>5.5555555555555552E-2</v>
      </c>
    </row>
    <row r="15" spans="1:17" x14ac:dyDescent="0.25">
      <c r="A15" t="s">
        <v>210</v>
      </c>
      <c r="B15" s="162" t="s">
        <v>211</v>
      </c>
      <c r="C15" s="34">
        <v>34</v>
      </c>
      <c r="D15" s="159">
        <f t="shared" si="0"/>
        <v>3.9627039627039624E-2</v>
      </c>
      <c r="G15" s="173" t="s">
        <v>210</v>
      </c>
      <c r="H15" s="162" t="s">
        <v>213</v>
      </c>
      <c r="I15" s="34">
        <v>31</v>
      </c>
      <c r="J15" s="159">
        <v>3.5147392290249435E-2</v>
      </c>
      <c r="K15" s="173"/>
      <c r="L15" s="173"/>
      <c r="M15" s="173" t="s">
        <v>210</v>
      </c>
      <c r="N15" s="162" t="s">
        <v>215</v>
      </c>
      <c r="O15" s="34">
        <v>38</v>
      </c>
      <c r="P15" s="159">
        <f t="shared" si="1"/>
        <v>4.6913580246913583E-2</v>
      </c>
    </row>
    <row r="16" spans="1:17" x14ac:dyDescent="0.25">
      <c r="A16" t="s">
        <v>212</v>
      </c>
      <c r="B16" s="162" t="s">
        <v>213</v>
      </c>
      <c r="C16" s="34">
        <v>34</v>
      </c>
      <c r="D16" s="159">
        <f t="shared" si="0"/>
        <v>3.9627039627039624E-2</v>
      </c>
      <c r="G16" s="173" t="s">
        <v>212</v>
      </c>
      <c r="H16" s="162" t="s">
        <v>211</v>
      </c>
      <c r="I16" s="34">
        <v>29</v>
      </c>
      <c r="J16" s="159">
        <v>3.2879818594104306E-2</v>
      </c>
      <c r="K16" s="173"/>
      <c r="L16" s="173"/>
      <c r="M16" s="173" t="s">
        <v>212</v>
      </c>
      <c r="N16" s="162" t="s">
        <v>211</v>
      </c>
      <c r="O16" s="34">
        <v>29</v>
      </c>
      <c r="P16" s="159">
        <f t="shared" si="1"/>
        <v>3.580246913580247E-2</v>
      </c>
    </row>
    <row r="17" spans="1:16" x14ac:dyDescent="0.25">
      <c r="A17" t="s">
        <v>214</v>
      </c>
      <c r="B17" s="162" t="s">
        <v>215</v>
      </c>
      <c r="C17" s="34">
        <v>33</v>
      </c>
      <c r="D17" s="159">
        <f t="shared" si="0"/>
        <v>3.8461538461538464E-2</v>
      </c>
      <c r="G17" s="173" t="s">
        <v>214</v>
      </c>
      <c r="H17" s="162" t="s">
        <v>209</v>
      </c>
      <c r="I17" s="34">
        <v>22</v>
      </c>
      <c r="J17" s="159">
        <v>2.4943310657596373E-2</v>
      </c>
      <c r="K17" s="173"/>
      <c r="L17" s="173"/>
      <c r="M17" s="173" t="s">
        <v>214</v>
      </c>
      <c r="N17" s="162" t="s">
        <v>209</v>
      </c>
      <c r="O17" s="34">
        <v>28</v>
      </c>
      <c r="P17" s="159">
        <f t="shared" si="1"/>
        <v>3.4567901234567898E-2</v>
      </c>
    </row>
    <row r="18" spans="1:16" x14ac:dyDescent="0.25">
      <c r="A18" t="s">
        <v>216</v>
      </c>
      <c r="B18" s="162" t="s">
        <v>217</v>
      </c>
      <c r="C18" s="34">
        <v>22</v>
      </c>
      <c r="D18" s="159">
        <f t="shared" si="0"/>
        <v>2.564102564102564E-2</v>
      </c>
      <c r="G18" s="173" t="s">
        <v>216</v>
      </c>
      <c r="H18" s="162" t="s">
        <v>217</v>
      </c>
      <c r="I18" s="34">
        <v>22</v>
      </c>
      <c r="J18" s="159">
        <v>2.4943310657596373E-2</v>
      </c>
      <c r="K18" s="173"/>
      <c r="L18" s="173"/>
      <c r="M18" s="173" t="s">
        <v>216</v>
      </c>
      <c r="N18" s="162" t="s">
        <v>217</v>
      </c>
      <c r="O18" s="34">
        <v>23</v>
      </c>
      <c r="P18" s="159">
        <f t="shared" si="1"/>
        <v>2.8395061728395062E-2</v>
      </c>
    </row>
    <row r="19" spans="1:16" x14ac:dyDescent="0.25">
      <c r="A19" t="s">
        <v>218</v>
      </c>
      <c r="B19" s="162" t="s">
        <v>219</v>
      </c>
      <c r="C19" s="34">
        <v>20</v>
      </c>
      <c r="D19" s="159">
        <f t="shared" si="0"/>
        <v>2.3310023310023312E-2</v>
      </c>
      <c r="G19" s="173" t="s">
        <v>218</v>
      </c>
      <c r="H19" s="162" t="s">
        <v>223</v>
      </c>
      <c r="I19" s="34">
        <v>21</v>
      </c>
      <c r="J19" s="159">
        <v>2.3809523809523808E-2</v>
      </c>
      <c r="K19" s="173"/>
      <c r="L19" s="173"/>
      <c r="M19" s="173" t="s">
        <v>218</v>
      </c>
      <c r="N19" s="162" t="s">
        <v>219</v>
      </c>
      <c r="O19" s="34">
        <v>18</v>
      </c>
      <c r="P19" s="159">
        <f t="shared" si="1"/>
        <v>2.2222222222222223E-2</v>
      </c>
    </row>
    <row r="20" spans="1:16" x14ac:dyDescent="0.25">
      <c r="B20" s="163" t="s">
        <v>220</v>
      </c>
      <c r="C20" s="164">
        <v>17</v>
      </c>
      <c r="D20" s="159">
        <f t="shared" si="0"/>
        <v>1.9813519813519812E-2</v>
      </c>
      <c r="G20" s="173"/>
      <c r="H20" s="163" t="s">
        <v>219</v>
      </c>
      <c r="I20" s="164">
        <v>18</v>
      </c>
      <c r="J20" s="159">
        <v>2.0408163265306121E-2</v>
      </c>
      <c r="K20" s="173"/>
      <c r="L20" s="173"/>
      <c r="N20" s="163" t="s">
        <v>223</v>
      </c>
      <c r="O20" s="164">
        <v>17</v>
      </c>
      <c r="P20" s="159">
        <f t="shared" si="1"/>
        <v>2.0987654320987655E-2</v>
      </c>
    </row>
    <row r="21" spans="1:16" x14ac:dyDescent="0.25">
      <c r="B21" s="163" t="s">
        <v>221</v>
      </c>
      <c r="C21" s="164">
        <v>16</v>
      </c>
      <c r="D21" s="159">
        <f t="shared" si="0"/>
        <v>1.8648018648018648E-2</v>
      </c>
      <c r="G21" s="173"/>
      <c r="H21" s="163" t="s">
        <v>221</v>
      </c>
      <c r="I21" s="164">
        <v>14</v>
      </c>
      <c r="J21" s="159">
        <v>1.5873015873015872E-2</v>
      </c>
      <c r="K21" s="173"/>
      <c r="L21" s="173"/>
      <c r="N21" s="163" t="s">
        <v>232</v>
      </c>
      <c r="O21" s="164">
        <v>16</v>
      </c>
      <c r="P21" s="159">
        <f t="shared" si="1"/>
        <v>1.9753086419753086E-2</v>
      </c>
    </row>
    <row r="22" spans="1:16" x14ac:dyDescent="0.25">
      <c r="B22" s="163" t="s">
        <v>222</v>
      </c>
      <c r="C22" s="164">
        <v>15</v>
      </c>
      <c r="D22" s="159">
        <f t="shared" si="0"/>
        <v>1.7482517482517484E-2</v>
      </c>
      <c r="G22" s="173"/>
      <c r="H22" s="163" t="s">
        <v>232</v>
      </c>
      <c r="I22" s="164">
        <v>13</v>
      </c>
      <c r="J22" s="159">
        <v>1.4739229024943311E-2</v>
      </c>
      <c r="K22" s="173"/>
      <c r="L22" s="173"/>
      <c r="N22" s="163" t="s">
        <v>220</v>
      </c>
      <c r="O22" s="164">
        <v>15</v>
      </c>
      <c r="P22" s="159">
        <f t="shared" si="1"/>
        <v>1.8518518518518517E-2</v>
      </c>
    </row>
    <row r="23" spans="1:16" x14ac:dyDescent="0.25">
      <c r="B23" s="163" t="s">
        <v>223</v>
      </c>
      <c r="C23" s="164">
        <v>13</v>
      </c>
      <c r="D23" s="159">
        <f t="shared" si="0"/>
        <v>1.5151515151515152E-2</v>
      </c>
      <c r="G23" s="173"/>
      <c r="H23" s="163" t="s">
        <v>226</v>
      </c>
      <c r="I23" s="164">
        <v>12</v>
      </c>
      <c r="J23" s="159">
        <v>1.3605442176870748E-2</v>
      </c>
      <c r="K23" s="173"/>
      <c r="L23" s="173"/>
      <c r="N23" s="163" t="s">
        <v>259</v>
      </c>
      <c r="O23" s="164">
        <v>15</v>
      </c>
      <c r="P23" s="159">
        <f t="shared" si="1"/>
        <v>1.8518518518518517E-2</v>
      </c>
    </row>
    <row r="24" spans="1:16" x14ac:dyDescent="0.25">
      <c r="B24" s="163" t="s">
        <v>224</v>
      </c>
      <c r="C24" s="164">
        <v>13</v>
      </c>
      <c r="D24" s="159">
        <f t="shared" si="0"/>
        <v>1.5151515151515152E-2</v>
      </c>
      <c r="G24" s="173"/>
      <c r="H24" s="163" t="s">
        <v>239</v>
      </c>
      <c r="I24" s="164">
        <v>11</v>
      </c>
      <c r="J24" s="159">
        <v>1.2471655328798186E-2</v>
      </c>
      <c r="K24" s="173"/>
      <c r="L24" s="173"/>
      <c r="N24" s="163" t="s">
        <v>224</v>
      </c>
      <c r="O24" s="164">
        <v>14</v>
      </c>
      <c r="P24" s="159">
        <f t="shared" si="1"/>
        <v>1.7283950617283949E-2</v>
      </c>
    </row>
    <row r="25" spans="1:16" x14ac:dyDescent="0.25">
      <c r="B25" s="163" t="s">
        <v>225</v>
      </c>
      <c r="C25" s="164">
        <v>13</v>
      </c>
      <c r="D25" s="159">
        <f t="shared" si="0"/>
        <v>1.5151515151515152E-2</v>
      </c>
      <c r="G25" s="173"/>
      <c r="H25" s="163" t="s">
        <v>228</v>
      </c>
      <c r="I25" s="164">
        <v>10</v>
      </c>
      <c r="J25" s="159">
        <v>1.1337868480725623E-2</v>
      </c>
      <c r="K25" s="173"/>
      <c r="L25" s="173"/>
      <c r="N25" s="163" t="s">
        <v>222</v>
      </c>
      <c r="O25" s="164">
        <v>11</v>
      </c>
      <c r="P25" s="159">
        <f t="shared" si="1"/>
        <v>1.3580246913580247E-2</v>
      </c>
    </row>
    <row r="26" spans="1:16" x14ac:dyDescent="0.25">
      <c r="B26" s="163" t="s">
        <v>226</v>
      </c>
      <c r="C26" s="164">
        <v>13</v>
      </c>
      <c r="D26" s="159">
        <f t="shared" si="0"/>
        <v>1.5151515151515152E-2</v>
      </c>
      <c r="G26" s="173"/>
      <c r="H26" s="163" t="s">
        <v>234</v>
      </c>
      <c r="I26" s="164">
        <v>10</v>
      </c>
      <c r="J26" s="159">
        <v>1.1337868480725623E-2</v>
      </c>
      <c r="K26" s="173"/>
      <c r="L26" s="173"/>
      <c r="N26" s="163" t="s">
        <v>240</v>
      </c>
      <c r="O26" s="164">
        <v>11</v>
      </c>
      <c r="P26" s="159">
        <f t="shared" si="1"/>
        <v>1.3580246913580247E-2</v>
      </c>
    </row>
    <row r="27" spans="1:16" x14ac:dyDescent="0.25">
      <c r="B27" s="163" t="s">
        <v>227</v>
      </c>
      <c r="C27" s="164">
        <v>11</v>
      </c>
      <c r="D27" s="159">
        <f t="shared" si="0"/>
        <v>1.282051282051282E-2</v>
      </c>
      <c r="G27" s="173"/>
      <c r="H27" s="163" t="s">
        <v>230</v>
      </c>
      <c r="I27" s="164">
        <v>10</v>
      </c>
      <c r="J27" s="159">
        <v>1.1337868480725623E-2</v>
      </c>
      <c r="K27" s="173"/>
      <c r="L27" s="173"/>
      <c r="N27" s="163" t="s">
        <v>234</v>
      </c>
      <c r="O27" s="164">
        <v>11</v>
      </c>
      <c r="P27" s="159">
        <f t="shared" si="1"/>
        <v>1.3580246913580247E-2</v>
      </c>
    </row>
    <row r="28" spans="1:16" x14ac:dyDescent="0.25">
      <c r="B28" s="162" t="s">
        <v>228</v>
      </c>
      <c r="C28" s="34">
        <v>9</v>
      </c>
      <c r="D28" s="159">
        <f t="shared" si="0"/>
        <v>1.048951048951049E-2</v>
      </c>
      <c r="G28" s="173"/>
      <c r="H28" s="162" t="s">
        <v>237</v>
      </c>
      <c r="I28" s="34">
        <v>9</v>
      </c>
      <c r="J28" s="159">
        <v>1.020408163265306E-2</v>
      </c>
      <c r="K28" s="173"/>
      <c r="L28" s="173"/>
      <c r="N28" s="162" t="s">
        <v>273</v>
      </c>
      <c r="O28" s="34">
        <v>10</v>
      </c>
      <c r="P28" s="159">
        <f t="shared" si="1"/>
        <v>1.2345679012345678E-2</v>
      </c>
    </row>
    <row r="29" spans="1:16" x14ac:dyDescent="0.25">
      <c r="B29" s="162" t="s">
        <v>229</v>
      </c>
      <c r="C29" s="34">
        <v>8</v>
      </c>
      <c r="D29" s="159">
        <f t="shared" si="0"/>
        <v>9.324009324009324E-3</v>
      </c>
      <c r="G29" s="173"/>
      <c r="H29" s="162" t="s">
        <v>240</v>
      </c>
      <c r="I29" s="34">
        <v>9</v>
      </c>
      <c r="J29" s="159">
        <v>1.020408163265306E-2</v>
      </c>
      <c r="K29" s="173"/>
      <c r="L29" s="173"/>
      <c r="N29" s="162" t="s">
        <v>248</v>
      </c>
      <c r="O29" s="34">
        <v>10</v>
      </c>
      <c r="P29" s="159">
        <f t="shared" si="1"/>
        <v>1.2345679012345678E-2</v>
      </c>
    </row>
    <row r="30" spans="1:16" x14ac:dyDescent="0.25">
      <c r="B30" s="162" t="s">
        <v>230</v>
      </c>
      <c r="C30" s="34">
        <v>7</v>
      </c>
      <c r="D30" s="159">
        <f t="shared" si="0"/>
        <v>8.1585081585081581E-3</v>
      </c>
      <c r="G30" s="173"/>
      <c r="H30" s="162" t="s">
        <v>220</v>
      </c>
      <c r="I30" s="34">
        <v>9</v>
      </c>
      <c r="J30" s="159">
        <v>1.020408163265306E-2</v>
      </c>
      <c r="K30" s="173"/>
      <c r="L30" s="173"/>
      <c r="N30" s="162" t="s">
        <v>239</v>
      </c>
      <c r="O30" s="34">
        <v>10</v>
      </c>
      <c r="P30" s="159">
        <f t="shared" si="1"/>
        <v>1.2345679012345678E-2</v>
      </c>
    </row>
    <row r="31" spans="1:16" x14ac:dyDescent="0.25">
      <c r="B31" s="162" t="s">
        <v>231</v>
      </c>
      <c r="C31" s="34">
        <v>7</v>
      </c>
      <c r="D31" s="159">
        <f t="shared" si="0"/>
        <v>8.1585081585081581E-3</v>
      </c>
      <c r="G31" s="173"/>
      <c r="H31" s="162" t="s">
        <v>227</v>
      </c>
      <c r="I31" s="34">
        <v>9</v>
      </c>
      <c r="J31" s="159">
        <v>1.020408163265306E-2</v>
      </c>
      <c r="K31" s="173"/>
      <c r="L31" s="173"/>
      <c r="N31" s="162" t="s">
        <v>231</v>
      </c>
      <c r="O31" s="34">
        <v>9</v>
      </c>
      <c r="P31" s="159">
        <f t="shared" si="1"/>
        <v>1.1111111111111112E-2</v>
      </c>
    </row>
    <row r="32" spans="1:16" x14ac:dyDescent="0.25">
      <c r="B32" s="162" t="s">
        <v>232</v>
      </c>
      <c r="C32" s="34">
        <v>6</v>
      </c>
      <c r="D32" s="159">
        <f t="shared" si="0"/>
        <v>6.993006993006993E-3</v>
      </c>
      <c r="G32" s="173"/>
      <c r="H32" s="162" t="s">
        <v>224</v>
      </c>
      <c r="I32" s="34">
        <v>8</v>
      </c>
      <c r="J32" s="159">
        <v>9.0702947845804991E-3</v>
      </c>
      <c r="K32" s="173"/>
      <c r="L32" s="173"/>
      <c r="N32" s="162" t="s">
        <v>228</v>
      </c>
      <c r="O32" s="34">
        <v>9</v>
      </c>
      <c r="P32" s="159">
        <f t="shared" si="1"/>
        <v>1.1111111111111112E-2</v>
      </c>
    </row>
    <row r="33" spans="2:16" x14ac:dyDescent="0.25">
      <c r="B33" s="162" t="s">
        <v>233</v>
      </c>
      <c r="C33" s="34">
        <v>6</v>
      </c>
      <c r="D33" s="159">
        <f t="shared" si="0"/>
        <v>6.993006993006993E-3</v>
      </c>
      <c r="G33" s="173"/>
      <c r="H33" s="162" t="s">
        <v>229</v>
      </c>
      <c r="I33" s="34">
        <v>7</v>
      </c>
      <c r="J33" s="159">
        <v>7.9365079365079361E-3</v>
      </c>
      <c r="K33" s="173"/>
      <c r="L33" s="173"/>
      <c r="N33" s="162" t="s">
        <v>229</v>
      </c>
      <c r="O33" s="34">
        <v>8</v>
      </c>
      <c r="P33" s="159">
        <f t="shared" si="1"/>
        <v>9.876543209876543E-3</v>
      </c>
    </row>
    <row r="34" spans="2:16" x14ac:dyDescent="0.25">
      <c r="B34" s="162" t="s">
        <v>234</v>
      </c>
      <c r="C34" s="34">
        <v>6</v>
      </c>
      <c r="D34" s="159">
        <f t="shared" si="0"/>
        <v>6.993006993006993E-3</v>
      </c>
      <c r="G34" s="173"/>
      <c r="H34" s="162" t="s">
        <v>242</v>
      </c>
      <c r="I34" s="34">
        <v>6</v>
      </c>
      <c r="J34" s="159">
        <v>6.8027210884353739E-3</v>
      </c>
      <c r="K34" s="173"/>
      <c r="L34" s="173"/>
      <c r="N34" s="162" t="s">
        <v>252</v>
      </c>
      <c r="O34" s="34">
        <v>7</v>
      </c>
      <c r="P34" s="159">
        <f t="shared" si="1"/>
        <v>8.6419753086419745E-3</v>
      </c>
    </row>
    <row r="35" spans="2:16" x14ac:dyDescent="0.25">
      <c r="B35" s="162" t="s">
        <v>235</v>
      </c>
      <c r="C35" s="34">
        <v>5</v>
      </c>
      <c r="D35" s="159">
        <f t="shared" si="0"/>
        <v>5.8275058275058279E-3</v>
      </c>
      <c r="G35" s="173"/>
      <c r="H35" s="162" t="s">
        <v>222</v>
      </c>
      <c r="I35" s="34">
        <v>6</v>
      </c>
      <c r="J35" s="159">
        <v>6.8027210884353739E-3</v>
      </c>
      <c r="K35" s="173"/>
      <c r="L35" s="173"/>
      <c r="N35" s="162" t="s">
        <v>225</v>
      </c>
      <c r="O35" s="34">
        <v>6</v>
      </c>
      <c r="P35" s="159">
        <f t="shared" si="1"/>
        <v>7.4074074074074077E-3</v>
      </c>
    </row>
    <row r="36" spans="2:16" x14ac:dyDescent="0.25">
      <c r="B36" s="162" t="s">
        <v>236</v>
      </c>
      <c r="C36" s="34">
        <v>5</v>
      </c>
      <c r="D36" s="159">
        <f t="shared" si="0"/>
        <v>5.8275058275058279E-3</v>
      </c>
      <c r="G36" s="173"/>
      <c r="H36" s="162" t="s">
        <v>225</v>
      </c>
      <c r="I36" s="34">
        <v>6</v>
      </c>
      <c r="J36" s="159">
        <v>6.8027210884353739E-3</v>
      </c>
      <c r="K36" s="173"/>
      <c r="L36" s="173"/>
      <c r="N36" s="162" t="s">
        <v>221</v>
      </c>
      <c r="O36" s="34">
        <v>5</v>
      </c>
      <c r="P36" s="159">
        <f t="shared" si="1"/>
        <v>6.1728395061728392E-3</v>
      </c>
    </row>
    <row r="37" spans="2:16" x14ac:dyDescent="0.25">
      <c r="B37" s="162" t="s">
        <v>237</v>
      </c>
      <c r="C37" s="34">
        <v>5</v>
      </c>
      <c r="D37" s="159">
        <f t="shared" si="0"/>
        <v>5.8275058275058279E-3</v>
      </c>
      <c r="G37" s="173"/>
      <c r="H37" s="162" t="s">
        <v>231</v>
      </c>
      <c r="I37" s="34">
        <v>6</v>
      </c>
      <c r="J37" s="159">
        <v>6.8027210884353739E-3</v>
      </c>
      <c r="K37" s="173"/>
      <c r="L37" s="173"/>
      <c r="N37" s="162" t="s">
        <v>227</v>
      </c>
      <c r="O37" s="34">
        <v>4</v>
      </c>
      <c r="P37" s="159">
        <f t="shared" si="1"/>
        <v>4.9382716049382715E-3</v>
      </c>
    </row>
    <row r="38" spans="2:16" x14ac:dyDescent="0.25">
      <c r="B38" s="162" t="s">
        <v>238</v>
      </c>
      <c r="C38" s="34">
        <v>5</v>
      </c>
      <c r="D38" s="159">
        <f t="shared" si="0"/>
        <v>5.8275058275058279E-3</v>
      </c>
      <c r="G38" s="173"/>
      <c r="H38" s="162" t="s">
        <v>233</v>
      </c>
      <c r="I38" s="34">
        <v>6</v>
      </c>
      <c r="J38" s="159">
        <v>6.8027210884353739E-3</v>
      </c>
      <c r="K38" s="173"/>
      <c r="L38" s="173"/>
      <c r="N38" s="162" t="s">
        <v>233</v>
      </c>
      <c r="O38" s="34">
        <v>4</v>
      </c>
      <c r="P38" s="159">
        <f t="shared" si="1"/>
        <v>4.9382716049382715E-3</v>
      </c>
    </row>
    <row r="39" spans="2:16" x14ac:dyDescent="0.25">
      <c r="B39" s="162" t="s">
        <v>239</v>
      </c>
      <c r="C39" s="34">
        <v>5</v>
      </c>
      <c r="D39" s="159">
        <f t="shared" si="0"/>
        <v>5.8275058275058279E-3</v>
      </c>
      <c r="G39" s="173"/>
      <c r="H39" s="162" t="s">
        <v>238</v>
      </c>
      <c r="I39" s="34">
        <v>6</v>
      </c>
      <c r="J39" s="159">
        <v>6.8027210884353739E-3</v>
      </c>
      <c r="K39" s="173"/>
      <c r="L39" s="173"/>
      <c r="N39" s="162" t="s">
        <v>238</v>
      </c>
      <c r="O39" s="34">
        <v>4</v>
      </c>
      <c r="P39" s="159">
        <f t="shared" si="1"/>
        <v>4.9382716049382715E-3</v>
      </c>
    </row>
    <row r="40" spans="2:16" x14ac:dyDescent="0.25">
      <c r="B40" s="162" t="s">
        <v>240</v>
      </c>
      <c r="C40" s="34">
        <v>5</v>
      </c>
      <c r="D40" s="159">
        <f t="shared" si="0"/>
        <v>5.8275058275058279E-3</v>
      </c>
      <c r="G40" s="173"/>
      <c r="H40" s="162" t="s">
        <v>250</v>
      </c>
      <c r="I40" s="34">
        <v>4</v>
      </c>
      <c r="J40" s="159">
        <v>4.5351473922902496E-3</v>
      </c>
      <c r="K40" s="173"/>
      <c r="L40" s="173"/>
      <c r="N40" s="162" t="s">
        <v>271</v>
      </c>
      <c r="O40" s="34">
        <v>3</v>
      </c>
      <c r="P40" s="159">
        <f t="shared" si="1"/>
        <v>3.7037037037037038E-3</v>
      </c>
    </row>
    <row r="41" spans="2:16" x14ac:dyDescent="0.25">
      <c r="B41" s="162" t="s">
        <v>241</v>
      </c>
      <c r="C41" s="34">
        <v>4</v>
      </c>
      <c r="D41" s="159">
        <f t="shared" si="0"/>
        <v>4.662004662004662E-3</v>
      </c>
      <c r="G41" s="173"/>
      <c r="H41" s="162" t="s">
        <v>236</v>
      </c>
      <c r="I41" s="34">
        <v>4</v>
      </c>
      <c r="J41" s="159">
        <v>4.5351473922902496E-3</v>
      </c>
      <c r="K41" s="173"/>
      <c r="L41" s="173"/>
      <c r="N41" s="162" t="s">
        <v>245</v>
      </c>
      <c r="O41" s="34">
        <v>3</v>
      </c>
      <c r="P41" s="159">
        <f t="shared" si="1"/>
        <v>3.7037037037037038E-3</v>
      </c>
    </row>
    <row r="42" spans="2:16" x14ac:dyDescent="0.25">
      <c r="B42" s="162" t="s">
        <v>242</v>
      </c>
      <c r="C42" s="34">
        <v>4</v>
      </c>
      <c r="D42" s="159">
        <f t="shared" si="0"/>
        <v>4.662004662004662E-3</v>
      </c>
      <c r="G42" s="173"/>
      <c r="H42" s="162" t="s">
        <v>261</v>
      </c>
      <c r="I42" s="34">
        <v>4</v>
      </c>
      <c r="J42" s="159">
        <v>4.5351473922902496E-3</v>
      </c>
      <c r="K42" s="173"/>
      <c r="L42" s="173"/>
      <c r="N42" s="162" t="s">
        <v>230</v>
      </c>
      <c r="O42" s="34">
        <v>3</v>
      </c>
      <c r="P42" s="159">
        <f t="shared" si="1"/>
        <v>3.7037037037037038E-3</v>
      </c>
    </row>
    <row r="43" spans="2:16" x14ac:dyDescent="0.25">
      <c r="B43" s="162" t="s">
        <v>243</v>
      </c>
      <c r="C43" s="34">
        <v>4</v>
      </c>
      <c r="D43" s="159">
        <f t="shared" si="0"/>
        <v>4.662004662004662E-3</v>
      </c>
      <c r="G43" s="173"/>
      <c r="H43" s="162" t="s">
        <v>251</v>
      </c>
      <c r="I43" s="34">
        <v>3</v>
      </c>
      <c r="J43" s="159">
        <v>3.4013605442176869E-3</v>
      </c>
      <c r="K43" s="173"/>
      <c r="L43" s="173"/>
      <c r="N43" s="162" t="s">
        <v>254</v>
      </c>
      <c r="O43" s="34">
        <v>3</v>
      </c>
      <c r="P43" s="159">
        <f t="shared" si="1"/>
        <v>3.7037037037037038E-3</v>
      </c>
    </row>
    <row r="44" spans="2:16" x14ac:dyDescent="0.25">
      <c r="B44" s="162" t="s">
        <v>244</v>
      </c>
      <c r="C44" s="34">
        <v>4</v>
      </c>
      <c r="D44" s="159">
        <f t="shared" si="0"/>
        <v>4.662004662004662E-3</v>
      </c>
      <c r="G44" s="173"/>
      <c r="H44" s="162" t="s">
        <v>252</v>
      </c>
      <c r="I44" s="34">
        <v>3</v>
      </c>
      <c r="J44" s="159">
        <v>3.4013605442176869E-3</v>
      </c>
      <c r="K44" s="173"/>
      <c r="L44" s="173"/>
      <c r="N44" s="162" t="s">
        <v>275</v>
      </c>
      <c r="O44" s="34">
        <v>3</v>
      </c>
      <c r="P44" s="159">
        <f t="shared" si="1"/>
        <v>3.7037037037037038E-3</v>
      </c>
    </row>
    <row r="45" spans="2:16" x14ac:dyDescent="0.25">
      <c r="B45" s="162" t="s">
        <v>245</v>
      </c>
      <c r="C45" s="34">
        <v>4</v>
      </c>
      <c r="D45" s="159">
        <f t="shared" si="0"/>
        <v>4.662004662004662E-3</v>
      </c>
      <c r="G45" s="173"/>
      <c r="H45" s="162" t="s">
        <v>245</v>
      </c>
      <c r="I45" s="34">
        <v>3</v>
      </c>
      <c r="J45" s="159">
        <v>3.4013605442176869E-3</v>
      </c>
      <c r="K45" s="173"/>
      <c r="L45" s="173"/>
      <c r="N45" s="162" t="s">
        <v>256</v>
      </c>
      <c r="O45" s="34">
        <v>3</v>
      </c>
      <c r="P45" s="159">
        <f t="shared" si="1"/>
        <v>3.7037037037037038E-3</v>
      </c>
    </row>
    <row r="46" spans="2:16" x14ac:dyDescent="0.25">
      <c r="B46" s="162" t="s">
        <v>246</v>
      </c>
      <c r="C46" s="34">
        <v>3</v>
      </c>
      <c r="D46" s="159">
        <f t="shared" si="0"/>
        <v>3.4965034965034965E-3</v>
      </c>
      <c r="G46" s="173"/>
      <c r="H46" s="162" t="s">
        <v>235</v>
      </c>
      <c r="I46" s="34">
        <v>3</v>
      </c>
      <c r="J46" s="159">
        <v>3.4013605442176869E-3</v>
      </c>
      <c r="K46" s="173"/>
      <c r="L46" s="173"/>
      <c r="N46" s="162" t="s">
        <v>249</v>
      </c>
      <c r="O46" s="34">
        <v>3</v>
      </c>
      <c r="P46" s="159">
        <f t="shared" si="1"/>
        <v>3.7037037037037038E-3</v>
      </c>
    </row>
    <row r="47" spans="2:16" x14ac:dyDescent="0.25">
      <c r="B47" s="162" t="s">
        <v>247</v>
      </c>
      <c r="C47" s="34">
        <v>3</v>
      </c>
      <c r="D47" s="159">
        <f t="shared" si="0"/>
        <v>3.4965034965034965E-3</v>
      </c>
      <c r="G47" s="173"/>
      <c r="H47" s="162" t="s">
        <v>257</v>
      </c>
      <c r="I47" s="34">
        <v>3</v>
      </c>
      <c r="J47" s="159">
        <v>3.4013605442176869E-3</v>
      </c>
      <c r="K47" s="173"/>
      <c r="L47" s="173"/>
      <c r="N47" s="162" t="s">
        <v>250</v>
      </c>
      <c r="O47" s="34">
        <v>2</v>
      </c>
      <c r="P47" s="159">
        <f t="shared" si="1"/>
        <v>2.4691358024691358E-3</v>
      </c>
    </row>
    <row r="48" spans="2:16" x14ac:dyDescent="0.25">
      <c r="B48" s="162" t="s">
        <v>248</v>
      </c>
      <c r="C48" s="34">
        <v>3</v>
      </c>
      <c r="D48" s="159">
        <f t="shared" si="0"/>
        <v>3.4965034965034965E-3</v>
      </c>
      <c r="G48" s="173"/>
      <c r="H48" s="162" t="s">
        <v>271</v>
      </c>
      <c r="I48" s="34">
        <v>3</v>
      </c>
      <c r="J48" s="159">
        <v>3.4013605442176869E-3</v>
      </c>
      <c r="K48" s="173"/>
      <c r="L48" s="173"/>
      <c r="N48" s="162" t="s">
        <v>266</v>
      </c>
      <c r="O48" s="34">
        <v>2</v>
      </c>
      <c r="P48" s="159">
        <f t="shared" si="1"/>
        <v>2.4691358024691358E-3</v>
      </c>
    </row>
    <row r="49" spans="2:16" x14ac:dyDescent="0.25">
      <c r="B49" s="162" t="s">
        <v>249</v>
      </c>
      <c r="C49" s="34">
        <v>3</v>
      </c>
      <c r="D49" s="159">
        <f t="shared" si="0"/>
        <v>3.4965034965034965E-3</v>
      </c>
      <c r="G49" s="173"/>
      <c r="H49" s="162" t="s">
        <v>269</v>
      </c>
      <c r="I49" s="34">
        <v>2</v>
      </c>
      <c r="J49" s="159">
        <v>2.2675736961451248E-3</v>
      </c>
      <c r="K49" s="173"/>
      <c r="L49" s="173"/>
      <c r="N49" s="162" t="s">
        <v>226</v>
      </c>
      <c r="O49" s="34">
        <v>2</v>
      </c>
      <c r="P49" s="159">
        <f t="shared" si="1"/>
        <v>2.4691358024691358E-3</v>
      </c>
    </row>
    <row r="50" spans="2:16" x14ac:dyDescent="0.25">
      <c r="B50" s="162" t="s">
        <v>250</v>
      </c>
      <c r="C50" s="34">
        <v>2</v>
      </c>
      <c r="D50" s="159">
        <f t="shared" si="0"/>
        <v>2.331002331002331E-3</v>
      </c>
      <c r="G50" s="173"/>
      <c r="H50" s="162" t="s">
        <v>264</v>
      </c>
      <c r="I50" s="34">
        <v>2</v>
      </c>
      <c r="J50" s="159">
        <v>2.2675736961451248E-3</v>
      </c>
      <c r="K50" s="173"/>
      <c r="L50" s="173"/>
      <c r="N50" s="162" t="s">
        <v>241</v>
      </c>
      <c r="O50" s="34">
        <v>2</v>
      </c>
      <c r="P50" s="159">
        <f t="shared" si="1"/>
        <v>2.4691358024691358E-3</v>
      </c>
    </row>
    <row r="51" spans="2:16" x14ac:dyDescent="0.25">
      <c r="B51" s="162" t="s">
        <v>251</v>
      </c>
      <c r="C51" s="34">
        <v>2</v>
      </c>
      <c r="D51" s="159">
        <f t="shared" si="0"/>
        <v>2.331002331002331E-3</v>
      </c>
      <c r="G51" s="173"/>
      <c r="H51" s="162" t="s">
        <v>249</v>
      </c>
      <c r="I51" s="34">
        <v>2</v>
      </c>
      <c r="J51" s="159">
        <v>2.2675736961451248E-3</v>
      </c>
      <c r="K51" s="173"/>
      <c r="L51" s="173"/>
      <c r="N51" s="162" t="s">
        <v>235</v>
      </c>
      <c r="O51" s="34">
        <v>2</v>
      </c>
      <c r="P51" s="159">
        <f t="shared" si="1"/>
        <v>2.4691358024691358E-3</v>
      </c>
    </row>
    <row r="52" spans="2:16" x14ac:dyDescent="0.25">
      <c r="B52" s="162" t="s">
        <v>252</v>
      </c>
      <c r="C52" s="34">
        <v>2</v>
      </c>
      <c r="D52" s="159">
        <f t="shared" si="0"/>
        <v>2.331002331002331E-3</v>
      </c>
      <c r="G52" s="173"/>
      <c r="H52" s="162" t="s">
        <v>263</v>
      </c>
      <c r="I52" s="34">
        <v>2</v>
      </c>
      <c r="J52" s="159">
        <v>2.2675736961451248E-3</v>
      </c>
      <c r="K52" s="173"/>
      <c r="L52" s="173"/>
      <c r="N52" s="162" t="s">
        <v>274</v>
      </c>
      <c r="O52" s="34">
        <v>1</v>
      </c>
      <c r="P52" s="159">
        <f t="shared" si="1"/>
        <v>1.2345679012345679E-3</v>
      </c>
    </row>
    <row r="53" spans="2:16" x14ac:dyDescent="0.25">
      <c r="B53" s="162" t="s">
        <v>253</v>
      </c>
      <c r="C53" s="34">
        <v>1</v>
      </c>
      <c r="D53" s="159">
        <f t="shared" si="0"/>
        <v>1.1655011655011655E-3</v>
      </c>
      <c r="G53" s="173"/>
      <c r="H53" s="162" t="s">
        <v>254</v>
      </c>
      <c r="I53" s="34">
        <v>2</v>
      </c>
      <c r="J53" s="159">
        <v>2.2675736961451248E-3</v>
      </c>
      <c r="K53" s="173"/>
      <c r="L53" s="173"/>
      <c r="N53" s="162" t="s">
        <v>236</v>
      </c>
      <c r="O53" s="34">
        <v>1</v>
      </c>
      <c r="P53" s="159">
        <f t="shared" si="1"/>
        <v>1.2345679012345679E-3</v>
      </c>
    </row>
    <row r="54" spans="2:16" x14ac:dyDescent="0.25">
      <c r="B54" s="162" t="s">
        <v>254</v>
      </c>
      <c r="C54" s="34">
        <v>1</v>
      </c>
      <c r="D54" s="159">
        <f t="shared" si="0"/>
        <v>1.1655011655011655E-3</v>
      </c>
      <c r="G54" s="173"/>
      <c r="H54" s="162" t="s">
        <v>272</v>
      </c>
      <c r="I54" s="34">
        <v>2</v>
      </c>
      <c r="J54" s="159">
        <v>2.2675736961451248E-3</v>
      </c>
      <c r="K54" s="173"/>
      <c r="L54" s="173"/>
      <c r="N54" s="162" t="s">
        <v>246</v>
      </c>
      <c r="O54" s="34">
        <v>1</v>
      </c>
      <c r="P54" s="159">
        <f t="shared" si="1"/>
        <v>1.2345679012345679E-3</v>
      </c>
    </row>
    <row r="55" spans="2:16" x14ac:dyDescent="0.25">
      <c r="B55" s="162" t="s">
        <v>255</v>
      </c>
      <c r="C55" s="34">
        <v>1</v>
      </c>
      <c r="D55" s="159">
        <f t="shared" si="0"/>
        <v>1.1655011655011655E-3</v>
      </c>
      <c r="G55" s="173"/>
      <c r="H55" s="162" t="s">
        <v>259</v>
      </c>
      <c r="I55" s="34">
        <v>2</v>
      </c>
      <c r="J55" s="159">
        <v>2.2675736961451248E-3</v>
      </c>
      <c r="K55" s="173"/>
      <c r="L55" s="173"/>
      <c r="N55" s="162" t="s">
        <v>258</v>
      </c>
      <c r="O55" s="34">
        <v>1</v>
      </c>
      <c r="P55" s="159">
        <f t="shared" si="1"/>
        <v>1.2345679012345679E-3</v>
      </c>
    </row>
    <row r="56" spans="2:16" x14ac:dyDescent="0.25">
      <c r="B56" s="162" t="s">
        <v>256</v>
      </c>
      <c r="C56" s="34">
        <v>1</v>
      </c>
      <c r="D56" s="159">
        <f t="shared" si="0"/>
        <v>1.1655011655011655E-3</v>
      </c>
      <c r="G56" s="173"/>
      <c r="H56" s="162" t="s">
        <v>273</v>
      </c>
      <c r="I56" s="34">
        <v>2</v>
      </c>
      <c r="J56" s="159">
        <v>2.2675736961451248E-3</v>
      </c>
      <c r="K56" s="173"/>
      <c r="L56" s="173"/>
      <c r="N56" s="162" t="s">
        <v>237</v>
      </c>
      <c r="O56" s="34">
        <v>1</v>
      </c>
      <c r="P56" s="159">
        <f t="shared" si="1"/>
        <v>1.2345679012345679E-3</v>
      </c>
    </row>
    <row r="57" spans="2:16" x14ac:dyDescent="0.25">
      <c r="B57" s="162" t="s">
        <v>257</v>
      </c>
      <c r="C57" s="34">
        <v>1</v>
      </c>
      <c r="D57" s="159">
        <f t="shared" si="0"/>
        <v>1.1655011655011655E-3</v>
      </c>
      <c r="G57" s="173"/>
      <c r="H57" s="162" t="s">
        <v>267</v>
      </c>
      <c r="I57" s="34">
        <v>1</v>
      </c>
      <c r="J57" s="159">
        <v>1.1337868480725624E-3</v>
      </c>
      <c r="K57" s="173"/>
      <c r="L57" s="173"/>
      <c r="N57" s="162" t="s">
        <v>265</v>
      </c>
      <c r="O57" s="34">
        <v>1</v>
      </c>
      <c r="P57" s="159">
        <f t="shared" si="1"/>
        <v>1.2345679012345679E-3</v>
      </c>
    </row>
    <row r="58" spans="2:16" x14ac:dyDescent="0.25">
      <c r="B58" s="162" t="s">
        <v>258</v>
      </c>
      <c r="C58" s="34">
        <v>1</v>
      </c>
      <c r="D58" s="159">
        <f t="shared" si="0"/>
        <v>1.1655011655011655E-3</v>
      </c>
      <c r="G58" s="173"/>
      <c r="H58" s="162" t="s">
        <v>255</v>
      </c>
      <c r="I58" s="34">
        <v>1</v>
      </c>
      <c r="J58" s="159">
        <v>1.1337868480725624E-3</v>
      </c>
      <c r="K58" s="173"/>
      <c r="L58" s="173"/>
      <c r="N58" s="162" t="s">
        <v>420</v>
      </c>
      <c r="O58" s="34">
        <v>1</v>
      </c>
      <c r="P58" s="159">
        <f t="shared" si="1"/>
        <v>1.2345679012345679E-3</v>
      </c>
    </row>
    <row r="59" spans="2:16" x14ac:dyDescent="0.25">
      <c r="B59" s="162" t="s">
        <v>259</v>
      </c>
      <c r="C59" s="34">
        <v>1</v>
      </c>
      <c r="D59" s="159">
        <f t="shared" si="0"/>
        <v>1.1655011655011655E-3</v>
      </c>
      <c r="G59" s="173"/>
      <c r="H59" s="162" t="s">
        <v>247</v>
      </c>
      <c r="I59" s="34">
        <v>1</v>
      </c>
      <c r="J59" s="159">
        <v>1.1337868480725624E-3</v>
      </c>
      <c r="K59" s="173"/>
      <c r="L59" s="173"/>
      <c r="N59" s="162" t="s">
        <v>255</v>
      </c>
      <c r="O59" s="34">
        <v>1</v>
      </c>
      <c r="P59" s="159">
        <f t="shared" si="1"/>
        <v>1.2345679012345679E-3</v>
      </c>
    </row>
    <row r="60" spans="2:16" x14ac:dyDescent="0.25">
      <c r="B60" s="162" t="s">
        <v>260</v>
      </c>
      <c r="C60" s="34">
        <v>1</v>
      </c>
      <c r="D60" s="159">
        <f t="shared" si="0"/>
        <v>1.1655011655011655E-3</v>
      </c>
      <c r="G60" s="173"/>
      <c r="H60" s="162" t="s">
        <v>274</v>
      </c>
      <c r="I60" s="34">
        <v>1</v>
      </c>
      <c r="J60" s="159">
        <v>1.1337868480725624E-3</v>
      </c>
      <c r="K60" s="173"/>
      <c r="L60" s="173"/>
      <c r="N60" s="162" t="s">
        <v>267</v>
      </c>
      <c r="O60" s="34">
        <v>1</v>
      </c>
      <c r="P60" s="159">
        <f t="shared" si="1"/>
        <v>1.2345679012345679E-3</v>
      </c>
    </row>
    <row r="61" spans="2:16" x14ac:dyDescent="0.25">
      <c r="B61" s="162" t="s">
        <v>261</v>
      </c>
      <c r="C61" s="34">
        <v>1</v>
      </c>
      <c r="D61" s="159">
        <f t="shared" si="0"/>
        <v>1.1655011655011655E-3</v>
      </c>
      <c r="G61" s="173"/>
      <c r="H61" s="162" t="s">
        <v>241</v>
      </c>
      <c r="I61" s="34">
        <v>1</v>
      </c>
      <c r="J61" s="159">
        <v>1.1337868480725624E-3</v>
      </c>
      <c r="K61" s="173"/>
      <c r="L61" s="173"/>
      <c r="N61" s="162" t="s">
        <v>272</v>
      </c>
      <c r="O61" s="34">
        <v>1</v>
      </c>
      <c r="P61" s="159">
        <f t="shared" si="1"/>
        <v>1.2345679012345679E-3</v>
      </c>
    </row>
    <row r="62" spans="2:16" x14ac:dyDescent="0.25">
      <c r="B62" s="162" t="s">
        <v>262</v>
      </c>
      <c r="C62" s="34">
        <v>1</v>
      </c>
      <c r="D62" s="159">
        <f t="shared" si="0"/>
        <v>1.1655011655011655E-3</v>
      </c>
      <c r="G62" s="173"/>
      <c r="H62" s="162" t="s">
        <v>266</v>
      </c>
      <c r="I62" s="34">
        <v>1</v>
      </c>
      <c r="J62" s="159">
        <v>1.1337868480725624E-3</v>
      </c>
      <c r="K62" s="173"/>
      <c r="L62" s="173"/>
      <c r="N62" s="162" t="s">
        <v>242</v>
      </c>
      <c r="O62" s="34">
        <v>1</v>
      </c>
      <c r="P62" s="159">
        <f t="shared" si="1"/>
        <v>1.2345679012345679E-3</v>
      </c>
    </row>
    <row r="63" spans="2:16" x14ac:dyDescent="0.25">
      <c r="B63" s="162" t="s">
        <v>263</v>
      </c>
      <c r="C63" s="34">
        <v>1</v>
      </c>
      <c r="D63" s="159">
        <f t="shared" si="0"/>
        <v>1.1655011655011655E-3</v>
      </c>
      <c r="G63" s="173"/>
      <c r="H63" s="162" t="s">
        <v>246</v>
      </c>
      <c r="I63" s="34">
        <v>1</v>
      </c>
      <c r="J63" s="159">
        <v>1.1337868480725624E-3</v>
      </c>
      <c r="K63" s="173"/>
      <c r="L63" s="173"/>
      <c r="N63" s="162" t="s">
        <v>421</v>
      </c>
      <c r="O63" s="34">
        <v>1</v>
      </c>
      <c r="P63" s="159">
        <f t="shared" si="1"/>
        <v>1.2345679012345679E-3</v>
      </c>
    </row>
    <row r="64" spans="2:16" x14ac:dyDescent="0.25">
      <c r="B64" s="162" t="s">
        <v>264</v>
      </c>
      <c r="C64" s="34">
        <v>1</v>
      </c>
      <c r="D64" s="159">
        <f t="shared" si="0"/>
        <v>1.1655011655011655E-3</v>
      </c>
      <c r="G64" s="173"/>
      <c r="H64" s="162" t="s">
        <v>275</v>
      </c>
      <c r="I64" s="34">
        <v>1</v>
      </c>
      <c r="J64" s="159">
        <v>1.1337868480725624E-3</v>
      </c>
      <c r="K64" s="173"/>
      <c r="L64" s="173"/>
      <c r="N64" s="162" t="s">
        <v>251</v>
      </c>
      <c r="O64" s="34">
        <v>1</v>
      </c>
      <c r="P64" s="159">
        <f t="shared" si="1"/>
        <v>1.2345679012345679E-3</v>
      </c>
    </row>
    <row r="65" spans="2:16" x14ac:dyDescent="0.25">
      <c r="B65" s="162" t="s">
        <v>265</v>
      </c>
      <c r="C65" s="34">
        <v>1</v>
      </c>
      <c r="D65" s="159">
        <f t="shared" si="0"/>
        <v>1.1655011655011655E-3</v>
      </c>
      <c r="G65" s="173"/>
      <c r="H65" s="162" t="s">
        <v>248</v>
      </c>
      <c r="I65" s="34">
        <v>1</v>
      </c>
      <c r="J65" s="159">
        <v>1.1337868480725624E-3</v>
      </c>
      <c r="K65" s="173"/>
      <c r="L65" s="173"/>
      <c r="N65" s="162" t="s">
        <v>261</v>
      </c>
      <c r="O65" s="34">
        <v>1</v>
      </c>
      <c r="P65" s="159">
        <f t="shared" si="1"/>
        <v>1.2345679012345679E-3</v>
      </c>
    </row>
    <row r="66" spans="2:16" x14ac:dyDescent="0.25">
      <c r="B66" s="162" t="s">
        <v>266</v>
      </c>
      <c r="C66" s="34">
        <v>1</v>
      </c>
      <c r="D66" s="159">
        <f t="shared" si="0"/>
        <v>1.1655011655011655E-3</v>
      </c>
      <c r="L66" s="173"/>
    </row>
    <row r="67" spans="2:16" x14ac:dyDescent="0.25">
      <c r="B67" s="162" t="s">
        <v>267</v>
      </c>
      <c r="C67" s="34">
        <v>1</v>
      </c>
      <c r="D67" s="159">
        <f t="shared" si="0"/>
        <v>1.1655011655011655E-3</v>
      </c>
    </row>
    <row r="68" spans="2:16" x14ac:dyDescent="0.25">
      <c r="B68" s="162" t="s">
        <v>268</v>
      </c>
      <c r="C68" s="34">
        <v>1</v>
      </c>
      <c r="D68" s="159">
        <f t="shared" si="0"/>
        <v>1.1655011655011655E-3</v>
      </c>
    </row>
    <row r="69" spans="2:16" x14ac:dyDescent="0.25">
      <c r="B69" s="162" t="s">
        <v>269</v>
      </c>
      <c r="C69" s="34">
        <v>1</v>
      </c>
      <c r="D69" s="159">
        <f t="shared" si="0"/>
        <v>1.1655011655011655E-3</v>
      </c>
    </row>
  </sheetData>
  <mergeCells count="9">
    <mergeCell ref="Q10:Q12"/>
    <mergeCell ref="K10:K12"/>
    <mergeCell ref="E10:E12"/>
    <mergeCell ref="B6:D6"/>
    <mergeCell ref="B7:D7"/>
    <mergeCell ref="H6:J6"/>
    <mergeCell ref="H7:J7"/>
    <mergeCell ref="N6:P6"/>
    <mergeCell ref="N7:P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X96"/>
  <sheetViews>
    <sheetView topLeftCell="A13" zoomScale="70" zoomScaleNormal="70" workbookViewId="0">
      <selection activeCell="Y50" sqref="Y50"/>
    </sheetView>
  </sheetViews>
  <sheetFormatPr baseColWidth="10" defaultRowHeight="15" x14ac:dyDescent="0.25"/>
  <cols>
    <col min="1" max="1" width="19.140625" customWidth="1"/>
    <col min="2" max="2" width="37.42578125" customWidth="1"/>
    <col min="3" max="4" width="9.42578125" bestFit="1" customWidth="1"/>
    <col min="5" max="5" width="9" bestFit="1" customWidth="1"/>
    <col min="6" max="6" width="8.42578125" bestFit="1" customWidth="1"/>
    <col min="7" max="9" width="7.7109375" bestFit="1" customWidth="1"/>
    <col min="10" max="10" width="7.42578125" bestFit="1" customWidth="1"/>
    <col min="11" max="12" width="7.7109375" bestFit="1" customWidth="1"/>
    <col min="13" max="13" width="8" bestFit="1" customWidth="1"/>
    <col min="14" max="14" width="7.7109375" bestFit="1" customWidth="1"/>
    <col min="15" max="15" width="7.42578125" bestFit="1" customWidth="1"/>
    <col min="16" max="16" width="8.42578125" bestFit="1" customWidth="1"/>
    <col min="17" max="20" width="7.7109375" bestFit="1" customWidth="1"/>
    <col min="21" max="21" width="7.7109375" style="173" bestFit="1" customWidth="1"/>
    <col min="22" max="22" width="10.5703125" bestFit="1" customWidth="1"/>
    <col min="23" max="23" width="9.28515625" customWidth="1"/>
    <col min="24" max="24" width="11.42578125" style="21"/>
    <col min="25" max="25" width="11.5703125" customWidth="1"/>
  </cols>
  <sheetData>
    <row r="1" spans="1:23" x14ac:dyDescent="0.25">
      <c r="A1" s="13" t="s">
        <v>39</v>
      </c>
      <c r="B1" s="14"/>
      <c r="C1" s="14"/>
      <c r="D1" s="15"/>
      <c r="E1" s="15"/>
      <c r="F1" s="15"/>
      <c r="G1" s="15"/>
      <c r="H1" s="15"/>
      <c r="I1" s="15"/>
    </row>
    <row r="2" spans="1:23" x14ac:dyDescent="0.25">
      <c r="A2" s="13" t="s">
        <v>40</v>
      </c>
      <c r="B2" s="14"/>
      <c r="C2" s="14"/>
      <c r="D2" s="15"/>
      <c r="E2" s="15"/>
      <c r="F2" s="15"/>
      <c r="G2" s="15"/>
      <c r="H2" s="15"/>
      <c r="I2" s="15"/>
    </row>
    <row r="3" spans="1:23" x14ac:dyDescent="0.25">
      <c r="A3" s="13" t="s">
        <v>41</v>
      </c>
      <c r="B3" s="14"/>
      <c r="C3" s="14"/>
      <c r="D3" s="15"/>
      <c r="E3" s="15"/>
      <c r="F3" s="15"/>
      <c r="G3" s="15"/>
      <c r="H3" s="15"/>
      <c r="I3" s="15"/>
    </row>
    <row r="4" spans="1:23" x14ac:dyDescent="0.25">
      <c r="A4" s="13" t="s">
        <v>42</v>
      </c>
      <c r="B4" s="14"/>
      <c r="C4" s="14"/>
      <c r="D4" s="15"/>
      <c r="E4" s="15"/>
      <c r="F4" s="15"/>
      <c r="G4" s="15"/>
      <c r="H4" s="15"/>
      <c r="I4" s="15"/>
    </row>
    <row r="5" spans="1:23" x14ac:dyDescent="0.25">
      <c r="A5" s="15"/>
      <c r="B5" s="14"/>
      <c r="C5" s="14"/>
      <c r="D5" s="15"/>
      <c r="E5" s="15"/>
      <c r="F5" s="15"/>
      <c r="G5" s="15"/>
      <c r="H5" s="15"/>
      <c r="I5" s="15"/>
    </row>
    <row r="6" spans="1:23" ht="15" customHeight="1" x14ac:dyDescent="0.25">
      <c r="A6" s="650" t="s">
        <v>43</v>
      </c>
      <c r="B6" s="650"/>
      <c r="C6" s="650"/>
      <c r="D6" s="650"/>
      <c r="E6" s="650"/>
      <c r="F6" s="650"/>
      <c r="G6" s="650"/>
      <c r="H6" s="650"/>
      <c r="I6" s="650"/>
      <c r="J6" s="650"/>
      <c r="K6" s="650"/>
      <c r="L6" s="650"/>
      <c r="M6" s="650"/>
      <c r="N6" s="650"/>
      <c r="O6" s="650"/>
      <c r="P6" s="650"/>
      <c r="Q6" s="650"/>
      <c r="R6" s="650"/>
      <c r="S6" s="650"/>
      <c r="T6" s="650"/>
      <c r="U6" s="650"/>
      <c r="V6" s="650"/>
    </row>
    <row r="7" spans="1:23" x14ac:dyDescent="0.25">
      <c r="A7" s="15"/>
      <c r="B7" s="14"/>
      <c r="C7" s="14"/>
      <c r="D7" s="15"/>
      <c r="E7" s="15"/>
      <c r="F7" s="15"/>
      <c r="G7" s="15"/>
      <c r="H7" s="15"/>
      <c r="I7" s="15"/>
    </row>
    <row r="8" spans="1:23" x14ac:dyDescent="0.25">
      <c r="A8" s="13" t="s">
        <v>44</v>
      </c>
      <c r="B8" s="15" t="s">
        <v>45</v>
      </c>
      <c r="C8" s="14"/>
      <c r="D8" s="15"/>
      <c r="E8" s="15"/>
      <c r="F8" s="15"/>
      <c r="G8" s="15"/>
      <c r="H8" s="15"/>
      <c r="I8" s="15"/>
    </row>
    <row r="9" spans="1:23" x14ac:dyDescent="0.25">
      <c r="B9" s="15"/>
      <c r="C9" s="16"/>
      <c r="D9" s="15"/>
      <c r="E9" s="15"/>
      <c r="F9" s="15"/>
      <c r="G9" s="15"/>
      <c r="H9" s="15"/>
      <c r="I9" s="15"/>
    </row>
    <row r="10" spans="1:23" x14ac:dyDescent="0.25">
      <c r="A10" s="17" t="s">
        <v>47</v>
      </c>
      <c r="B10" s="17"/>
      <c r="C10" s="18"/>
      <c r="D10" s="15"/>
      <c r="E10" s="15"/>
      <c r="F10" s="15"/>
      <c r="G10" s="15"/>
      <c r="H10" s="15"/>
      <c r="I10" s="15"/>
    </row>
    <row r="11" spans="1:23" ht="15" customHeight="1" x14ac:dyDescent="0.25">
      <c r="A11" s="19"/>
      <c r="B11" s="651" t="s">
        <v>48</v>
      </c>
      <c r="C11" s="651"/>
      <c r="D11" s="651"/>
      <c r="E11" s="651"/>
      <c r="F11" s="651"/>
      <c r="G11" s="651"/>
      <c r="H11" s="651"/>
      <c r="I11" s="651"/>
      <c r="J11" s="651"/>
      <c r="K11" s="651"/>
      <c r="L11" s="651"/>
      <c r="M11" s="651"/>
      <c r="N11" s="651"/>
      <c r="O11" s="651"/>
      <c r="P11" s="651"/>
      <c r="Q11" s="651"/>
      <c r="R11" s="651"/>
      <c r="S11" s="651"/>
      <c r="T11" s="651"/>
      <c r="U11" s="651"/>
      <c r="V11" s="651"/>
    </row>
    <row r="12" spans="1:23" ht="15.75" thickBot="1" x14ac:dyDescent="0.3">
      <c r="A12" s="19"/>
      <c r="B12" s="651"/>
      <c r="C12" s="651"/>
      <c r="D12" s="651"/>
      <c r="E12" s="651"/>
      <c r="F12" s="651"/>
      <c r="G12" s="651"/>
      <c r="H12" s="651"/>
      <c r="I12" s="651"/>
      <c r="J12" s="651"/>
      <c r="K12" s="651"/>
      <c r="L12" s="651"/>
      <c r="M12" s="651"/>
      <c r="N12" s="651"/>
      <c r="O12" s="651"/>
      <c r="P12" s="651"/>
      <c r="Q12" s="651"/>
      <c r="R12" s="651"/>
      <c r="S12" s="651"/>
      <c r="T12" s="651"/>
      <c r="U12" s="651"/>
      <c r="V12" s="651"/>
    </row>
    <row r="13" spans="1:23" ht="16.5" thickTop="1" thickBot="1" x14ac:dyDescent="0.3">
      <c r="C13" s="647" t="s">
        <v>278</v>
      </c>
      <c r="D13" s="648"/>
      <c r="E13" s="648"/>
      <c r="F13" s="648"/>
      <c r="G13" s="648"/>
      <c r="H13" s="648"/>
      <c r="I13" s="648"/>
      <c r="J13" s="648"/>
      <c r="K13" s="649"/>
      <c r="L13" s="647" t="s">
        <v>279</v>
      </c>
      <c r="M13" s="648"/>
      <c r="N13" s="648"/>
      <c r="O13" s="648"/>
      <c r="P13" s="648"/>
      <c r="Q13" s="648"/>
      <c r="R13" s="648"/>
      <c r="S13" s="648"/>
      <c r="T13" s="648"/>
      <c r="U13" s="648"/>
      <c r="V13" s="649"/>
    </row>
    <row r="14" spans="1:23" ht="105" customHeight="1" thickTop="1" x14ac:dyDescent="0.25">
      <c r="B14" s="180" t="s">
        <v>38</v>
      </c>
      <c r="C14" s="200" t="s">
        <v>37</v>
      </c>
      <c r="D14" s="201" t="s">
        <v>36</v>
      </c>
      <c r="E14" s="201" t="s">
        <v>35</v>
      </c>
      <c r="F14" s="201" t="s">
        <v>34</v>
      </c>
      <c r="G14" s="201" t="s">
        <v>33</v>
      </c>
      <c r="H14" s="201" t="s">
        <v>32</v>
      </c>
      <c r="I14" s="201" t="s">
        <v>31</v>
      </c>
      <c r="J14" s="201" t="s">
        <v>20</v>
      </c>
      <c r="K14" s="201" t="s">
        <v>30</v>
      </c>
      <c r="L14" s="200" t="s">
        <v>29</v>
      </c>
      <c r="M14" s="201" t="s">
        <v>28</v>
      </c>
      <c r="N14" s="201" t="s">
        <v>27</v>
      </c>
      <c r="O14" s="201" t="s">
        <v>26</v>
      </c>
      <c r="P14" s="201" t="s">
        <v>25</v>
      </c>
      <c r="Q14" s="201" t="s">
        <v>24</v>
      </c>
      <c r="R14" s="201" t="s">
        <v>23</v>
      </c>
      <c r="S14" s="201" t="s">
        <v>22</v>
      </c>
      <c r="T14" s="201" t="s">
        <v>21</v>
      </c>
      <c r="U14" s="235" t="s">
        <v>20</v>
      </c>
      <c r="V14" s="322" t="s">
        <v>310</v>
      </c>
      <c r="W14" s="254" t="s">
        <v>193</v>
      </c>
    </row>
    <row r="15" spans="1:23" x14ac:dyDescent="0.25">
      <c r="B15" s="189">
        <v>2012</v>
      </c>
      <c r="C15" s="202"/>
      <c r="D15" s="181"/>
      <c r="E15" s="182"/>
      <c r="F15" s="181"/>
      <c r="G15" s="181"/>
      <c r="H15" s="181"/>
      <c r="I15" s="181"/>
      <c r="J15" s="181"/>
      <c r="K15" s="181"/>
      <c r="L15" s="202">
        <v>0</v>
      </c>
      <c r="M15" s="181">
        <v>0</v>
      </c>
      <c r="N15" s="182">
        <v>0</v>
      </c>
      <c r="O15" s="181">
        <v>0</v>
      </c>
      <c r="P15" s="181">
        <v>0</v>
      </c>
      <c r="Q15" s="181">
        <v>0</v>
      </c>
      <c r="R15" s="181">
        <v>1</v>
      </c>
      <c r="S15" s="181">
        <v>0</v>
      </c>
      <c r="T15" s="181">
        <v>0</v>
      </c>
      <c r="U15" s="236">
        <v>0</v>
      </c>
      <c r="V15" s="236"/>
      <c r="W15" s="259">
        <f t="shared" ref="W15:W20" si="0">SUM(C15:U15)</f>
        <v>1</v>
      </c>
    </row>
    <row r="16" spans="1:23" x14ac:dyDescent="0.25">
      <c r="B16" s="190">
        <v>2013</v>
      </c>
      <c r="C16" s="203">
        <v>0</v>
      </c>
      <c r="D16" s="183">
        <v>1</v>
      </c>
      <c r="E16" s="184">
        <v>0</v>
      </c>
      <c r="F16" s="183">
        <v>1</v>
      </c>
      <c r="G16" s="183"/>
      <c r="H16" s="183"/>
      <c r="I16" s="183"/>
      <c r="J16" s="183"/>
      <c r="K16" s="183"/>
      <c r="L16" s="203">
        <v>0</v>
      </c>
      <c r="M16" s="183">
        <v>0</v>
      </c>
      <c r="N16" s="184">
        <v>0</v>
      </c>
      <c r="O16" s="183">
        <v>0</v>
      </c>
      <c r="P16" s="183">
        <v>0</v>
      </c>
      <c r="Q16" s="183">
        <v>0</v>
      </c>
      <c r="R16" s="183">
        <v>0</v>
      </c>
      <c r="S16" s="183">
        <v>0</v>
      </c>
      <c r="T16" s="183">
        <v>1</v>
      </c>
      <c r="U16" s="237"/>
      <c r="V16" s="237"/>
      <c r="W16" s="260">
        <f t="shared" si="0"/>
        <v>3</v>
      </c>
    </row>
    <row r="17" spans="1:23" x14ac:dyDescent="0.25">
      <c r="B17" s="190">
        <v>2014</v>
      </c>
      <c r="C17" s="203">
        <v>0</v>
      </c>
      <c r="D17" s="183">
        <v>1</v>
      </c>
      <c r="E17" s="184">
        <v>0</v>
      </c>
      <c r="F17" s="183">
        <v>5</v>
      </c>
      <c r="G17" s="185">
        <v>0</v>
      </c>
      <c r="H17" s="185">
        <v>0</v>
      </c>
      <c r="I17" s="185">
        <v>0</v>
      </c>
      <c r="J17" s="185">
        <v>1</v>
      </c>
      <c r="K17" s="204">
        <v>0</v>
      </c>
      <c r="L17" s="203">
        <v>0</v>
      </c>
      <c r="M17" s="183">
        <v>0</v>
      </c>
      <c r="N17" s="184">
        <v>0</v>
      </c>
      <c r="O17" s="183">
        <v>3</v>
      </c>
      <c r="P17" s="183">
        <v>0</v>
      </c>
      <c r="Q17" s="183">
        <v>0</v>
      </c>
      <c r="R17" s="183">
        <v>0</v>
      </c>
      <c r="S17" s="183">
        <v>0</v>
      </c>
      <c r="T17" s="183">
        <v>0</v>
      </c>
      <c r="U17" s="237">
        <v>0</v>
      </c>
      <c r="V17" s="237"/>
      <c r="W17" s="260">
        <f t="shared" si="0"/>
        <v>10</v>
      </c>
    </row>
    <row r="18" spans="1:23" x14ac:dyDescent="0.25">
      <c r="B18" s="190">
        <v>2015</v>
      </c>
      <c r="C18" s="203">
        <v>0</v>
      </c>
      <c r="D18" s="183">
        <v>8</v>
      </c>
      <c r="E18" s="184">
        <v>0</v>
      </c>
      <c r="F18" s="183">
        <v>15</v>
      </c>
      <c r="G18" s="185">
        <v>0</v>
      </c>
      <c r="H18" s="185">
        <v>4</v>
      </c>
      <c r="I18" s="185">
        <v>0</v>
      </c>
      <c r="J18" s="185">
        <v>4</v>
      </c>
      <c r="K18" s="204">
        <v>0</v>
      </c>
      <c r="L18" s="203">
        <v>0</v>
      </c>
      <c r="M18" s="183">
        <v>0</v>
      </c>
      <c r="N18" s="184">
        <v>0</v>
      </c>
      <c r="O18" s="183">
        <v>2</v>
      </c>
      <c r="P18" s="183">
        <v>1</v>
      </c>
      <c r="Q18" s="183">
        <v>0</v>
      </c>
      <c r="R18" s="183">
        <v>0</v>
      </c>
      <c r="S18" s="183">
        <v>0</v>
      </c>
      <c r="T18" s="183">
        <v>0</v>
      </c>
      <c r="U18" s="237">
        <v>0</v>
      </c>
      <c r="V18" s="237"/>
      <c r="W18" s="260">
        <f t="shared" si="0"/>
        <v>34</v>
      </c>
    </row>
    <row r="19" spans="1:23" x14ac:dyDescent="0.25">
      <c r="B19" s="190">
        <v>2016</v>
      </c>
      <c r="C19" s="203">
        <v>6850</v>
      </c>
      <c r="D19" s="183">
        <v>3638</v>
      </c>
      <c r="E19" s="184">
        <v>4997</v>
      </c>
      <c r="F19" s="183">
        <v>658</v>
      </c>
      <c r="G19" s="185">
        <v>12</v>
      </c>
      <c r="H19" s="185">
        <v>6</v>
      </c>
      <c r="I19" s="185">
        <v>148</v>
      </c>
      <c r="J19" s="185">
        <v>15</v>
      </c>
      <c r="K19" s="204">
        <v>17</v>
      </c>
      <c r="L19" s="203">
        <v>28</v>
      </c>
      <c r="M19" s="183">
        <v>341</v>
      </c>
      <c r="N19" s="184">
        <v>2</v>
      </c>
      <c r="O19" s="183">
        <v>2</v>
      </c>
      <c r="P19" s="183">
        <v>214</v>
      </c>
      <c r="Q19" s="183">
        <v>17</v>
      </c>
      <c r="R19" s="183">
        <v>60</v>
      </c>
      <c r="S19" s="183">
        <v>6</v>
      </c>
      <c r="T19" s="183">
        <v>7</v>
      </c>
      <c r="U19" s="237">
        <v>4</v>
      </c>
      <c r="V19" s="237"/>
      <c r="W19" s="260">
        <f t="shared" si="0"/>
        <v>17022</v>
      </c>
    </row>
    <row r="20" spans="1:23" x14ac:dyDescent="0.25">
      <c r="B20" s="191">
        <v>2017</v>
      </c>
      <c r="C20" s="205">
        <v>16325</v>
      </c>
      <c r="D20" s="186">
        <v>11844</v>
      </c>
      <c r="E20" s="187">
        <v>9864</v>
      </c>
      <c r="F20" s="186">
        <v>2280</v>
      </c>
      <c r="G20" s="188">
        <v>79</v>
      </c>
      <c r="H20" s="188">
        <v>44</v>
      </c>
      <c r="I20" s="188">
        <v>442</v>
      </c>
      <c r="J20" s="188">
        <v>81</v>
      </c>
      <c r="K20" s="206">
        <v>137</v>
      </c>
      <c r="L20" s="205">
        <v>61</v>
      </c>
      <c r="M20" s="186">
        <v>1116</v>
      </c>
      <c r="N20" s="187"/>
      <c r="O20" s="186">
        <v>30</v>
      </c>
      <c r="P20" s="186">
        <v>2680</v>
      </c>
      <c r="Q20" s="186">
        <v>134</v>
      </c>
      <c r="R20" s="186">
        <v>799</v>
      </c>
      <c r="S20" s="186">
        <v>3</v>
      </c>
      <c r="T20" s="186">
        <v>47</v>
      </c>
      <c r="U20" s="238"/>
      <c r="V20" s="238"/>
      <c r="W20" s="261">
        <f t="shared" si="0"/>
        <v>45966</v>
      </c>
    </row>
    <row r="21" spans="1:23" x14ac:dyDescent="0.25">
      <c r="B21" s="177" t="s">
        <v>19</v>
      </c>
      <c r="C21" s="207">
        <v>23175</v>
      </c>
      <c r="D21" s="178">
        <v>15492</v>
      </c>
      <c r="E21" s="178">
        <v>14861</v>
      </c>
      <c r="F21" s="178">
        <v>2959</v>
      </c>
      <c r="G21" s="179">
        <v>91</v>
      </c>
      <c r="H21" s="179">
        <v>54</v>
      </c>
      <c r="I21" s="179">
        <v>590</v>
      </c>
      <c r="J21" s="179">
        <v>101</v>
      </c>
      <c r="K21" s="208">
        <v>154</v>
      </c>
      <c r="L21" s="207">
        <v>89</v>
      </c>
      <c r="M21" s="178">
        <v>1457</v>
      </c>
      <c r="N21" s="178">
        <v>2</v>
      </c>
      <c r="O21" s="178">
        <v>37</v>
      </c>
      <c r="P21" s="178">
        <v>2895</v>
      </c>
      <c r="Q21" s="178">
        <v>151</v>
      </c>
      <c r="R21" s="178">
        <v>860</v>
      </c>
      <c r="S21" s="178">
        <v>9</v>
      </c>
      <c r="T21" s="178">
        <v>55</v>
      </c>
      <c r="U21" s="239">
        <v>4</v>
      </c>
      <c r="V21" s="239">
        <v>0</v>
      </c>
      <c r="W21" s="262">
        <f>SUM(C21:V21)</f>
        <v>63036</v>
      </c>
    </row>
    <row r="22" spans="1:23" ht="15" customHeight="1" x14ac:dyDescent="0.25">
      <c r="B22" s="171" t="s">
        <v>18</v>
      </c>
      <c r="C22" s="209">
        <v>6850</v>
      </c>
      <c r="D22" s="11">
        <v>3648</v>
      </c>
      <c r="E22" s="11">
        <v>4997</v>
      </c>
      <c r="F22" s="11">
        <v>679</v>
      </c>
      <c r="G22" s="12">
        <v>12</v>
      </c>
      <c r="H22" s="12">
        <v>10</v>
      </c>
      <c r="I22" s="12">
        <v>148</v>
      </c>
      <c r="J22" s="12">
        <v>20</v>
      </c>
      <c r="K22" s="99">
        <v>17</v>
      </c>
      <c r="L22" s="209">
        <v>28</v>
      </c>
      <c r="M22" s="11">
        <v>341</v>
      </c>
      <c r="N22" s="11">
        <v>2</v>
      </c>
      <c r="O22" s="11">
        <v>7</v>
      </c>
      <c r="P22" s="11">
        <v>215</v>
      </c>
      <c r="Q22" s="11">
        <v>17</v>
      </c>
      <c r="R22" s="11">
        <v>61</v>
      </c>
      <c r="S22" s="11">
        <v>6</v>
      </c>
      <c r="T22" s="11">
        <v>8</v>
      </c>
      <c r="U22" s="240">
        <v>4</v>
      </c>
      <c r="V22" s="240">
        <v>0</v>
      </c>
      <c r="W22" s="263">
        <f>SUM(C22:V22)</f>
        <v>17070</v>
      </c>
    </row>
    <row r="23" spans="1:23" ht="25.5" hidden="1" x14ac:dyDescent="0.25">
      <c r="A23" s="652" t="s">
        <v>5</v>
      </c>
      <c r="B23" s="192" t="s">
        <v>4</v>
      </c>
      <c r="C23" s="210">
        <v>0</v>
      </c>
      <c r="D23" s="139">
        <v>1</v>
      </c>
      <c r="E23" s="139">
        <v>0</v>
      </c>
      <c r="F23" s="139">
        <v>1</v>
      </c>
      <c r="G23" s="140">
        <v>0</v>
      </c>
      <c r="H23" s="140">
        <v>0</v>
      </c>
      <c r="I23" s="140">
        <v>0</v>
      </c>
      <c r="J23" s="140">
        <v>0</v>
      </c>
      <c r="K23" s="211">
        <v>0</v>
      </c>
      <c r="L23" s="210">
        <v>0</v>
      </c>
      <c r="M23" s="139">
        <v>0</v>
      </c>
      <c r="N23" s="139">
        <v>0</v>
      </c>
      <c r="O23" s="139">
        <v>0</v>
      </c>
      <c r="P23" s="139">
        <v>0</v>
      </c>
      <c r="Q23" s="139">
        <v>0</v>
      </c>
      <c r="R23" s="139">
        <v>1</v>
      </c>
      <c r="S23" s="139">
        <v>0</v>
      </c>
      <c r="T23" s="139">
        <v>1</v>
      </c>
      <c r="U23" s="241"/>
      <c r="V23" s="241">
        <v>0</v>
      </c>
      <c r="W23" s="257">
        <f t="shared" ref="W23:W41" si="1">SUM(C23:V23)</f>
        <v>4</v>
      </c>
    </row>
    <row r="24" spans="1:23" ht="25.5" hidden="1" x14ac:dyDescent="0.25">
      <c r="A24" s="653"/>
      <c r="B24" s="193" t="s">
        <v>3</v>
      </c>
      <c r="C24" s="212">
        <v>685</v>
      </c>
      <c r="D24" s="141">
        <v>364.8</v>
      </c>
      <c r="E24" s="141">
        <v>499.7</v>
      </c>
      <c r="F24" s="141">
        <v>67.900000000000006</v>
      </c>
      <c r="G24" s="142">
        <v>1.2</v>
      </c>
      <c r="H24" s="142">
        <v>1</v>
      </c>
      <c r="I24" s="142">
        <v>14.8</v>
      </c>
      <c r="J24" s="142">
        <v>2</v>
      </c>
      <c r="K24" s="213">
        <v>1.7</v>
      </c>
      <c r="L24" s="212">
        <v>2.8</v>
      </c>
      <c r="M24" s="141">
        <v>34.1</v>
      </c>
      <c r="N24" s="141">
        <v>0.2</v>
      </c>
      <c r="O24" s="141">
        <v>0.7</v>
      </c>
      <c r="P24" s="141">
        <v>21.5</v>
      </c>
      <c r="Q24" s="141">
        <v>1.7</v>
      </c>
      <c r="R24" s="141">
        <v>6.1</v>
      </c>
      <c r="S24" s="141">
        <v>0.6</v>
      </c>
      <c r="T24" s="141">
        <v>0.8</v>
      </c>
      <c r="U24" s="242"/>
      <c r="V24" s="242">
        <v>0.4</v>
      </c>
      <c r="W24" s="255">
        <f t="shared" si="1"/>
        <v>1707</v>
      </c>
    </row>
    <row r="25" spans="1:23" ht="38.25" hidden="1" x14ac:dyDescent="0.25">
      <c r="A25" s="653"/>
      <c r="B25" s="193" t="s">
        <v>2</v>
      </c>
      <c r="C25" s="212">
        <v>5</v>
      </c>
      <c r="D25" s="141">
        <v>1</v>
      </c>
      <c r="E25" s="141">
        <v>0</v>
      </c>
      <c r="F25" s="141">
        <v>0</v>
      </c>
      <c r="G25" s="142"/>
      <c r="H25" s="142"/>
      <c r="I25" s="142"/>
      <c r="J25" s="142"/>
      <c r="K25" s="213"/>
      <c r="L25" s="212"/>
      <c r="M25" s="141"/>
      <c r="N25" s="141"/>
      <c r="O25" s="141"/>
      <c r="P25" s="141"/>
      <c r="Q25" s="141"/>
      <c r="R25" s="141"/>
      <c r="S25" s="141"/>
      <c r="T25" s="141"/>
      <c r="U25" s="242"/>
      <c r="V25" s="242"/>
      <c r="W25" s="255">
        <f t="shared" si="1"/>
        <v>6</v>
      </c>
    </row>
    <row r="26" spans="1:23" ht="38.25" hidden="1" x14ac:dyDescent="0.25">
      <c r="A26" s="654"/>
      <c r="B26" s="194" t="s">
        <v>1</v>
      </c>
      <c r="C26" s="214">
        <v>12</v>
      </c>
      <c r="D26" s="143">
        <v>15</v>
      </c>
      <c r="E26" s="143">
        <v>1</v>
      </c>
      <c r="F26" s="143">
        <v>0</v>
      </c>
      <c r="G26" s="144"/>
      <c r="H26" s="144"/>
      <c r="I26" s="144"/>
      <c r="J26" s="144"/>
      <c r="K26" s="215"/>
      <c r="L26" s="214"/>
      <c r="M26" s="143"/>
      <c r="N26" s="143"/>
      <c r="O26" s="143"/>
      <c r="P26" s="143"/>
      <c r="Q26" s="143"/>
      <c r="R26" s="143"/>
      <c r="S26" s="143"/>
      <c r="T26" s="143"/>
      <c r="U26" s="243"/>
      <c r="V26" s="243"/>
      <c r="W26" s="258">
        <f t="shared" si="1"/>
        <v>28</v>
      </c>
    </row>
    <row r="27" spans="1:23" hidden="1" x14ac:dyDescent="0.25">
      <c r="A27" s="656" t="s">
        <v>17</v>
      </c>
      <c r="B27" s="657"/>
      <c r="C27" s="216">
        <v>702</v>
      </c>
      <c r="D27" s="23">
        <v>381.8</v>
      </c>
      <c r="E27" s="23">
        <v>500.7</v>
      </c>
      <c r="F27" s="23">
        <v>68.900000000000006</v>
      </c>
      <c r="G27" s="24">
        <v>1.2</v>
      </c>
      <c r="H27" s="24">
        <v>1</v>
      </c>
      <c r="I27" s="24">
        <v>14.8</v>
      </c>
      <c r="J27" s="24">
        <v>2</v>
      </c>
      <c r="K27" s="217">
        <v>1.7</v>
      </c>
      <c r="L27" s="216">
        <v>2.8</v>
      </c>
      <c r="M27" s="23">
        <v>34.1</v>
      </c>
      <c r="N27" s="23">
        <v>0.2</v>
      </c>
      <c r="O27" s="23">
        <v>0.7</v>
      </c>
      <c r="P27" s="23">
        <v>21.5</v>
      </c>
      <c r="Q27" s="23">
        <v>1.7</v>
      </c>
      <c r="R27" s="23">
        <v>7.1</v>
      </c>
      <c r="S27" s="23">
        <v>0.6</v>
      </c>
      <c r="T27" s="23">
        <v>1.8</v>
      </c>
      <c r="U27" s="244"/>
      <c r="V27" s="244">
        <v>0.4</v>
      </c>
      <c r="W27" s="256">
        <f t="shared" si="1"/>
        <v>1745</v>
      </c>
    </row>
    <row r="28" spans="1:23" ht="25.5" hidden="1" x14ac:dyDescent="0.25">
      <c r="A28" s="658" t="s">
        <v>16</v>
      </c>
      <c r="B28" s="195" t="s">
        <v>15</v>
      </c>
      <c r="C28" s="218">
        <v>0</v>
      </c>
      <c r="D28" s="145">
        <v>1</v>
      </c>
      <c r="E28" s="145">
        <v>0</v>
      </c>
      <c r="F28" s="145">
        <v>5</v>
      </c>
      <c r="G28" s="146">
        <v>0</v>
      </c>
      <c r="H28" s="146">
        <v>0</v>
      </c>
      <c r="I28" s="146">
        <v>0</v>
      </c>
      <c r="J28" s="146">
        <v>1</v>
      </c>
      <c r="K28" s="219">
        <v>0</v>
      </c>
      <c r="L28" s="218">
        <v>0</v>
      </c>
      <c r="M28" s="145">
        <v>0</v>
      </c>
      <c r="N28" s="145">
        <v>0</v>
      </c>
      <c r="O28" s="145">
        <v>3</v>
      </c>
      <c r="P28" s="145">
        <v>0</v>
      </c>
      <c r="Q28" s="145">
        <v>0</v>
      </c>
      <c r="R28" s="145">
        <v>0</v>
      </c>
      <c r="S28" s="145">
        <v>0</v>
      </c>
      <c r="T28" s="145">
        <v>0</v>
      </c>
      <c r="U28" s="245"/>
      <c r="V28" s="245">
        <v>0</v>
      </c>
      <c r="W28" s="257">
        <f t="shared" si="1"/>
        <v>10</v>
      </c>
    </row>
    <row r="29" spans="1:23" ht="25.5" hidden="1" x14ac:dyDescent="0.25">
      <c r="A29" s="659"/>
      <c r="B29" s="196" t="s">
        <v>14</v>
      </c>
      <c r="C29" s="220">
        <v>2740</v>
      </c>
      <c r="D29" s="147">
        <v>1459.2</v>
      </c>
      <c r="E29" s="147">
        <v>1998.8</v>
      </c>
      <c r="F29" s="147">
        <v>271.60000000000002</v>
      </c>
      <c r="G29" s="148">
        <v>4.8</v>
      </c>
      <c r="H29" s="148">
        <v>4</v>
      </c>
      <c r="I29" s="148">
        <v>59.2</v>
      </c>
      <c r="J29" s="148">
        <v>8</v>
      </c>
      <c r="K29" s="221">
        <v>6.8</v>
      </c>
      <c r="L29" s="220">
        <v>11.2</v>
      </c>
      <c r="M29" s="147">
        <v>136.4</v>
      </c>
      <c r="N29" s="147">
        <v>0.8</v>
      </c>
      <c r="O29" s="147">
        <v>2.8</v>
      </c>
      <c r="P29" s="147">
        <v>86</v>
      </c>
      <c r="Q29" s="147">
        <v>6.8</v>
      </c>
      <c r="R29" s="147">
        <v>24.4</v>
      </c>
      <c r="S29" s="147">
        <v>2.4</v>
      </c>
      <c r="T29" s="147">
        <v>3.2</v>
      </c>
      <c r="U29" s="246"/>
      <c r="V29" s="246">
        <v>1.6</v>
      </c>
      <c r="W29" s="255">
        <f t="shared" si="1"/>
        <v>6828</v>
      </c>
    </row>
    <row r="30" spans="1:23" ht="38.25" hidden="1" x14ac:dyDescent="0.25">
      <c r="A30" s="659"/>
      <c r="B30" s="196" t="s">
        <v>2</v>
      </c>
      <c r="C30" s="220">
        <v>8</v>
      </c>
      <c r="D30" s="147">
        <v>1</v>
      </c>
      <c r="E30" s="147">
        <v>1</v>
      </c>
      <c r="F30" s="147">
        <v>0</v>
      </c>
      <c r="G30" s="148"/>
      <c r="H30" s="148"/>
      <c r="I30" s="148"/>
      <c r="J30" s="148"/>
      <c r="K30" s="221"/>
      <c r="L30" s="220"/>
      <c r="M30" s="147"/>
      <c r="N30" s="147"/>
      <c r="O30" s="147"/>
      <c r="P30" s="147"/>
      <c r="Q30" s="147"/>
      <c r="R30" s="147"/>
      <c r="S30" s="147"/>
      <c r="T30" s="147"/>
      <c r="U30" s="246"/>
      <c r="V30" s="246"/>
      <c r="W30" s="255">
        <f t="shared" si="1"/>
        <v>10</v>
      </c>
    </row>
    <row r="31" spans="1:23" ht="38.25" hidden="1" x14ac:dyDescent="0.25">
      <c r="A31" s="660"/>
      <c r="B31" s="197" t="s">
        <v>1</v>
      </c>
      <c r="C31" s="222">
        <v>10</v>
      </c>
      <c r="D31" s="149">
        <v>9</v>
      </c>
      <c r="E31" s="149">
        <v>10</v>
      </c>
      <c r="F31" s="149">
        <v>0</v>
      </c>
      <c r="G31" s="150"/>
      <c r="H31" s="150"/>
      <c r="I31" s="150"/>
      <c r="J31" s="150"/>
      <c r="K31" s="223"/>
      <c r="L31" s="222">
        <v>12</v>
      </c>
      <c r="M31" s="149"/>
      <c r="N31" s="149"/>
      <c r="O31" s="149"/>
      <c r="P31" s="149"/>
      <c r="Q31" s="149"/>
      <c r="R31" s="149"/>
      <c r="S31" s="149"/>
      <c r="T31" s="149"/>
      <c r="U31" s="247"/>
      <c r="V31" s="247"/>
      <c r="W31" s="258">
        <f t="shared" si="1"/>
        <v>41</v>
      </c>
    </row>
    <row r="32" spans="1:23" hidden="1" x14ac:dyDescent="0.25">
      <c r="A32" s="656" t="s">
        <v>13</v>
      </c>
      <c r="B32" s="657"/>
      <c r="C32" s="224">
        <v>2758</v>
      </c>
      <c r="D32" s="26">
        <v>1469.2</v>
      </c>
      <c r="E32" s="26">
        <v>2009.8</v>
      </c>
      <c r="F32" s="26">
        <v>271.60000000000002</v>
      </c>
      <c r="G32" s="27">
        <v>4.8</v>
      </c>
      <c r="H32" s="27">
        <v>4</v>
      </c>
      <c r="I32" s="27">
        <v>59.2</v>
      </c>
      <c r="J32" s="27">
        <v>8</v>
      </c>
      <c r="K32" s="225">
        <v>6.8</v>
      </c>
      <c r="L32" s="224">
        <v>23.2</v>
      </c>
      <c r="M32" s="26">
        <v>136.4</v>
      </c>
      <c r="N32" s="26">
        <v>0.8</v>
      </c>
      <c r="O32" s="26">
        <v>2.8</v>
      </c>
      <c r="P32" s="26">
        <v>86</v>
      </c>
      <c r="Q32" s="26">
        <v>6.8</v>
      </c>
      <c r="R32" s="26">
        <v>24.4</v>
      </c>
      <c r="S32" s="26">
        <v>2.4</v>
      </c>
      <c r="T32" s="26">
        <v>3.2</v>
      </c>
      <c r="U32" s="248"/>
      <c r="V32" s="248">
        <v>1.6</v>
      </c>
      <c r="W32" s="256">
        <f t="shared" si="1"/>
        <v>6879</v>
      </c>
    </row>
    <row r="33" spans="1:24" ht="25.5" hidden="1" x14ac:dyDescent="0.25">
      <c r="A33" s="658" t="s">
        <v>12</v>
      </c>
      <c r="B33" s="195" t="s">
        <v>11</v>
      </c>
      <c r="C33" s="218">
        <v>0</v>
      </c>
      <c r="D33" s="145">
        <v>8</v>
      </c>
      <c r="E33" s="145">
        <v>0</v>
      </c>
      <c r="F33" s="145">
        <v>15</v>
      </c>
      <c r="G33" s="146">
        <v>0</v>
      </c>
      <c r="H33" s="146">
        <v>4</v>
      </c>
      <c r="I33" s="146">
        <v>0</v>
      </c>
      <c r="J33" s="146">
        <v>4</v>
      </c>
      <c r="K33" s="219">
        <v>0</v>
      </c>
      <c r="L33" s="218">
        <v>0</v>
      </c>
      <c r="M33" s="145">
        <v>0</v>
      </c>
      <c r="N33" s="145">
        <v>0</v>
      </c>
      <c r="O33" s="145">
        <v>2</v>
      </c>
      <c r="P33" s="145">
        <v>1</v>
      </c>
      <c r="Q33" s="145">
        <v>0</v>
      </c>
      <c r="R33" s="145">
        <v>0</v>
      </c>
      <c r="S33" s="145">
        <v>0</v>
      </c>
      <c r="T33" s="145">
        <v>0</v>
      </c>
      <c r="U33" s="245"/>
      <c r="V33" s="245">
        <v>0</v>
      </c>
      <c r="W33" s="257">
        <f t="shared" si="1"/>
        <v>34</v>
      </c>
    </row>
    <row r="34" spans="1:24" ht="25.5" hidden="1" x14ac:dyDescent="0.25">
      <c r="A34" s="659"/>
      <c r="B34" s="196" t="s">
        <v>10</v>
      </c>
      <c r="C34" s="226">
        <v>4795</v>
      </c>
      <c r="D34" s="151">
        <v>2553.6</v>
      </c>
      <c r="E34" s="151">
        <v>3497.9</v>
      </c>
      <c r="F34" s="151">
        <v>475.3</v>
      </c>
      <c r="G34" s="148">
        <v>8.4</v>
      </c>
      <c r="H34" s="148">
        <v>7</v>
      </c>
      <c r="I34" s="148">
        <v>103.6</v>
      </c>
      <c r="J34" s="148">
        <v>14</v>
      </c>
      <c r="K34" s="221">
        <v>11.9</v>
      </c>
      <c r="L34" s="226">
        <v>19.600000000000001</v>
      </c>
      <c r="M34" s="151">
        <v>238.7</v>
      </c>
      <c r="N34" s="151">
        <v>1.4</v>
      </c>
      <c r="O34" s="151">
        <v>4.9000000000000004</v>
      </c>
      <c r="P34" s="151">
        <v>150.5</v>
      </c>
      <c r="Q34" s="151">
        <v>11.9</v>
      </c>
      <c r="R34" s="151">
        <v>42.7</v>
      </c>
      <c r="S34" s="151">
        <v>4.2</v>
      </c>
      <c r="T34" s="151">
        <v>5.6</v>
      </c>
      <c r="U34" s="249"/>
      <c r="V34" s="249">
        <v>2.8</v>
      </c>
      <c r="W34" s="255">
        <f t="shared" si="1"/>
        <v>11949</v>
      </c>
    </row>
    <row r="35" spans="1:24" ht="38.25" hidden="1" x14ac:dyDescent="0.25">
      <c r="A35" s="659"/>
      <c r="B35" s="196" t="s">
        <v>2</v>
      </c>
      <c r="C35" s="226">
        <v>0</v>
      </c>
      <c r="D35" s="151">
        <v>0</v>
      </c>
      <c r="E35" s="151">
        <v>0</v>
      </c>
      <c r="F35" s="151">
        <v>0</v>
      </c>
      <c r="G35" s="148"/>
      <c r="H35" s="148"/>
      <c r="I35" s="148"/>
      <c r="J35" s="148"/>
      <c r="K35" s="221"/>
      <c r="L35" s="226"/>
      <c r="M35" s="151"/>
      <c r="N35" s="151"/>
      <c r="O35" s="151"/>
      <c r="P35" s="151"/>
      <c r="Q35" s="151"/>
      <c r="R35" s="151"/>
      <c r="S35" s="151"/>
      <c r="T35" s="151"/>
      <c r="U35" s="249"/>
      <c r="V35" s="249"/>
      <c r="W35" s="255">
        <f t="shared" si="1"/>
        <v>0</v>
      </c>
    </row>
    <row r="36" spans="1:24" ht="38.25" hidden="1" x14ac:dyDescent="0.25">
      <c r="A36" s="660"/>
      <c r="B36" s="197" t="s">
        <v>1</v>
      </c>
      <c r="C36" s="227">
        <v>14</v>
      </c>
      <c r="D36" s="152">
        <v>8</v>
      </c>
      <c r="E36" s="152">
        <v>5</v>
      </c>
      <c r="F36" s="152">
        <v>1</v>
      </c>
      <c r="G36" s="150"/>
      <c r="H36" s="150"/>
      <c r="I36" s="150"/>
      <c r="J36" s="150"/>
      <c r="K36" s="223"/>
      <c r="L36" s="227"/>
      <c r="M36" s="152"/>
      <c r="N36" s="152"/>
      <c r="O36" s="152"/>
      <c r="P36" s="152"/>
      <c r="Q36" s="152"/>
      <c r="R36" s="152"/>
      <c r="S36" s="152"/>
      <c r="T36" s="152"/>
      <c r="U36" s="250"/>
      <c r="V36" s="250"/>
      <c r="W36" s="258">
        <f t="shared" si="1"/>
        <v>28</v>
      </c>
    </row>
    <row r="37" spans="1:24" hidden="1" x14ac:dyDescent="0.25">
      <c r="A37" s="656" t="s">
        <v>9</v>
      </c>
      <c r="B37" s="657"/>
      <c r="C37" s="228">
        <v>4809</v>
      </c>
      <c r="D37" s="6">
        <v>2561.6</v>
      </c>
      <c r="E37" s="6">
        <v>3502.9</v>
      </c>
      <c r="F37" s="6">
        <v>476.3</v>
      </c>
      <c r="G37" s="29">
        <v>8.4</v>
      </c>
      <c r="H37" s="29">
        <v>7</v>
      </c>
      <c r="I37" s="29">
        <v>103.6</v>
      </c>
      <c r="J37" s="29">
        <v>14</v>
      </c>
      <c r="K37" s="229">
        <v>11.9</v>
      </c>
      <c r="L37" s="228">
        <v>19.600000000000001</v>
      </c>
      <c r="M37" s="6">
        <v>238.7</v>
      </c>
      <c r="N37" s="6">
        <v>1.4</v>
      </c>
      <c r="O37" s="6">
        <v>4.9000000000000004</v>
      </c>
      <c r="P37" s="6">
        <v>150.5</v>
      </c>
      <c r="Q37" s="6">
        <v>11.9</v>
      </c>
      <c r="R37" s="6">
        <v>42.7</v>
      </c>
      <c r="S37" s="6">
        <v>4.2</v>
      </c>
      <c r="T37" s="6">
        <v>5.6</v>
      </c>
      <c r="U37" s="251"/>
      <c r="V37" s="251">
        <v>2.8</v>
      </c>
      <c r="W37" s="256">
        <f t="shared" si="1"/>
        <v>11977</v>
      </c>
    </row>
    <row r="38" spans="1:24" ht="25.5" hidden="1" x14ac:dyDescent="0.25">
      <c r="A38" s="663" t="s">
        <v>8</v>
      </c>
      <c r="B38" s="198" t="s">
        <v>7</v>
      </c>
      <c r="C38" s="230">
        <v>6850</v>
      </c>
      <c r="D38" s="30">
        <v>3648</v>
      </c>
      <c r="E38" s="30">
        <v>4997</v>
      </c>
      <c r="F38" s="30">
        <v>679</v>
      </c>
      <c r="G38" s="4">
        <v>12</v>
      </c>
      <c r="H38" s="4">
        <v>10</v>
      </c>
      <c r="I38" s="4">
        <v>148</v>
      </c>
      <c r="J38" s="4">
        <v>20</v>
      </c>
      <c r="K38" s="231">
        <v>17</v>
      </c>
      <c r="L38" s="230">
        <v>28</v>
      </c>
      <c r="M38" s="30">
        <v>341</v>
      </c>
      <c r="N38" s="30">
        <v>2</v>
      </c>
      <c r="O38" s="30">
        <v>7</v>
      </c>
      <c r="P38" s="30">
        <v>215</v>
      </c>
      <c r="Q38" s="30">
        <v>17</v>
      </c>
      <c r="R38" s="30">
        <v>61</v>
      </c>
      <c r="S38" s="30">
        <v>6</v>
      </c>
      <c r="T38" s="30">
        <v>8</v>
      </c>
      <c r="U38" s="252"/>
      <c r="V38" s="252">
        <v>4</v>
      </c>
      <c r="W38" s="256">
        <f t="shared" si="1"/>
        <v>17070</v>
      </c>
    </row>
    <row r="39" spans="1:24" ht="38.25" hidden="1" x14ac:dyDescent="0.25">
      <c r="A39" s="663"/>
      <c r="B39" s="199" t="s">
        <v>2</v>
      </c>
      <c r="C39" s="230">
        <v>0</v>
      </c>
      <c r="D39" s="30">
        <v>0</v>
      </c>
      <c r="E39" s="30">
        <v>0</v>
      </c>
      <c r="F39" s="30">
        <v>0</v>
      </c>
      <c r="G39" s="3"/>
      <c r="H39" s="3"/>
      <c r="I39" s="3"/>
      <c r="J39" s="3"/>
      <c r="K39" s="232"/>
      <c r="L39" s="230"/>
      <c r="M39" s="30"/>
      <c r="N39" s="30"/>
      <c r="O39" s="30"/>
      <c r="P39" s="30"/>
      <c r="Q39" s="30"/>
      <c r="R39" s="30"/>
      <c r="S39" s="30"/>
      <c r="T39" s="30"/>
      <c r="U39" s="252"/>
      <c r="V39" s="252"/>
      <c r="W39" s="256">
        <f t="shared" si="1"/>
        <v>0</v>
      </c>
    </row>
    <row r="40" spans="1:24" ht="38.25" hidden="1" x14ac:dyDescent="0.25">
      <c r="A40" s="664"/>
      <c r="B40" s="199" t="s">
        <v>1</v>
      </c>
      <c r="C40" s="230">
        <v>15</v>
      </c>
      <c r="D40" s="30">
        <v>16</v>
      </c>
      <c r="E40" s="30">
        <v>5</v>
      </c>
      <c r="F40" s="30">
        <v>2</v>
      </c>
      <c r="G40" s="3"/>
      <c r="H40" s="3"/>
      <c r="I40" s="3"/>
      <c r="J40" s="3"/>
      <c r="K40" s="232"/>
      <c r="L40" s="230"/>
      <c r="M40" s="30"/>
      <c r="N40" s="30"/>
      <c r="O40" s="30"/>
      <c r="P40" s="30">
        <v>1</v>
      </c>
      <c r="Q40" s="30"/>
      <c r="R40" s="30"/>
      <c r="S40" s="30"/>
      <c r="T40" s="30"/>
      <c r="U40" s="252"/>
      <c r="V40" s="252"/>
      <c r="W40" s="256">
        <f t="shared" si="1"/>
        <v>39</v>
      </c>
    </row>
    <row r="41" spans="1:24" hidden="1" x14ac:dyDescent="0.25">
      <c r="A41" s="665" t="s">
        <v>6</v>
      </c>
      <c r="B41" s="666"/>
      <c r="C41" s="233">
        <v>6850</v>
      </c>
      <c r="D41" s="31">
        <v>3648</v>
      </c>
      <c r="E41" s="31">
        <v>4997</v>
      </c>
      <c r="F41" s="31">
        <v>679</v>
      </c>
      <c r="G41" s="32">
        <v>12</v>
      </c>
      <c r="H41" s="32">
        <v>10</v>
      </c>
      <c r="I41" s="32">
        <v>148</v>
      </c>
      <c r="J41" s="32">
        <v>20</v>
      </c>
      <c r="K41" s="234">
        <v>17</v>
      </c>
      <c r="L41" s="233">
        <v>28</v>
      </c>
      <c r="M41" s="31">
        <v>341</v>
      </c>
      <c r="N41" s="31">
        <v>2</v>
      </c>
      <c r="O41" s="31">
        <v>7</v>
      </c>
      <c r="P41" s="31">
        <v>215</v>
      </c>
      <c r="Q41" s="31">
        <v>17</v>
      </c>
      <c r="R41" s="31">
        <v>61</v>
      </c>
      <c r="S41" s="31">
        <v>6</v>
      </c>
      <c r="T41" s="31">
        <v>8</v>
      </c>
      <c r="U41" s="253"/>
      <c r="V41" s="253">
        <v>4</v>
      </c>
      <c r="W41" s="256">
        <f t="shared" si="1"/>
        <v>17070</v>
      </c>
    </row>
    <row r="42" spans="1:24" ht="15.75" thickBot="1" x14ac:dyDescent="0.3">
      <c r="A42" s="33"/>
      <c r="B42" s="3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4" ht="15.75" thickTop="1" x14ac:dyDescent="0.25">
      <c r="A43" s="33"/>
      <c r="B43" s="522" t="s">
        <v>280</v>
      </c>
      <c r="C43" s="439">
        <v>5578</v>
      </c>
      <c r="D43" s="440">
        <v>2373</v>
      </c>
      <c r="E43" s="440">
        <v>2498</v>
      </c>
      <c r="F43" s="440">
        <v>415</v>
      </c>
      <c r="G43" s="440">
        <v>12</v>
      </c>
      <c r="H43" s="440">
        <v>10</v>
      </c>
      <c r="I43" s="440">
        <v>125</v>
      </c>
      <c r="J43" s="440">
        <v>19</v>
      </c>
      <c r="K43" s="440">
        <v>6</v>
      </c>
      <c r="L43" s="440">
        <v>28</v>
      </c>
      <c r="M43" s="440">
        <v>247</v>
      </c>
      <c r="N43" s="440">
        <v>2</v>
      </c>
      <c r="O43" s="440">
        <v>7</v>
      </c>
      <c r="P43" s="440">
        <v>176</v>
      </c>
      <c r="Q43" s="440">
        <v>17</v>
      </c>
      <c r="R43" s="440">
        <v>51</v>
      </c>
      <c r="S43" s="440">
        <v>6</v>
      </c>
      <c r="T43" s="440">
        <v>8</v>
      </c>
      <c r="U43" s="441">
        <v>5</v>
      </c>
      <c r="V43" s="442">
        <v>4</v>
      </c>
      <c r="W43" s="443">
        <f t="shared" ref="W43:W48" si="2">SUM(C43:V43)</f>
        <v>11587</v>
      </c>
      <c r="X43" s="594"/>
    </row>
    <row r="44" spans="1:24" s="173" customFormat="1" ht="16.5" thickBot="1" x14ac:dyDescent="0.3">
      <c r="A44" s="33"/>
      <c r="B44" s="523" t="s">
        <v>281</v>
      </c>
      <c r="C44" s="264">
        <v>1358</v>
      </c>
      <c r="D44" s="265">
        <v>1469</v>
      </c>
      <c r="E44" s="265">
        <v>2896</v>
      </c>
      <c r="F44" s="265">
        <v>355</v>
      </c>
      <c r="G44" s="265"/>
      <c r="H44" s="265"/>
      <c r="I44" s="265">
        <v>30</v>
      </c>
      <c r="J44" s="265">
        <v>2</v>
      </c>
      <c r="K44" s="265">
        <v>11</v>
      </c>
      <c r="L44" s="265">
        <v>1</v>
      </c>
      <c r="M44" s="265">
        <v>100</v>
      </c>
      <c r="N44" s="265">
        <v>2</v>
      </c>
      <c r="O44" s="265">
        <v>0</v>
      </c>
      <c r="P44" s="265">
        <v>51</v>
      </c>
      <c r="Q44" s="265">
        <v>3</v>
      </c>
      <c r="R44" s="265">
        <v>22</v>
      </c>
      <c r="S44" s="265">
        <v>2</v>
      </c>
      <c r="T44" s="265">
        <v>1</v>
      </c>
      <c r="U44" s="321"/>
      <c r="V44" s="266">
        <v>34</v>
      </c>
      <c r="W44" s="329">
        <f t="shared" si="2"/>
        <v>6337</v>
      </c>
      <c r="X44" s="618">
        <v>0.37</v>
      </c>
    </row>
    <row r="45" spans="1:24" s="173" customFormat="1" ht="16.5" thickTop="1" x14ac:dyDescent="0.25">
      <c r="A45" s="33"/>
      <c r="B45" s="524" t="s">
        <v>392</v>
      </c>
      <c r="C45" s="512">
        <v>5442</v>
      </c>
      <c r="D45" s="513">
        <v>1200</v>
      </c>
      <c r="E45" s="513">
        <v>2358</v>
      </c>
      <c r="F45" s="513">
        <f>397+12+5+1</f>
        <v>415</v>
      </c>
      <c r="G45" s="513">
        <v>12</v>
      </c>
      <c r="H45" s="513">
        <v>10</v>
      </c>
      <c r="I45" s="513">
        <v>125</v>
      </c>
      <c r="J45" s="513">
        <v>19</v>
      </c>
      <c r="K45" s="514">
        <v>6</v>
      </c>
      <c r="L45" s="512">
        <v>28</v>
      </c>
      <c r="M45" s="513">
        <f>152+5+20+69+6</f>
        <v>252</v>
      </c>
      <c r="N45" s="513">
        <v>2</v>
      </c>
      <c r="O45" s="513">
        <v>7</v>
      </c>
      <c r="P45" s="513">
        <f>119+13+8+12+4+12+1+1</f>
        <v>170</v>
      </c>
      <c r="Q45" s="513">
        <f>6+7+4</f>
        <v>17</v>
      </c>
      <c r="R45" s="513">
        <f>22+10+13+6</f>
        <v>51</v>
      </c>
      <c r="S45" s="513">
        <v>6</v>
      </c>
      <c r="T45" s="513">
        <v>8</v>
      </c>
      <c r="U45" s="515">
        <f>2+1+1+1</f>
        <v>5</v>
      </c>
      <c r="V45" s="514"/>
      <c r="W45" s="516">
        <f t="shared" si="2"/>
        <v>10133</v>
      </c>
      <c r="X45" s="619"/>
    </row>
    <row r="46" spans="1:24" s="173" customFormat="1" ht="16.5" thickBot="1" x14ac:dyDescent="0.3">
      <c r="A46" s="33"/>
      <c r="B46" s="525" t="s">
        <v>393</v>
      </c>
      <c r="C46" s="517">
        <v>1495</v>
      </c>
      <c r="D46" s="518">
        <v>1774</v>
      </c>
      <c r="E46" s="518">
        <v>3040</v>
      </c>
      <c r="F46" s="518">
        <v>355</v>
      </c>
      <c r="G46" s="518"/>
      <c r="H46" s="518"/>
      <c r="I46" s="518">
        <v>30</v>
      </c>
      <c r="J46" s="518">
        <v>2</v>
      </c>
      <c r="K46" s="519">
        <v>11</v>
      </c>
      <c r="L46" s="517">
        <v>1</v>
      </c>
      <c r="M46" s="518">
        <f>34+4+53+9</f>
        <v>100</v>
      </c>
      <c r="N46" s="518">
        <v>2</v>
      </c>
      <c r="O46" s="518"/>
      <c r="P46" s="518">
        <f>3+33+2+6+7</f>
        <v>51</v>
      </c>
      <c r="Q46" s="518">
        <v>3</v>
      </c>
      <c r="R46" s="518">
        <f>10+1+10+1</f>
        <v>22</v>
      </c>
      <c r="S46" s="518">
        <v>2</v>
      </c>
      <c r="T46" s="518">
        <v>1</v>
      </c>
      <c r="U46" s="520"/>
      <c r="V46" s="519">
        <v>34</v>
      </c>
      <c r="W46" s="521">
        <f t="shared" si="2"/>
        <v>6923</v>
      </c>
      <c r="X46" s="618">
        <f>W46/W22</f>
        <v>0.40556531927357936</v>
      </c>
    </row>
    <row r="47" spans="1:24" s="173" customFormat="1" ht="16.5" thickTop="1" x14ac:dyDescent="0.25">
      <c r="A47" s="33"/>
      <c r="B47" s="715" t="s">
        <v>394</v>
      </c>
      <c r="C47" s="716">
        <v>5102</v>
      </c>
      <c r="D47" s="717">
        <v>950</v>
      </c>
      <c r="E47" s="717">
        <v>2149</v>
      </c>
      <c r="F47" s="717">
        <v>385</v>
      </c>
      <c r="G47" s="717">
        <v>8</v>
      </c>
      <c r="H47" s="717">
        <v>10</v>
      </c>
      <c r="I47" s="717">
        <v>123</v>
      </c>
      <c r="J47" s="717">
        <v>19</v>
      </c>
      <c r="K47" s="717">
        <v>5</v>
      </c>
      <c r="L47" s="717">
        <v>25</v>
      </c>
      <c r="M47" s="717">
        <f>83+68+20+5+3</f>
        <v>179</v>
      </c>
      <c r="N47" s="717">
        <v>2</v>
      </c>
      <c r="O47" s="717">
        <v>5</v>
      </c>
      <c r="P47" s="717">
        <f>107+13+13+12+8+4+1+1</f>
        <v>159</v>
      </c>
      <c r="Q47" s="717">
        <f>7+5+4</f>
        <v>16</v>
      </c>
      <c r="R47" s="717">
        <f>22+10+6+12</f>
        <v>50</v>
      </c>
      <c r="S47" s="717">
        <v>4</v>
      </c>
      <c r="T47" s="717">
        <v>7</v>
      </c>
      <c r="U47" s="718">
        <f>1+1+1+1</f>
        <v>4</v>
      </c>
      <c r="V47" s="719"/>
      <c r="W47" s="720">
        <f t="shared" si="2"/>
        <v>9202</v>
      </c>
      <c r="X47" s="619"/>
    </row>
    <row r="48" spans="1:24" s="173" customFormat="1" ht="16.5" thickBot="1" x14ac:dyDescent="0.3">
      <c r="A48" s="33"/>
      <c r="B48" s="721" t="s">
        <v>395</v>
      </c>
      <c r="C48" s="722">
        <v>1780</v>
      </c>
      <c r="D48" s="723">
        <v>1897</v>
      </c>
      <c r="E48" s="723">
        <v>3254</v>
      </c>
      <c r="F48" s="723">
        <v>380</v>
      </c>
      <c r="G48" s="723">
        <v>4</v>
      </c>
      <c r="H48" s="723"/>
      <c r="I48" s="723">
        <v>32</v>
      </c>
      <c r="J48" s="723">
        <v>2</v>
      </c>
      <c r="K48" s="723">
        <v>12</v>
      </c>
      <c r="L48" s="723">
        <v>7</v>
      </c>
      <c r="M48" s="723">
        <f>122+35+10+4+2</f>
        <v>173</v>
      </c>
      <c r="N48" s="723">
        <f>1+1</f>
        <v>2</v>
      </c>
      <c r="O48" s="723">
        <v>1</v>
      </c>
      <c r="P48" s="723">
        <f>44+7+6+3+2</f>
        <v>62</v>
      </c>
      <c r="Q48" s="723">
        <f>3+1</f>
        <v>4</v>
      </c>
      <c r="R48" s="723">
        <f>11+10+1+1</f>
        <v>23</v>
      </c>
      <c r="S48" s="723">
        <v>4</v>
      </c>
      <c r="T48" s="723">
        <v>1</v>
      </c>
      <c r="U48" s="724"/>
      <c r="V48" s="725">
        <v>34</v>
      </c>
      <c r="W48" s="726">
        <f t="shared" si="2"/>
        <v>7672</v>
      </c>
      <c r="X48" s="618">
        <f>W48/W22</f>
        <v>0.44944346807264207</v>
      </c>
    </row>
    <row r="49" spans="1:24" s="173" customFormat="1" ht="17.25" thickTop="1" thickBot="1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619"/>
    </row>
    <row r="50" spans="1:24" s="173" customFormat="1" ht="30" customHeight="1" thickTop="1" x14ac:dyDescent="0.25">
      <c r="A50" s="33"/>
      <c r="B50" s="325" t="s">
        <v>15</v>
      </c>
      <c r="C50" s="624"/>
      <c r="D50" s="625">
        <v>1</v>
      </c>
      <c r="E50" s="625"/>
      <c r="F50" s="625">
        <v>1</v>
      </c>
      <c r="G50" s="626"/>
      <c r="H50" s="626"/>
      <c r="I50" s="626"/>
      <c r="J50" s="625">
        <v>1</v>
      </c>
      <c r="K50" s="627"/>
      <c r="L50" s="624"/>
      <c r="M50" s="625"/>
      <c r="N50" s="626"/>
      <c r="O50" s="625">
        <v>1</v>
      </c>
      <c r="P50" s="625"/>
      <c r="Q50" s="626"/>
      <c r="R50" s="625"/>
      <c r="S50" s="626"/>
      <c r="T50" s="625"/>
      <c r="U50" s="627"/>
      <c r="V50" s="627"/>
      <c r="W50" s="620">
        <f>SUM(C50:V50)</f>
        <v>4</v>
      </c>
      <c r="X50" s="21"/>
    </row>
    <row r="51" spans="1:24" ht="15.75" thickBot="1" x14ac:dyDescent="0.3">
      <c r="A51" s="33"/>
      <c r="B51" s="326" t="s">
        <v>179</v>
      </c>
      <c r="C51" s="628">
        <v>1</v>
      </c>
      <c r="D51" s="629">
        <v>0</v>
      </c>
      <c r="E51" s="628">
        <v>1</v>
      </c>
      <c r="F51" s="629">
        <v>0</v>
      </c>
      <c r="G51" s="628">
        <v>1</v>
      </c>
      <c r="H51" s="628">
        <v>1</v>
      </c>
      <c r="I51" s="628">
        <v>1</v>
      </c>
      <c r="J51" s="629">
        <v>0</v>
      </c>
      <c r="K51" s="628">
        <v>1</v>
      </c>
      <c r="L51" s="628">
        <v>1</v>
      </c>
      <c r="M51" s="628">
        <v>1</v>
      </c>
      <c r="N51" s="628">
        <v>1</v>
      </c>
      <c r="O51" s="629">
        <v>0</v>
      </c>
      <c r="P51" s="628">
        <v>1</v>
      </c>
      <c r="Q51" s="628">
        <v>1</v>
      </c>
      <c r="R51" s="628">
        <v>1</v>
      </c>
      <c r="S51" s="628">
        <v>1</v>
      </c>
      <c r="T51" s="628">
        <v>1</v>
      </c>
      <c r="U51" s="628">
        <v>1</v>
      </c>
      <c r="V51" s="630">
        <v>1</v>
      </c>
      <c r="W51" s="621">
        <v>0</v>
      </c>
    </row>
    <row r="52" spans="1:24" ht="28.5" customHeight="1" thickTop="1" thickBot="1" x14ac:dyDescent="0.3">
      <c r="A52" s="33"/>
      <c r="B52" s="418" t="s">
        <v>14</v>
      </c>
      <c r="C52" s="631">
        <f>C48/C22</f>
        <v>0.25985401459854013</v>
      </c>
      <c r="D52" s="632">
        <f t="shared" ref="D52:W52" si="3">D48/D22</f>
        <v>0.52001096491228072</v>
      </c>
      <c r="E52" s="632">
        <f t="shared" si="3"/>
        <v>0.65119071442865717</v>
      </c>
      <c r="F52" s="632">
        <f t="shared" si="3"/>
        <v>0.55964653902798234</v>
      </c>
      <c r="G52" s="633">
        <f t="shared" si="3"/>
        <v>0.33333333333333331</v>
      </c>
      <c r="H52" s="633">
        <f t="shared" si="3"/>
        <v>0</v>
      </c>
      <c r="I52" s="633">
        <f t="shared" si="3"/>
        <v>0.21621621621621623</v>
      </c>
      <c r="J52" s="633">
        <f t="shared" si="3"/>
        <v>0.1</v>
      </c>
      <c r="K52" s="634">
        <f t="shared" si="3"/>
        <v>0.70588235294117652</v>
      </c>
      <c r="L52" s="635">
        <f t="shared" si="3"/>
        <v>0.25</v>
      </c>
      <c r="M52" s="633">
        <f t="shared" si="3"/>
        <v>0.50733137829912023</v>
      </c>
      <c r="N52" s="636">
        <f t="shared" si="3"/>
        <v>1</v>
      </c>
      <c r="O52" s="633">
        <f t="shared" si="3"/>
        <v>0.14285714285714285</v>
      </c>
      <c r="P52" s="633">
        <f t="shared" si="3"/>
        <v>0.28837209302325584</v>
      </c>
      <c r="Q52" s="633">
        <f t="shared" si="3"/>
        <v>0.23529411764705882</v>
      </c>
      <c r="R52" s="633">
        <f t="shared" si="3"/>
        <v>0.37704918032786883</v>
      </c>
      <c r="S52" s="633">
        <f t="shared" si="3"/>
        <v>0.66666666666666663</v>
      </c>
      <c r="T52" s="633">
        <f t="shared" si="3"/>
        <v>0.125</v>
      </c>
      <c r="U52" s="637">
        <f t="shared" si="3"/>
        <v>0</v>
      </c>
      <c r="V52" s="638" t="e">
        <f t="shared" si="3"/>
        <v>#DIV/0!</v>
      </c>
      <c r="W52" s="622">
        <f t="shared" si="3"/>
        <v>0.44944346807264207</v>
      </c>
    </row>
    <row r="53" spans="1:24" ht="39" thickTop="1" x14ac:dyDescent="0.25">
      <c r="A53" s="33"/>
      <c r="B53" s="327" t="s">
        <v>2</v>
      </c>
      <c r="C53" s="661" t="s">
        <v>0</v>
      </c>
      <c r="D53" s="661"/>
      <c r="E53" s="661"/>
      <c r="F53" s="661"/>
      <c r="G53" s="661"/>
      <c r="H53" s="661"/>
      <c r="I53" s="661"/>
      <c r="J53" s="661"/>
      <c r="K53" s="661"/>
      <c r="L53" s="661"/>
      <c r="M53" s="661"/>
      <c r="N53" s="661"/>
      <c r="O53" s="661"/>
      <c r="P53" s="661"/>
      <c r="Q53" s="661"/>
      <c r="R53" s="661"/>
      <c r="S53" s="661"/>
      <c r="T53" s="661"/>
      <c r="U53" s="661"/>
      <c r="V53" s="661"/>
      <c r="W53" s="323"/>
    </row>
    <row r="54" spans="1:24" ht="39" thickBot="1" x14ac:dyDescent="0.3">
      <c r="A54" s="33"/>
      <c r="B54" s="328" t="s">
        <v>1</v>
      </c>
      <c r="C54" s="662" t="s">
        <v>0</v>
      </c>
      <c r="D54" s="662"/>
      <c r="E54" s="662"/>
      <c r="F54" s="662"/>
      <c r="G54" s="662"/>
      <c r="H54" s="662"/>
      <c r="I54" s="662"/>
      <c r="J54" s="662"/>
      <c r="K54" s="662"/>
      <c r="L54" s="662"/>
      <c r="M54" s="662"/>
      <c r="N54" s="662"/>
      <c r="O54" s="662"/>
      <c r="P54" s="662"/>
      <c r="Q54" s="662"/>
      <c r="R54" s="662"/>
      <c r="S54" s="662"/>
      <c r="T54" s="662"/>
      <c r="U54" s="662"/>
      <c r="V54" s="662"/>
      <c r="W54" s="324"/>
    </row>
    <row r="55" spans="1:24" ht="15.75" thickTop="1" x14ac:dyDescent="0.25">
      <c r="A55" s="33"/>
    </row>
    <row r="56" spans="1:24" s="173" customFormat="1" x14ac:dyDescent="0.25">
      <c r="A56" s="33"/>
      <c r="X56" s="21"/>
    </row>
    <row r="57" spans="1:24" x14ac:dyDescent="0.25">
      <c r="B57" s="39"/>
    </row>
    <row r="58" spans="1:24" x14ac:dyDescent="0.25">
      <c r="B58" s="319"/>
    </row>
    <row r="59" spans="1:24" x14ac:dyDescent="0.25">
      <c r="B59" s="39"/>
      <c r="H59" s="320"/>
    </row>
    <row r="60" spans="1:24" x14ac:dyDescent="0.25">
      <c r="B60" s="319"/>
      <c r="D60" s="655"/>
      <c r="H60" s="320"/>
    </row>
    <row r="61" spans="1:24" x14ac:dyDescent="0.25">
      <c r="B61" s="319"/>
      <c r="D61" s="655"/>
    </row>
    <row r="62" spans="1:24" x14ac:dyDescent="0.25">
      <c r="B62" s="319"/>
      <c r="D62" s="655"/>
    </row>
    <row r="63" spans="1:24" x14ac:dyDescent="0.25">
      <c r="D63" s="655"/>
    </row>
    <row r="64" spans="1:24" x14ac:dyDescent="0.25">
      <c r="B64" s="39"/>
    </row>
    <row r="66" spans="2:4" x14ac:dyDescent="0.25">
      <c r="B66" s="39"/>
      <c r="D66" s="173"/>
    </row>
    <row r="67" spans="2:4" x14ac:dyDescent="0.25">
      <c r="B67" s="319"/>
      <c r="D67" s="173"/>
    </row>
    <row r="68" spans="2:4" x14ac:dyDescent="0.25">
      <c r="B68" s="39"/>
    </row>
    <row r="69" spans="2:4" x14ac:dyDescent="0.25">
      <c r="D69" s="655"/>
    </row>
    <row r="70" spans="2:4" x14ac:dyDescent="0.25">
      <c r="D70" s="655"/>
    </row>
    <row r="71" spans="2:4" x14ac:dyDescent="0.25">
      <c r="D71" s="655"/>
    </row>
    <row r="72" spans="2:4" x14ac:dyDescent="0.25">
      <c r="D72" s="655"/>
    </row>
    <row r="73" spans="2:4" x14ac:dyDescent="0.25">
      <c r="D73" s="655"/>
    </row>
    <row r="74" spans="2:4" x14ac:dyDescent="0.25">
      <c r="D74" s="655"/>
    </row>
    <row r="75" spans="2:4" x14ac:dyDescent="0.25">
      <c r="D75" s="655"/>
    </row>
    <row r="76" spans="2:4" x14ac:dyDescent="0.25">
      <c r="D76" s="655"/>
    </row>
    <row r="77" spans="2:4" x14ac:dyDescent="0.25">
      <c r="D77" s="655"/>
    </row>
    <row r="78" spans="2:4" x14ac:dyDescent="0.25">
      <c r="B78" s="39"/>
    </row>
    <row r="82" spans="2:5" x14ac:dyDescent="0.25">
      <c r="B82" s="39"/>
    </row>
    <row r="83" spans="2:5" x14ac:dyDescent="0.25">
      <c r="B83" s="319"/>
      <c r="C83" s="108"/>
    </row>
    <row r="84" spans="2:5" x14ac:dyDescent="0.25">
      <c r="B84" s="319"/>
      <c r="C84" s="108"/>
    </row>
    <row r="85" spans="2:5" x14ac:dyDescent="0.25">
      <c r="B85" s="319"/>
      <c r="C85" s="108"/>
    </row>
    <row r="86" spans="2:5" x14ac:dyDescent="0.25">
      <c r="B86" s="319"/>
      <c r="C86" s="108"/>
    </row>
    <row r="87" spans="2:5" x14ac:dyDescent="0.25">
      <c r="B87" s="39"/>
    </row>
    <row r="89" spans="2:5" x14ac:dyDescent="0.25">
      <c r="B89" s="39"/>
    </row>
    <row r="90" spans="2:5" x14ac:dyDescent="0.25">
      <c r="B90" s="319"/>
    </row>
    <row r="91" spans="2:5" x14ac:dyDescent="0.25">
      <c r="B91" s="39"/>
    </row>
    <row r="96" spans="2:5" x14ac:dyDescent="0.25">
      <c r="E96" s="39"/>
    </row>
  </sheetData>
  <mergeCells count="16">
    <mergeCell ref="D60:D63"/>
    <mergeCell ref="D69:D77"/>
    <mergeCell ref="A27:B27"/>
    <mergeCell ref="A28:A31"/>
    <mergeCell ref="A32:B32"/>
    <mergeCell ref="C53:V53"/>
    <mergeCell ref="C54:V54"/>
    <mergeCell ref="A33:A36"/>
    <mergeCell ref="A37:B37"/>
    <mergeCell ref="A38:A40"/>
    <mergeCell ref="A41:B41"/>
    <mergeCell ref="C13:K13"/>
    <mergeCell ref="L13:V13"/>
    <mergeCell ref="A6:V6"/>
    <mergeCell ref="B11:V12"/>
    <mergeCell ref="A23:A26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AR159"/>
  <sheetViews>
    <sheetView zoomScale="50" zoomScaleNormal="50" workbookViewId="0">
      <selection activeCell="K8" sqref="K8"/>
    </sheetView>
  </sheetViews>
  <sheetFormatPr baseColWidth="10" defaultRowHeight="18.75" x14ac:dyDescent="0.3"/>
  <cols>
    <col min="1" max="1" width="62.140625" customWidth="1"/>
    <col min="2" max="5" width="8.140625" bestFit="1" customWidth="1"/>
    <col min="6" max="7" width="9.5703125" bestFit="1" customWidth="1"/>
    <col min="8" max="8" width="9.5703125" customWidth="1"/>
    <col min="9" max="9" width="11" customWidth="1"/>
    <col min="10" max="10" width="9.85546875" bestFit="1" customWidth="1"/>
    <col min="11" max="11" width="11.42578125" style="127"/>
    <col min="13" max="13" width="55" customWidth="1"/>
    <col min="14" max="15" width="8.140625" bestFit="1" customWidth="1"/>
    <col min="16" max="18" width="9.5703125" bestFit="1" customWidth="1"/>
    <col min="21" max="21" width="44.5703125" customWidth="1"/>
    <col min="22" max="27" width="8.140625" bestFit="1" customWidth="1"/>
    <col min="30" max="30" width="51.140625" customWidth="1"/>
    <col min="31" max="35" width="8.140625" bestFit="1" customWidth="1"/>
    <col min="36" max="36" width="11.5703125" bestFit="1" customWidth="1"/>
    <col min="38" max="38" width="67.85546875" customWidth="1"/>
    <col min="39" max="43" width="8.140625" bestFit="1" customWidth="1"/>
    <col min="44" max="44" width="11.28515625" customWidth="1"/>
  </cols>
  <sheetData>
    <row r="1" spans="1:44" x14ac:dyDescent="0.3">
      <c r="A1" s="13" t="s">
        <v>39</v>
      </c>
    </row>
    <row r="2" spans="1:44" x14ac:dyDescent="0.3">
      <c r="A2" s="13" t="s">
        <v>40</v>
      </c>
    </row>
    <row r="3" spans="1:44" x14ac:dyDescent="0.3">
      <c r="A3" s="13" t="s">
        <v>41</v>
      </c>
    </row>
    <row r="4" spans="1:44" x14ac:dyDescent="0.3">
      <c r="A4" s="13" t="s">
        <v>42</v>
      </c>
      <c r="E4" s="126"/>
    </row>
    <row r="5" spans="1:44" ht="19.5" thickBot="1" x14ac:dyDescent="0.35">
      <c r="A5" s="18"/>
    </row>
    <row r="6" spans="1:44" ht="22.5" thickTop="1" thickBot="1" x14ac:dyDescent="0.4">
      <c r="A6" s="670" t="s">
        <v>414</v>
      </c>
      <c r="B6" s="671"/>
      <c r="C6" s="671"/>
      <c r="D6" s="671"/>
      <c r="E6" s="671"/>
      <c r="F6" s="671"/>
      <c r="G6" s="671"/>
      <c r="H6" s="671"/>
      <c r="I6" s="672"/>
      <c r="M6" s="667" t="s">
        <v>194</v>
      </c>
      <c r="N6" s="668"/>
      <c r="O6" s="668"/>
      <c r="P6" s="668"/>
      <c r="Q6" s="668"/>
      <c r="R6" s="668"/>
      <c r="S6" s="669"/>
      <c r="U6" s="667" t="s">
        <v>195</v>
      </c>
      <c r="V6" s="668"/>
      <c r="W6" s="668"/>
      <c r="X6" s="668"/>
      <c r="Y6" s="668"/>
      <c r="Z6" s="668"/>
      <c r="AA6" s="668"/>
      <c r="AB6" s="669"/>
      <c r="AD6" s="667" t="s">
        <v>196</v>
      </c>
      <c r="AE6" s="668"/>
      <c r="AF6" s="668"/>
      <c r="AG6" s="668"/>
      <c r="AH6" s="668"/>
      <c r="AI6" s="668"/>
      <c r="AJ6" s="669"/>
      <c r="AL6" s="667" t="s">
        <v>379</v>
      </c>
      <c r="AM6" s="668"/>
      <c r="AN6" s="668"/>
      <c r="AO6" s="668"/>
      <c r="AP6" s="668"/>
      <c r="AQ6" s="668"/>
      <c r="AR6" s="668"/>
    </row>
    <row r="7" spans="1:44" ht="20.25" thickTop="1" thickBot="1" x14ac:dyDescent="0.35"/>
    <row r="8" spans="1:44" ht="32.25" thickTop="1" thickBot="1" x14ac:dyDescent="0.35">
      <c r="A8" s="97" t="s">
        <v>120</v>
      </c>
      <c r="B8" s="98">
        <v>2012</v>
      </c>
      <c r="C8" s="98">
        <v>2013</v>
      </c>
      <c r="D8" s="98">
        <v>2014</v>
      </c>
      <c r="E8" s="98">
        <v>2015</v>
      </c>
      <c r="F8" s="98">
        <v>2016</v>
      </c>
      <c r="G8" s="98">
        <v>2017</v>
      </c>
      <c r="H8" s="98">
        <v>2018</v>
      </c>
      <c r="I8" s="118" t="s">
        <v>121</v>
      </c>
      <c r="M8" s="68" t="s">
        <v>309</v>
      </c>
      <c r="N8" s="69">
        <v>2014</v>
      </c>
      <c r="O8" s="69">
        <v>2015</v>
      </c>
      <c r="P8" s="69">
        <v>2016</v>
      </c>
      <c r="Q8" s="69">
        <v>2017</v>
      </c>
      <c r="R8" s="69">
        <v>2018</v>
      </c>
      <c r="S8" s="604" t="s">
        <v>121</v>
      </c>
      <c r="U8" s="68" t="s">
        <v>309</v>
      </c>
      <c r="V8" s="69">
        <v>2013</v>
      </c>
      <c r="W8" s="69">
        <v>2014</v>
      </c>
      <c r="X8" s="69">
        <v>2015</v>
      </c>
      <c r="Y8" s="69">
        <v>2016</v>
      </c>
      <c r="Z8" s="69">
        <v>2017</v>
      </c>
      <c r="AA8" s="69">
        <v>2018</v>
      </c>
      <c r="AB8" s="604" t="s">
        <v>121</v>
      </c>
      <c r="AD8" s="68" t="s">
        <v>309</v>
      </c>
      <c r="AE8" s="69">
        <v>2014</v>
      </c>
      <c r="AF8" s="69">
        <v>2015</v>
      </c>
      <c r="AG8" s="69">
        <v>2016</v>
      </c>
      <c r="AH8" s="69">
        <v>2017</v>
      </c>
      <c r="AI8" s="69">
        <v>2018</v>
      </c>
      <c r="AJ8" s="153" t="s">
        <v>121</v>
      </c>
      <c r="AL8" s="54" t="s">
        <v>309</v>
      </c>
      <c r="AM8" s="55">
        <v>2013</v>
      </c>
      <c r="AN8" s="55">
        <v>2015</v>
      </c>
      <c r="AO8" s="55">
        <v>2016</v>
      </c>
      <c r="AP8" s="55">
        <v>2017</v>
      </c>
      <c r="AQ8" s="55">
        <v>2018</v>
      </c>
      <c r="AR8" s="610" t="s">
        <v>121</v>
      </c>
    </row>
    <row r="9" spans="1:44" ht="20.25" thickTop="1" thickBot="1" x14ac:dyDescent="0.35">
      <c r="A9" s="135" t="s">
        <v>122</v>
      </c>
      <c r="B9" s="136"/>
      <c r="C9" s="136"/>
      <c r="D9" s="136">
        <v>1</v>
      </c>
      <c r="E9" s="136"/>
      <c r="F9" s="136">
        <v>8200</v>
      </c>
      <c r="G9" s="136">
        <v>28175</v>
      </c>
      <c r="H9" s="137">
        <v>23608</v>
      </c>
      <c r="I9" s="138">
        <v>59984</v>
      </c>
      <c r="M9" s="68" t="s">
        <v>151</v>
      </c>
      <c r="N9" s="69"/>
      <c r="O9" s="69"/>
      <c r="P9" s="69">
        <v>5102</v>
      </c>
      <c r="Q9" s="69">
        <v>12736</v>
      </c>
      <c r="R9" s="69">
        <v>9543</v>
      </c>
      <c r="S9" s="69">
        <v>27381</v>
      </c>
      <c r="U9" s="68" t="s">
        <v>156</v>
      </c>
      <c r="V9" s="69">
        <v>1</v>
      </c>
      <c r="W9" s="69"/>
      <c r="X9" s="69">
        <v>12</v>
      </c>
      <c r="Y9" s="69">
        <v>372</v>
      </c>
      <c r="Z9" s="69">
        <v>1576</v>
      </c>
      <c r="AA9" s="69">
        <v>1388</v>
      </c>
      <c r="AB9" s="96">
        <v>3349</v>
      </c>
      <c r="AD9" s="70" t="s">
        <v>289</v>
      </c>
      <c r="AE9" s="71"/>
      <c r="AF9" s="71"/>
      <c r="AG9" s="71">
        <v>123</v>
      </c>
      <c r="AH9" s="71">
        <v>336</v>
      </c>
      <c r="AI9" s="71">
        <v>245</v>
      </c>
      <c r="AJ9" s="361">
        <v>704</v>
      </c>
      <c r="AL9" s="70" t="s">
        <v>313</v>
      </c>
      <c r="AM9" s="71">
        <v>1</v>
      </c>
      <c r="AN9" s="71">
        <v>2</v>
      </c>
      <c r="AO9" s="71">
        <v>206</v>
      </c>
      <c r="AP9" s="71">
        <v>915</v>
      </c>
      <c r="AQ9" s="71">
        <v>1747</v>
      </c>
      <c r="AR9" s="361">
        <v>2871</v>
      </c>
    </row>
    <row r="10" spans="1:44" ht="15.75" thickTop="1" x14ac:dyDescent="0.25">
      <c r="A10" s="121" t="s">
        <v>311</v>
      </c>
      <c r="B10" s="122"/>
      <c r="C10" s="122"/>
      <c r="D10" s="122"/>
      <c r="E10" s="122"/>
      <c r="F10" s="122">
        <v>2709</v>
      </c>
      <c r="G10" s="122">
        <v>5218</v>
      </c>
      <c r="H10" s="129">
        <v>3239</v>
      </c>
      <c r="I10" s="132">
        <v>11166</v>
      </c>
      <c r="J10" s="119">
        <f t="shared" ref="J10:J56" si="0">I10/$I$9</f>
        <v>0.1861496399039744</v>
      </c>
      <c r="K10" s="676">
        <f>I9/$I$102</f>
        <v>0.83907788719785137</v>
      </c>
      <c r="M10" s="56" t="s">
        <v>311</v>
      </c>
      <c r="N10" s="57"/>
      <c r="O10" s="57"/>
      <c r="P10" s="57">
        <v>2076</v>
      </c>
      <c r="Q10" s="57">
        <v>3609</v>
      </c>
      <c r="R10" s="57">
        <v>2192</v>
      </c>
      <c r="S10" s="57">
        <v>7877</v>
      </c>
      <c r="U10" s="121" t="s">
        <v>312</v>
      </c>
      <c r="V10" s="122">
        <v>1</v>
      </c>
      <c r="W10" s="122"/>
      <c r="X10" s="122">
        <v>1</v>
      </c>
      <c r="Y10" s="122">
        <v>194</v>
      </c>
      <c r="Z10" s="122">
        <v>564</v>
      </c>
      <c r="AA10" s="122">
        <v>377</v>
      </c>
      <c r="AB10" s="122">
        <v>1137</v>
      </c>
      <c r="AD10" s="56" t="s">
        <v>322</v>
      </c>
      <c r="AE10" s="57"/>
      <c r="AF10" s="57"/>
      <c r="AG10" s="57">
        <v>98</v>
      </c>
      <c r="AH10" s="57">
        <v>209</v>
      </c>
      <c r="AI10" s="57">
        <v>149</v>
      </c>
      <c r="AJ10" s="58">
        <v>456</v>
      </c>
      <c r="AL10" s="56" t="s">
        <v>158</v>
      </c>
      <c r="AM10" s="57"/>
      <c r="AN10" s="57"/>
      <c r="AO10" s="57">
        <v>47</v>
      </c>
      <c r="AP10" s="57">
        <v>295</v>
      </c>
      <c r="AQ10" s="57">
        <v>335</v>
      </c>
      <c r="AR10" s="58">
        <v>677</v>
      </c>
    </row>
    <row r="11" spans="1:44" ht="15" x14ac:dyDescent="0.25">
      <c r="A11" s="56" t="s">
        <v>312</v>
      </c>
      <c r="B11" s="57"/>
      <c r="C11" s="57"/>
      <c r="D11" s="57"/>
      <c r="E11" s="57"/>
      <c r="F11" s="57">
        <v>1305</v>
      </c>
      <c r="G11" s="57">
        <v>4176</v>
      </c>
      <c r="H11" s="113">
        <v>2630</v>
      </c>
      <c r="I11" s="115">
        <v>8111</v>
      </c>
      <c r="J11" s="111">
        <f t="shared" si="0"/>
        <v>0.13521939183782342</v>
      </c>
      <c r="K11" s="677"/>
      <c r="M11" s="56" t="s">
        <v>313</v>
      </c>
      <c r="N11" s="57"/>
      <c r="O11" s="57"/>
      <c r="P11" s="57">
        <v>627</v>
      </c>
      <c r="Q11" s="57">
        <v>1769</v>
      </c>
      <c r="R11" s="57">
        <v>1259</v>
      </c>
      <c r="S11" s="57">
        <v>3655</v>
      </c>
      <c r="U11" s="56" t="s">
        <v>124</v>
      </c>
      <c r="V11" s="57"/>
      <c r="W11" s="57"/>
      <c r="X11" s="57"/>
      <c r="Y11" s="57">
        <v>20</v>
      </c>
      <c r="Z11" s="57">
        <v>227</v>
      </c>
      <c r="AA11" s="57">
        <v>371</v>
      </c>
      <c r="AB11" s="57">
        <v>618</v>
      </c>
      <c r="AD11" s="56" t="s">
        <v>313</v>
      </c>
      <c r="AE11" s="57"/>
      <c r="AF11" s="57"/>
      <c r="AG11" s="57">
        <v>4</v>
      </c>
      <c r="AH11" s="57">
        <v>105</v>
      </c>
      <c r="AI11" s="57">
        <v>74</v>
      </c>
      <c r="AJ11" s="58">
        <v>183</v>
      </c>
      <c r="AL11" s="56" t="s">
        <v>299</v>
      </c>
      <c r="AM11" s="57"/>
      <c r="AN11" s="57"/>
      <c r="AO11" s="57">
        <v>1</v>
      </c>
      <c r="AP11" s="57">
        <v>2</v>
      </c>
      <c r="AQ11" s="57">
        <v>475</v>
      </c>
      <c r="AR11" s="58">
        <v>478</v>
      </c>
    </row>
    <row r="12" spans="1:44" ht="15" x14ac:dyDescent="0.25">
      <c r="A12" s="56" t="s">
        <v>313</v>
      </c>
      <c r="B12" s="57"/>
      <c r="C12" s="57"/>
      <c r="D12" s="57"/>
      <c r="E12" s="57"/>
      <c r="F12" s="57">
        <v>721</v>
      </c>
      <c r="G12" s="57">
        <v>2730</v>
      </c>
      <c r="H12" s="113">
        <v>1847</v>
      </c>
      <c r="I12" s="115">
        <v>5298</v>
      </c>
      <c r="J12" s="111">
        <f t="shared" si="0"/>
        <v>8.8323552947452658E-2</v>
      </c>
      <c r="K12" s="677"/>
      <c r="M12" s="56" t="s">
        <v>312</v>
      </c>
      <c r="N12" s="57"/>
      <c r="O12" s="57"/>
      <c r="P12" s="57">
        <v>979</v>
      </c>
      <c r="Q12" s="57">
        <v>1567</v>
      </c>
      <c r="R12" s="57">
        <v>1025</v>
      </c>
      <c r="S12" s="57">
        <v>3571</v>
      </c>
      <c r="U12" s="56" t="s">
        <v>322</v>
      </c>
      <c r="V12" s="57"/>
      <c r="W12" s="57"/>
      <c r="X12" s="57"/>
      <c r="Y12" s="57">
        <v>3</v>
      </c>
      <c r="Z12" s="57">
        <v>213</v>
      </c>
      <c r="AA12" s="57">
        <v>169</v>
      </c>
      <c r="AB12" s="57">
        <v>385</v>
      </c>
      <c r="AD12" s="56" t="s">
        <v>311</v>
      </c>
      <c r="AE12" s="57"/>
      <c r="AF12" s="57"/>
      <c r="AG12" s="57">
        <v>12</v>
      </c>
      <c r="AH12" s="57">
        <v>16</v>
      </c>
      <c r="AI12" s="57">
        <v>3</v>
      </c>
      <c r="AJ12" s="58">
        <v>31</v>
      </c>
      <c r="AL12" s="56" t="s">
        <v>159</v>
      </c>
      <c r="AM12" s="57"/>
      <c r="AN12" s="57"/>
      <c r="AO12" s="57">
        <v>17</v>
      </c>
      <c r="AP12" s="57">
        <v>60</v>
      </c>
      <c r="AQ12" s="57">
        <v>211</v>
      </c>
      <c r="AR12" s="58">
        <v>288</v>
      </c>
    </row>
    <row r="13" spans="1:44" ht="15" x14ac:dyDescent="0.25">
      <c r="A13" s="56" t="s">
        <v>314</v>
      </c>
      <c r="B13" s="57"/>
      <c r="C13" s="57"/>
      <c r="D13" s="57"/>
      <c r="E13" s="57"/>
      <c r="F13" s="57">
        <v>834</v>
      </c>
      <c r="G13" s="57">
        <v>2589</v>
      </c>
      <c r="H13" s="113">
        <v>1493</v>
      </c>
      <c r="I13" s="115">
        <v>4916</v>
      </c>
      <c r="J13" s="111">
        <f t="shared" si="0"/>
        <v>8.1955188050146704E-2</v>
      </c>
      <c r="K13" s="677"/>
      <c r="M13" s="56" t="s">
        <v>317</v>
      </c>
      <c r="N13" s="57"/>
      <c r="O13" s="57"/>
      <c r="P13" s="57">
        <v>508</v>
      </c>
      <c r="Q13" s="57">
        <v>1008</v>
      </c>
      <c r="R13" s="57">
        <v>510</v>
      </c>
      <c r="S13" s="57">
        <v>2026</v>
      </c>
      <c r="U13" s="56" t="s">
        <v>314</v>
      </c>
      <c r="V13" s="57"/>
      <c r="W13" s="57"/>
      <c r="X13" s="57"/>
      <c r="Y13" s="57">
        <v>8</v>
      </c>
      <c r="Z13" s="57">
        <v>184</v>
      </c>
      <c r="AA13" s="57">
        <v>95</v>
      </c>
      <c r="AB13" s="57">
        <v>287</v>
      </c>
      <c r="AD13" s="56" t="s">
        <v>355</v>
      </c>
      <c r="AE13" s="57"/>
      <c r="AF13" s="57"/>
      <c r="AG13" s="57">
        <v>1</v>
      </c>
      <c r="AH13" s="57"/>
      <c r="AI13" s="57">
        <v>12</v>
      </c>
      <c r="AJ13" s="58">
        <v>13</v>
      </c>
      <c r="AL13" s="56" t="s">
        <v>161</v>
      </c>
      <c r="AM13" s="57"/>
      <c r="AN13" s="57"/>
      <c r="AO13" s="57">
        <v>7</v>
      </c>
      <c r="AP13" s="57">
        <v>92</v>
      </c>
      <c r="AQ13" s="57">
        <v>146</v>
      </c>
      <c r="AR13" s="58">
        <v>245</v>
      </c>
    </row>
    <row r="14" spans="1:44" ht="15" x14ac:dyDescent="0.25">
      <c r="A14" s="56" t="s">
        <v>317</v>
      </c>
      <c r="B14" s="57"/>
      <c r="C14" s="57"/>
      <c r="D14" s="57"/>
      <c r="E14" s="57"/>
      <c r="F14" s="57">
        <v>516</v>
      </c>
      <c r="G14" s="57">
        <v>1539</v>
      </c>
      <c r="H14" s="113">
        <v>833</v>
      </c>
      <c r="I14" s="115">
        <v>2888</v>
      </c>
      <c r="J14" s="111">
        <f t="shared" si="0"/>
        <v>4.8146172312616697E-2</v>
      </c>
      <c r="K14" s="677"/>
      <c r="M14" s="56" t="s">
        <v>322</v>
      </c>
      <c r="N14" s="57"/>
      <c r="O14" s="57"/>
      <c r="P14" s="57">
        <v>87</v>
      </c>
      <c r="Q14" s="57">
        <v>832</v>
      </c>
      <c r="R14" s="57">
        <v>781</v>
      </c>
      <c r="S14" s="57">
        <v>1700</v>
      </c>
      <c r="U14" s="56" t="s">
        <v>336</v>
      </c>
      <c r="V14" s="57"/>
      <c r="W14" s="57"/>
      <c r="X14" s="57"/>
      <c r="Y14" s="57">
        <v>92</v>
      </c>
      <c r="Z14" s="57">
        <v>93</v>
      </c>
      <c r="AA14" s="57">
        <v>40</v>
      </c>
      <c r="AB14" s="57">
        <v>225</v>
      </c>
      <c r="AD14" s="56" t="s">
        <v>334</v>
      </c>
      <c r="AE14" s="57"/>
      <c r="AF14" s="57"/>
      <c r="AG14" s="57">
        <v>7</v>
      </c>
      <c r="AH14" s="57"/>
      <c r="AI14" s="57">
        <v>5</v>
      </c>
      <c r="AJ14" s="58">
        <v>12</v>
      </c>
      <c r="AL14" s="56" t="s">
        <v>165</v>
      </c>
      <c r="AM14" s="57"/>
      <c r="AN14" s="57"/>
      <c r="AO14" s="57">
        <v>4</v>
      </c>
      <c r="AP14" s="57">
        <v>24</v>
      </c>
      <c r="AQ14" s="57">
        <v>205</v>
      </c>
      <c r="AR14" s="58">
        <v>233</v>
      </c>
    </row>
    <row r="15" spans="1:44" ht="15" x14ac:dyDescent="0.25">
      <c r="A15" s="56" t="s">
        <v>319</v>
      </c>
      <c r="B15" s="57"/>
      <c r="C15" s="57"/>
      <c r="D15" s="57"/>
      <c r="E15" s="57"/>
      <c r="F15" s="57">
        <v>60</v>
      </c>
      <c r="G15" s="57">
        <v>1060</v>
      </c>
      <c r="H15" s="113">
        <v>1725</v>
      </c>
      <c r="I15" s="115">
        <v>2845</v>
      </c>
      <c r="J15" s="111">
        <f t="shared" si="0"/>
        <v>4.742931448386236E-2</v>
      </c>
      <c r="K15" s="677"/>
      <c r="M15" s="56" t="s">
        <v>323</v>
      </c>
      <c r="N15" s="57"/>
      <c r="O15" s="57"/>
      <c r="P15" s="57">
        <v>477</v>
      </c>
      <c r="Q15" s="57">
        <v>791</v>
      </c>
      <c r="R15" s="57">
        <v>352</v>
      </c>
      <c r="S15" s="57">
        <v>1620</v>
      </c>
      <c r="U15" s="56" t="s">
        <v>334</v>
      </c>
      <c r="V15" s="57"/>
      <c r="W15" s="57"/>
      <c r="X15" s="57">
        <v>1</v>
      </c>
      <c r="Y15" s="57">
        <v>1</v>
      </c>
      <c r="Z15" s="57">
        <v>67</v>
      </c>
      <c r="AA15" s="57">
        <v>138</v>
      </c>
      <c r="AB15" s="57">
        <v>207</v>
      </c>
      <c r="AD15" s="56" t="s">
        <v>124</v>
      </c>
      <c r="AE15" s="57"/>
      <c r="AF15" s="57"/>
      <c r="AG15" s="57"/>
      <c r="AH15" s="57">
        <v>5</v>
      </c>
      <c r="AI15" s="57">
        <v>1</v>
      </c>
      <c r="AJ15" s="58">
        <v>6</v>
      </c>
      <c r="AL15" s="56" t="s">
        <v>162</v>
      </c>
      <c r="AM15" s="57"/>
      <c r="AN15" s="57"/>
      <c r="AO15" s="57">
        <v>66</v>
      </c>
      <c r="AP15" s="57">
        <v>105</v>
      </c>
      <c r="AQ15" s="57">
        <v>20</v>
      </c>
      <c r="AR15" s="58">
        <v>191</v>
      </c>
    </row>
    <row r="16" spans="1:44" ht="15" x14ac:dyDescent="0.25">
      <c r="A16" s="56" t="s">
        <v>318</v>
      </c>
      <c r="B16" s="57"/>
      <c r="C16" s="57"/>
      <c r="D16" s="57"/>
      <c r="E16" s="57"/>
      <c r="F16" s="57">
        <v>175</v>
      </c>
      <c r="G16" s="57">
        <v>1559</v>
      </c>
      <c r="H16" s="113">
        <v>1035</v>
      </c>
      <c r="I16" s="115">
        <v>2769</v>
      </c>
      <c r="J16" s="111">
        <f t="shared" si="0"/>
        <v>4.6162309949319816E-2</v>
      </c>
      <c r="K16" s="677"/>
      <c r="M16" s="56" t="s">
        <v>326</v>
      </c>
      <c r="N16" s="57"/>
      <c r="O16" s="57"/>
      <c r="P16" s="57">
        <v>171</v>
      </c>
      <c r="Q16" s="57">
        <v>516</v>
      </c>
      <c r="R16" s="57">
        <v>243</v>
      </c>
      <c r="S16" s="57">
        <v>930</v>
      </c>
      <c r="U16" s="56" t="s">
        <v>330</v>
      </c>
      <c r="V16" s="57"/>
      <c r="W16" s="57"/>
      <c r="X16" s="57">
        <v>2</v>
      </c>
      <c r="Y16" s="57">
        <v>29</v>
      </c>
      <c r="Z16" s="57">
        <v>84</v>
      </c>
      <c r="AA16" s="57">
        <v>62</v>
      </c>
      <c r="AB16" s="57">
        <v>177</v>
      </c>
      <c r="AD16" s="56" t="s">
        <v>330</v>
      </c>
      <c r="AE16" s="57"/>
      <c r="AF16" s="57"/>
      <c r="AG16" s="57"/>
      <c r="AH16" s="57">
        <v>1</v>
      </c>
      <c r="AI16" s="57"/>
      <c r="AJ16" s="58">
        <v>1</v>
      </c>
      <c r="AL16" s="56" t="s">
        <v>160</v>
      </c>
      <c r="AM16" s="57"/>
      <c r="AN16" s="57"/>
      <c r="AO16" s="57">
        <v>17</v>
      </c>
      <c r="AP16" s="57">
        <v>75</v>
      </c>
      <c r="AQ16" s="57">
        <v>81</v>
      </c>
      <c r="AR16" s="58">
        <v>173</v>
      </c>
    </row>
    <row r="17" spans="1:44" ht="15" x14ac:dyDescent="0.25">
      <c r="A17" s="56" t="s">
        <v>322</v>
      </c>
      <c r="B17" s="57"/>
      <c r="C17" s="57"/>
      <c r="D17" s="57"/>
      <c r="E17" s="57"/>
      <c r="F17" s="57">
        <v>107</v>
      </c>
      <c r="G17" s="57">
        <v>931</v>
      </c>
      <c r="H17" s="113">
        <v>1233</v>
      </c>
      <c r="I17" s="115">
        <v>2271</v>
      </c>
      <c r="J17" s="111">
        <f t="shared" si="0"/>
        <v>3.7860096025606825E-2</v>
      </c>
      <c r="K17" s="677"/>
      <c r="M17" s="56" t="s">
        <v>318</v>
      </c>
      <c r="N17" s="57"/>
      <c r="O17" s="57"/>
      <c r="P17" s="57">
        <v>2</v>
      </c>
      <c r="Q17" s="57">
        <v>540</v>
      </c>
      <c r="R17" s="57">
        <v>359</v>
      </c>
      <c r="S17" s="57">
        <v>901</v>
      </c>
      <c r="U17" s="56" t="s">
        <v>313</v>
      </c>
      <c r="V17" s="57"/>
      <c r="W17" s="57"/>
      <c r="X17" s="57"/>
      <c r="Y17" s="57">
        <v>9</v>
      </c>
      <c r="Z17" s="57">
        <v>54</v>
      </c>
      <c r="AA17" s="57">
        <v>46</v>
      </c>
      <c r="AB17" s="57">
        <v>109</v>
      </c>
      <c r="AD17" s="56" t="s">
        <v>126</v>
      </c>
      <c r="AE17" s="57"/>
      <c r="AF17" s="57"/>
      <c r="AG17" s="57">
        <v>1</v>
      </c>
      <c r="AH17" s="57"/>
      <c r="AI17" s="57"/>
      <c r="AJ17" s="58">
        <v>1</v>
      </c>
      <c r="AL17" s="56" t="s">
        <v>170</v>
      </c>
      <c r="AM17" s="57"/>
      <c r="AN17" s="57"/>
      <c r="AO17" s="57">
        <v>7</v>
      </c>
      <c r="AP17" s="57">
        <v>29</v>
      </c>
      <c r="AQ17" s="57">
        <v>91</v>
      </c>
      <c r="AR17" s="58">
        <v>127</v>
      </c>
    </row>
    <row r="18" spans="1:44" ht="15" x14ac:dyDescent="0.25">
      <c r="A18" s="56" t="s">
        <v>323</v>
      </c>
      <c r="B18" s="57"/>
      <c r="C18" s="57"/>
      <c r="D18" s="57"/>
      <c r="E18" s="57"/>
      <c r="F18" s="57">
        <v>503</v>
      </c>
      <c r="G18" s="57">
        <v>1012</v>
      </c>
      <c r="H18" s="113">
        <v>736</v>
      </c>
      <c r="I18" s="115">
        <v>2251</v>
      </c>
      <c r="J18" s="111">
        <f t="shared" si="0"/>
        <v>3.7526673779674578E-2</v>
      </c>
      <c r="K18" s="677"/>
      <c r="M18" s="56" t="s">
        <v>324</v>
      </c>
      <c r="N18" s="57"/>
      <c r="O18" s="57"/>
      <c r="P18" s="57">
        <v>1</v>
      </c>
      <c r="Q18" s="57">
        <v>216</v>
      </c>
      <c r="R18" s="57">
        <v>327</v>
      </c>
      <c r="S18" s="57">
        <v>544</v>
      </c>
      <c r="U18" s="56" t="s">
        <v>328</v>
      </c>
      <c r="V18" s="57"/>
      <c r="W18" s="57"/>
      <c r="X18" s="57"/>
      <c r="Y18" s="57"/>
      <c r="Z18" s="57">
        <v>27</v>
      </c>
      <c r="AA18" s="57">
        <v>52</v>
      </c>
      <c r="AB18" s="57">
        <v>79</v>
      </c>
      <c r="AD18" s="56" t="s">
        <v>415</v>
      </c>
      <c r="AE18" s="57"/>
      <c r="AF18" s="57"/>
      <c r="AG18" s="57"/>
      <c r="AH18" s="57"/>
      <c r="AI18" s="57">
        <v>1</v>
      </c>
      <c r="AJ18" s="58">
        <v>1</v>
      </c>
      <c r="AL18" s="56" t="s">
        <v>166</v>
      </c>
      <c r="AM18" s="57"/>
      <c r="AN18" s="57"/>
      <c r="AO18" s="57">
        <v>7</v>
      </c>
      <c r="AP18" s="57">
        <v>42</v>
      </c>
      <c r="AQ18" s="57">
        <v>67</v>
      </c>
      <c r="AR18" s="58">
        <v>116</v>
      </c>
    </row>
    <row r="19" spans="1:44" ht="15" x14ac:dyDescent="0.25">
      <c r="A19" s="56" t="s">
        <v>124</v>
      </c>
      <c r="B19" s="57"/>
      <c r="C19" s="57"/>
      <c r="D19" s="57"/>
      <c r="E19" s="57"/>
      <c r="F19" s="57">
        <v>70</v>
      </c>
      <c r="G19" s="57">
        <v>889</v>
      </c>
      <c r="H19" s="113">
        <v>1080</v>
      </c>
      <c r="I19" s="115">
        <v>2039</v>
      </c>
      <c r="J19" s="111">
        <f t="shared" si="0"/>
        <v>3.3992397972792743E-2</v>
      </c>
      <c r="K19" s="677"/>
      <c r="M19" s="56" t="s">
        <v>325</v>
      </c>
      <c r="N19" s="57"/>
      <c r="O19" s="57"/>
      <c r="P19" s="57">
        <v>5</v>
      </c>
      <c r="Q19" s="57">
        <v>177</v>
      </c>
      <c r="R19" s="57">
        <v>339</v>
      </c>
      <c r="S19" s="57">
        <v>521</v>
      </c>
      <c r="U19" s="56" t="s">
        <v>311</v>
      </c>
      <c r="V19" s="57"/>
      <c r="W19" s="57"/>
      <c r="X19" s="57">
        <v>4</v>
      </c>
      <c r="Y19" s="57">
        <v>10</v>
      </c>
      <c r="Z19" s="57">
        <v>24</v>
      </c>
      <c r="AA19" s="57">
        <v>1</v>
      </c>
      <c r="AB19" s="57">
        <v>39</v>
      </c>
      <c r="AD19" s="340" t="s">
        <v>157</v>
      </c>
      <c r="AE19" s="341">
        <v>1</v>
      </c>
      <c r="AF19" s="341">
        <v>4</v>
      </c>
      <c r="AG19" s="341">
        <v>14</v>
      </c>
      <c r="AH19" s="341">
        <v>77</v>
      </c>
      <c r="AI19" s="341">
        <v>93</v>
      </c>
      <c r="AJ19" s="362">
        <v>189</v>
      </c>
      <c r="AL19" s="56" t="s">
        <v>163</v>
      </c>
      <c r="AM19" s="57"/>
      <c r="AN19" s="57"/>
      <c r="AO19" s="57">
        <v>11</v>
      </c>
      <c r="AP19" s="57">
        <v>50</v>
      </c>
      <c r="AQ19" s="57">
        <v>37</v>
      </c>
      <c r="AR19" s="58">
        <v>98</v>
      </c>
    </row>
    <row r="20" spans="1:44" ht="15" x14ac:dyDescent="0.25">
      <c r="A20" s="56" t="s">
        <v>325</v>
      </c>
      <c r="B20" s="57"/>
      <c r="C20" s="57"/>
      <c r="D20" s="57"/>
      <c r="E20" s="57"/>
      <c r="F20" s="57">
        <v>62</v>
      </c>
      <c r="G20" s="57">
        <v>641</v>
      </c>
      <c r="H20" s="113">
        <v>1042</v>
      </c>
      <c r="I20" s="115">
        <v>1745</v>
      </c>
      <c r="J20" s="111">
        <f t="shared" si="0"/>
        <v>2.9091090957588689E-2</v>
      </c>
      <c r="K20" s="677"/>
      <c r="M20" s="56" t="s">
        <v>330</v>
      </c>
      <c r="N20" s="57"/>
      <c r="O20" s="57"/>
      <c r="P20" s="57">
        <v>9</v>
      </c>
      <c r="Q20" s="57">
        <v>156</v>
      </c>
      <c r="R20" s="57">
        <v>256</v>
      </c>
      <c r="S20" s="57">
        <v>421</v>
      </c>
      <c r="U20" s="56" t="s">
        <v>338</v>
      </c>
      <c r="V20" s="57"/>
      <c r="W20" s="57"/>
      <c r="X20" s="57"/>
      <c r="Y20" s="57"/>
      <c r="Z20" s="57"/>
      <c r="AA20" s="57">
        <v>21</v>
      </c>
      <c r="AB20" s="57">
        <v>21</v>
      </c>
      <c r="AD20" s="56" t="s">
        <v>313</v>
      </c>
      <c r="AE20" s="57"/>
      <c r="AF20" s="57">
        <v>1</v>
      </c>
      <c r="AG20" s="57">
        <v>6</v>
      </c>
      <c r="AH20" s="57">
        <v>75</v>
      </c>
      <c r="AI20" s="57">
        <v>89</v>
      </c>
      <c r="AJ20" s="58">
        <v>171</v>
      </c>
      <c r="AL20" s="56" t="s">
        <v>167</v>
      </c>
      <c r="AM20" s="57">
        <v>1</v>
      </c>
      <c r="AN20" s="57">
        <v>2</v>
      </c>
      <c r="AO20" s="57">
        <v>1</v>
      </c>
      <c r="AP20" s="57">
        <v>27</v>
      </c>
      <c r="AQ20" s="57">
        <v>23</v>
      </c>
      <c r="AR20" s="58">
        <v>54</v>
      </c>
    </row>
    <row r="21" spans="1:44" ht="15" x14ac:dyDescent="0.25">
      <c r="A21" s="56" t="s">
        <v>324</v>
      </c>
      <c r="B21" s="57"/>
      <c r="C21" s="57"/>
      <c r="D21" s="57"/>
      <c r="E21" s="57"/>
      <c r="F21" s="57">
        <v>118</v>
      </c>
      <c r="G21" s="57">
        <v>885</v>
      </c>
      <c r="H21" s="113">
        <v>723</v>
      </c>
      <c r="I21" s="115">
        <v>1726</v>
      </c>
      <c r="J21" s="111">
        <f t="shared" si="0"/>
        <v>2.8774339823953055E-2</v>
      </c>
      <c r="K21" s="677"/>
      <c r="M21" s="56" t="s">
        <v>335</v>
      </c>
      <c r="N21" s="57"/>
      <c r="O21" s="57"/>
      <c r="P21" s="57">
        <v>67</v>
      </c>
      <c r="Q21" s="57">
        <v>180</v>
      </c>
      <c r="R21" s="57">
        <v>115</v>
      </c>
      <c r="S21" s="57">
        <v>362</v>
      </c>
      <c r="U21" s="56" t="s">
        <v>335</v>
      </c>
      <c r="V21" s="57"/>
      <c r="W21" s="57"/>
      <c r="X21" s="57"/>
      <c r="Y21" s="57"/>
      <c r="Z21" s="57">
        <v>18</v>
      </c>
      <c r="AA21" s="57"/>
      <c r="AB21" s="57">
        <v>18</v>
      </c>
      <c r="AD21" s="56" t="s">
        <v>311</v>
      </c>
      <c r="AE21" s="57">
        <v>1</v>
      </c>
      <c r="AF21" s="57">
        <v>3</v>
      </c>
      <c r="AG21" s="57">
        <v>8</v>
      </c>
      <c r="AH21" s="57">
        <v>2</v>
      </c>
      <c r="AI21" s="57">
        <v>4</v>
      </c>
      <c r="AJ21" s="58">
        <v>18</v>
      </c>
      <c r="AL21" s="56" t="s">
        <v>171</v>
      </c>
      <c r="AM21" s="57"/>
      <c r="AN21" s="57"/>
      <c r="AO21" s="57">
        <v>5</v>
      </c>
      <c r="AP21" s="57">
        <v>28</v>
      </c>
      <c r="AQ21" s="57">
        <v>13</v>
      </c>
      <c r="AR21" s="58">
        <v>46</v>
      </c>
    </row>
    <row r="22" spans="1:44" ht="15" x14ac:dyDescent="0.25">
      <c r="A22" s="56" t="s">
        <v>328</v>
      </c>
      <c r="B22" s="57"/>
      <c r="C22" s="57"/>
      <c r="D22" s="57"/>
      <c r="E22" s="57"/>
      <c r="F22" s="57">
        <v>164</v>
      </c>
      <c r="G22" s="57">
        <v>490</v>
      </c>
      <c r="H22" s="113">
        <v>706</v>
      </c>
      <c r="I22" s="115">
        <v>1360</v>
      </c>
      <c r="J22" s="111">
        <f t="shared" si="0"/>
        <v>2.2672712723392906E-2</v>
      </c>
      <c r="K22" s="677"/>
      <c r="M22" s="56" t="s">
        <v>337</v>
      </c>
      <c r="N22" s="57"/>
      <c r="O22" s="57"/>
      <c r="P22" s="57"/>
      <c r="Q22" s="57">
        <v>222</v>
      </c>
      <c r="R22" s="57">
        <v>124</v>
      </c>
      <c r="S22" s="57">
        <v>346</v>
      </c>
      <c r="U22" s="56" t="s">
        <v>355</v>
      </c>
      <c r="V22" s="57"/>
      <c r="W22" s="57"/>
      <c r="X22" s="57"/>
      <c r="Y22" s="57"/>
      <c r="Z22" s="57">
        <v>6</v>
      </c>
      <c r="AA22" s="57">
        <v>7</v>
      </c>
      <c r="AB22" s="57">
        <v>13</v>
      </c>
      <c r="AD22" s="340" t="s">
        <v>292</v>
      </c>
      <c r="AE22" s="341"/>
      <c r="AF22" s="341"/>
      <c r="AG22" s="341">
        <v>5</v>
      </c>
      <c r="AH22" s="341">
        <v>74</v>
      </c>
      <c r="AI22" s="341">
        <v>108</v>
      </c>
      <c r="AJ22" s="362">
        <v>187</v>
      </c>
      <c r="AL22" s="56" t="s">
        <v>168</v>
      </c>
      <c r="AM22" s="57"/>
      <c r="AN22" s="57"/>
      <c r="AO22" s="57">
        <v>4</v>
      </c>
      <c r="AP22" s="57">
        <v>31</v>
      </c>
      <c r="AQ22" s="57">
        <v>7</v>
      </c>
      <c r="AR22" s="58">
        <v>42</v>
      </c>
    </row>
    <row r="23" spans="1:44" ht="15" x14ac:dyDescent="0.25">
      <c r="A23" s="56" t="s">
        <v>326</v>
      </c>
      <c r="B23" s="57"/>
      <c r="C23" s="57"/>
      <c r="D23" s="57"/>
      <c r="E23" s="57"/>
      <c r="F23" s="57">
        <v>174</v>
      </c>
      <c r="G23" s="57">
        <v>734</v>
      </c>
      <c r="H23" s="113">
        <v>450</v>
      </c>
      <c r="I23" s="115">
        <v>1358</v>
      </c>
      <c r="J23" s="111">
        <f t="shared" si="0"/>
        <v>2.2639370498799681E-2</v>
      </c>
      <c r="K23" s="677"/>
      <c r="M23" s="56" t="s">
        <v>332</v>
      </c>
      <c r="N23" s="57"/>
      <c r="O23" s="57"/>
      <c r="P23" s="57">
        <v>30</v>
      </c>
      <c r="Q23" s="57">
        <v>125</v>
      </c>
      <c r="R23" s="57">
        <v>183</v>
      </c>
      <c r="S23" s="57">
        <v>338</v>
      </c>
      <c r="U23" s="56" t="s">
        <v>343</v>
      </c>
      <c r="V23" s="57"/>
      <c r="W23" s="57"/>
      <c r="X23" s="57">
        <v>3</v>
      </c>
      <c r="Y23" s="57">
        <v>6</v>
      </c>
      <c r="Z23" s="57">
        <v>2</v>
      </c>
      <c r="AA23" s="57"/>
      <c r="AB23" s="57">
        <v>11</v>
      </c>
      <c r="AD23" s="56" t="s">
        <v>313</v>
      </c>
      <c r="AE23" s="57"/>
      <c r="AF23" s="57"/>
      <c r="AG23" s="57">
        <v>1</v>
      </c>
      <c r="AH23" s="57">
        <v>63</v>
      </c>
      <c r="AI23" s="57">
        <v>95</v>
      </c>
      <c r="AJ23" s="58">
        <v>159</v>
      </c>
      <c r="AL23" s="56" t="s">
        <v>300</v>
      </c>
      <c r="AM23" s="57"/>
      <c r="AN23" s="57"/>
      <c r="AO23" s="57">
        <v>4</v>
      </c>
      <c r="AP23" s="57">
        <v>23</v>
      </c>
      <c r="AQ23" s="57">
        <v>2</v>
      </c>
      <c r="AR23" s="58">
        <v>29</v>
      </c>
    </row>
    <row r="24" spans="1:44" ht="15" x14ac:dyDescent="0.25">
      <c r="A24" s="56" t="s">
        <v>327</v>
      </c>
      <c r="B24" s="57"/>
      <c r="C24" s="57"/>
      <c r="D24" s="57"/>
      <c r="E24" s="57"/>
      <c r="F24" s="57">
        <v>272</v>
      </c>
      <c r="G24" s="57">
        <v>487</v>
      </c>
      <c r="H24" s="113">
        <v>512</v>
      </c>
      <c r="I24" s="115">
        <v>1271</v>
      </c>
      <c r="J24" s="111">
        <f t="shared" si="0"/>
        <v>2.1188983728994398E-2</v>
      </c>
      <c r="K24" s="677"/>
      <c r="M24" s="56" t="s">
        <v>333</v>
      </c>
      <c r="N24" s="57"/>
      <c r="O24" s="57"/>
      <c r="P24" s="57"/>
      <c r="Q24" s="57">
        <v>156</v>
      </c>
      <c r="R24" s="57">
        <v>181</v>
      </c>
      <c r="S24" s="57">
        <v>337</v>
      </c>
      <c r="U24" s="56" t="s">
        <v>126</v>
      </c>
      <c r="V24" s="57"/>
      <c r="W24" s="57"/>
      <c r="X24" s="57"/>
      <c r="Y24" s="57"/>
      <c r="Z24" s="57">
        <v>8</v>
      </c>
      <c r="AA24" s="57">
        <v>2</v>
      </c>
      <c r="AB24" s="57">
        <v>10</v>
      </c>
      <c r="AD24" s="56" t="s">
        <v>311</v>
      </c>
      <c r="AE24" s="57"/>
      <c r="AF24" s="57"/>
      <c r="AG24" s="57">
        <v>4</v>
      </c>
      <c r="AH24" s="57">
        <v>11</v>
      </c>
      <c r="AI24" s="57">
        <v>13</v>
      </c>
      <c r="AJ24" s="58">
        <v>28</v>
      </c>
      <c r="AL24" s="56" t="s">
        <v>164</v>
      </c>
      <c r="AM24" s="57"/>
      <c r="AN24" s="57"/>
      <c r="AO24" s="57"/>
      <c r="AP24" s="57">
        <v>7</v>
      </c>
      <c r="AQ24" s="57">
        <v>20</v>
      </c>
      <c r="AR24" s="58">
        <v>27</v>
      </c>
    </row>
    <row r="25" spans="1:44" ht="15" x14ac:dyDescent="0.25">
      <c r="A25" s="56" t="s">
        <v>330</v>
      </c>
      <c r="B25" s="57"/>
      <c r="C25" s="57"/>
      <c r="D25" s="57"/>
      <c r="E25" s="57"/>
      <c r="F25" s="57">
        <v>57</v>
      </c>
      <c r="G25" s="57">
        <v>285</v>
      </c>
      <c r="H25" s="113">
        <v>534</v>
      </c>
      <c r="I25" s="115">
        <v>876</v>
      </c>
      <c r="J25" s="111">
        <f t="shared" si="0"/>
        <v>1.4603894371832489E-2</v>
      </c>
      <c r="K25" s="677"/>
      <c r="M25" s="56" t="s">
        <v>124</v>
      </c>
      <c r="N25" s="57"/>
      <c r="O25" s="57"/>
      <c r="P25" s="57">
        <v>4</v>
      </c>
      <c r="Q25" s="57">
        <v>194</v>
      </c>
      <c r="R25" s="57">
        <v>136</v>
      </c>
      <c r="S25" s="57">
        <v>334</v>
      </c>
      <c r="U25" s="56" t="s">
        <v>354</v>
      </c>
      <c r="V25" s="57"/>
      <c r="W25" s="57"/>
      <c r="X25" s="57"/>
      <c r="Y25" s="57"/>
      <c r="Z25" s="57">
        <v>2</v>
      </c>
      <c r="AA25" s="57">
        <v>3</v>
      </c>
      <c r="AB25" s="57">
        <v>5</v>
      </c>
      <c r="AD25" s="340" t="s">
        <v>291</v>
      </c>
      <c r="AE25" s="341"/>
      <c r="AF25" s="341">
        <v>4</v>
      </c>
      <c r="AG25" s="341">
        <v>6</v>
      </c>
      <c r="AH25" s="341">
        <v>43</v>
      </c>
      <c r="AI25" s="341">
        <v>17</v>
      </c>
      <c r="AJ25" s="362">
        <v>70</v>
      </c>
      <c r="AL25" s="56" t="s">
        <v>375</v>
      </c>
      <c r="AM25" s="57"/>
      <c r="AN25" s="57"/>
      <c r="AO25" s="57"/>
      <c r="AP25" s="57">
        <v>16</v>
      </c>
      <c r="AQ25" s="57"/>
      <c r="AR25" s="58">
        <v>16</v>
      </c>
    </row>
    <row r="26" spans="1:44" ht="15" x14ac:dyDescent="0.25">
      <c r="A26" s="56" t="s">
        <v>331</v>
      </c>
      <c r="B26" s="57"/>
      <c r="C26" s="57"/>
      <c r="D26" s="57"/>
      <c r="E26" s="57"/>
      <c r="F26" s="57">
        <v>41</v>
      </c>
      <c r="G26" s="57">
        <v>484</v>
      </c>
      <c r="H26" s="113">
        <v>312</v>
      </c>
      <c r="I26" s="115">
        <v>837</v>
      </c>
      <c r="J26" s="111">
        <f t="shared" si="0"/>
        <v>1.3953720992264603E-2</v>
      </c>
      <c r="K26" s="677"/>
      <c r="M26" s="56" t="s">
        <v>336</v>
      </c>
      <c r="N26" s="57"/>
      <c r="O26" s="57"/>
      <c r="P26" s="57">
        <v>5</v>
      </c>
      <c r="Q26" s="57">
        <v>108</v>
      </c>
      <c r="R26" s="57">
        <v>90</v>
      </c>
      <c r="S26" s="57">
        <v>203</v>
      </c>
      <c r="U26" s="56" t="s">
        <v>359</v>
      </c>
      <c r="V26" s="57"/>
      <c r="W26" s="57"/>
      <c r="X26" s="57">
        <v>1</v>
      </c>
      <c r="Y26" s="57"/>
      <c r="Z26" s="57">
        <v>1</v>
      </c>
      <c r="AA26" s="57">
        <v>1</v>
      </c>
      <c r="AB26" s="57">
        <v>3</v>
      </c>
      <c r="AD26" s="56" t="s">
        <v>313</v>
      </c>
      <c r="AE26" s="57"/>
      <c r="AF26" s="57">
        <v>3</v>
      </c>
      <c r="AG26" s="57">
        <v>5</v>
      </c>
      <c r="AH26" s="57">
        <v>34</v>
      </c>
      <c r="AI26" s="57">
        <v>15</v>
      </c>
      <c r="AJ26" s="58">
        <v>57</v>
      </c>
      <c r="AL26" s="56" t="s">
        <v>293</v>
      </c>
      <c r="AM26" s="57"/>
      <c r="AN26" s="57"/>
      <c r="AO26" s="57">
        <v>6</v>
      </c>
      <c r="AP26" s="57">
        <v>3</v>
      </c>
      <c r="AQ26" s="57"/>
      <c r="AR26" s="58">
        <v>9</v>
      </c>
    </row>
    <row r="27" spans="1:44" ht="15" x14ac:dyDescent="0.25">
      <c r="A27" s="56" t="s">
        <v>126</v>
      </c>
      <c r="B27" s="57"/>
      <c r="C27" s="57"/>
      <c r="D27" s="57"/>
      <c r="E27" s="57"/>
      <c r="F27" s="57">
        <v>3</v>
      </c>
      <c r="G27" s="57">
        <v>203</v>
      </c>
      <c r="H27" s="113">
        <v>431</v>
      </c>
      <c r="I27" s="115">
        <v>637</v>
      </c>
      <c r="J27" s="111">
        <f t="shared" si="0"/>
        <v>1.0619498532942117E-2</v>
      </c>
      <c r="K27" s="677"/>
      <c r="M27" s="56" t="s">
        <v>334</v>
      </c>
      <c r="N27" s="57"/>
      <c r="O27" s="57"/>
      <c r="P27" s="57">
        <v>5</v>
      </c>
      <c r="Q27" s="57">
        <v>73</v>
      </c>
      <c r="R27" s="57">
        <v>96</v>
      </c>
      <c r="S27" s="57">
        <v>174</v>
      </c>
      <c r="U27" s="56" t="s">
        <v>337</v>
      </c>
      <c r="V27" s="57"/>
      <c r="W27" s="57"/>
      <c r="X27" s="57"/>
      <c r="Y27" s="57"/>
      <c r="Z27" s="57">
        <v>2</v>
      </c>
      <c r="AA27" s="57"/>
      <c r="AB27" s="57">
        <v>2</v>
      </c>
      <c r="AD27" s="56" t="s">
        <v>311</v>
      </c>
      <c r="AE27" s="57"/>
      <c r="AF27" s="57">
        <v>1</v>
      </c>
      <c r="AG27" s="57">
        <v>1</v>
      </c>
      <c r="AH27" s="57">
        <v>9</v>
      </c>
      <c r="AI27" s="57">
        <v>2</v>
      </c>
      <c r="AJ27" s="58">
        <v>13</v>
      </c>
      <c r="AL27" s="56" t="s">
        <v>295</v>
      </c>
      <c r="AM27" s="57"/>
      <c r="AN27" s="57"/>
      <c r="AO27" s="57"/>
      <c r="AP27" s="57">
        <v>4</v>
      </c>
      <c r="AQ27" s="57">
        <v>3</v>
      </c>
      <c r="AR27" s="58">
        <v>7</v>
      </c>
    </row>
    <row r="28" spans="1:44" ht="15" x14ac:dyDescent="0.25">
      <c r="A28" s="56" t="s">
        <v>333</v>
      </c>
      <c r="B28" s="57"/>
      <c r="C28" s="57"/>
      <c r="D28" s="57"/>
      <c r="E28" s="57"/>
      <c r="F28" s="57"/>
      <c r="G28" s="57">
        <v>230</v>
      </c>
      <c r="H28" s="113">
        <v>306</v>
      </c>
      <c r="I28" s="115">
        <v>536</v>
      </c>
      <c r="J28" s="111">
        <f t="shared" si="0"/>
        <v>8.9357161909842629E-3</v>
      </c>
      <c r="K28" s="677"/>
      <c r="M28" s="56" t="s">
        <v>126</v>
      </c>
      <c r="N28" s="57"/>
      <c r="O28" s="57"/>
      <c r="P28" s="57"/>
      <c r="Q28" s="57">
        <v>17</v>
      </c>
      <c r="R28" s="57">
        <v>143</v>
      </c>
      <c r="S28" s="57">
        <v>160</v>
      </c>
      <c r="U28" s="56" t="s">
        <v>415</v>
      </c>
      <c r="V28" s="57"/>
      <c r="W28" s="57"/>
      <c r="X28" s="57"/>
      <c r="Y28" s="57"/>
      <c r="Z28" s="57"/>
      <c r="AA28" s="57">
        <v>2</v>
      </c>
      <c r="AB28" s="57">
        <v>2</v>
      </c>
      <c r="AD28" s="340" t="s">
        <v>290</v>
      </c>
      <c r="AE28" s="341"/>
      <c r="AF28" s="341"/>
      <c r="AG28" s="341">
        <v>8</v>
      </c>
      <c r="AH28" s="341">
        <v>25</v>
      </c>
      <c r="AI28" s="341">
        <v>19</v>
      </c>
      <c r="AJ28" s="362">
        <v>52</v>
      </c>
      <c r="AL28" s="56" t="s">
        <v>301</v>
      </c>
      <c r="AM28" s="57"/>
      <c r="AN28" s="57"/>
      <c r="AO28" s="57">
        <v>2</v>
      </c>
      <c r="AP28" s="57"/>
      <c r="AQ28" s="57">
        <v>2</v>
      </c>
      <c r="AR28" s="58">
        <v>4</v>
      </c>
    </row>
    <row r="29" spans="1:44" ht="15" x14ac:dyDescent="0.25">
      <c r="A29" s="56" t="s">
        <v>335</v>
      </c>
      <c r="B29" s="57"/>
      <c r="C29" s="57"/>
      <c r="D29" s="57"/>
      <c r="E29" s="57"/>
      <c r="F29" s="57">
        <v>83</v>
      </c>
      <c r="G29" s="57">
        <v>245</v>
      </c>
      <c r="H29" s="113">
        <v>178</v>
      </c>
      <c r="I29" s="115">
        <v>506</v>
      </c>
      <c r="J29" s="111">
        <f t="shared" si="0"/>
        <v>8.4355828220858894E-3</v>
      </c>
      <c r="K29" s="677"/>
      <c r="M29" s="56" t="s">
        <v>338</v>
      </c>
      <c r="N29" s="57"/>
      <c r="O29" s="57"/>
      <c r="P29" s="57">
        <v>9</v>
      </c>
      <c r="Q29" s="57">
        <v>71</v>
      </c>
      <c r="R29" s="57">
        <v>76</v>
      </c>
      <c r="S29" s="57">
        <v>156</v>
      </c>
      <c r="U29" s="56" t="s">
        <v>326</v>
      </c>
      <c r="V29" s="57"/>
      <c r="W29" s="57"/>
      <c r="X29" s="57"/>
      <c r="Y29" s="57"/>
      <c r="Z29" s="57"/>
      <c r="AA29" s="57">
        <v>1</v>
      </c>
      <c r="AB29" s="57">
        <v>1</v>
      </c>
      <c r="AD29" s="56" t="s">
        <v>313</v>
      </c>
      <c r="AE29" s="57"/>
      <c r="AF29" s="57"/>
      <c r="AG29" s="57">
        <v>8</v>
      </c>
      <c r="AH29" s="57">
        <v>19</v>
      </c>
      <c r="AI29" s="57">
        <v>10</v>
      </c>
      <c r="AJ29" s="58">
        <v>37</v>
      </c>
      <c r="AL29" s="56" t="s">
        <v>302</v>
      </c>
      <c r="AM29" s="57"/>
      <c r="AN29" s="57"/>
      <c r="AO29" s="57"/>
      <c r="AP29" s="57"/>
      <c r="AQ29" s="57">
        <v>2</v>
      </c>
      <c r="AR29" s="58">
        <v>2</v>
      </c>
    </row>
    <row r="30" spans="1:44" ht="15.75" thickBot="1" x14ac:dyDescent="0.3">
      <c r="A30" s="56" t="s">
        <v>334</v>
      </c>
      <c r="B30" s="57"/>
      <c r="C30" s="57"/>
      <c r="D30" s="57"/>
      <c r="E30" s="57"/>
      <c r="F30" s="57">
        <v>28</v>
      </c>
      <c r="G30" s="57">
        <v>189</v>
      </c>
      <c r="H30" s="113">
        <v>284</v>
      </c>
      <c r="I30" s="115">
        <v>501</v>
      </c>
      <c r="J30" s="111">
        <f t="shared" si="0"/>
        <v>8.3522272606028278E-3</v>
      </c>
      <c r="K30" s="677"/>
      <c r="M30" s="56" t="s">
        <v>339</v>
      </c>
      <c r="N30" s="57"/>
      <c r="O30" s="57"/>
      <c r="P30" s="57">
        <v>1</v>
      </c>
      <c r="Q30" s="57">
        <v>63</v>
      </c>
      <c r="R30" s="57">
        <v>92</v>
      </c>
      <c r="S30" s="57">
        <v>156</v>
      </c>
      <c r="U30" s="352" t="s">
        <v>121</v>
      </c>
      <c r="V30" s="353">
        <v>1</v>
      </c>
      <c r="W30" s="353">
        <v>0</v>
      </c>
      <c r="X30" s="353">
        <v>12</v>
      </c>
      <c r="Y30" s="353">
        <v>372</v>
      </c>
      <c r="Z30" s="353">
        <v>1576</v>
      </c>
      <c r="AA30" s="353">
        <v>1388</v>
      </c>
      <c r="AB30" s="353">
        <v>3349</v>
      </c>
      <c r="AD30" s="56" t="s">
        <v>311</v>
      </c>
      <c r="AE30" s="57"/>
      <c r="AF30" s="57"/>
      <c r="AG30" s="57"/>
      <c r="AH30" s="57">
        <v>6</v>
      </c>
      <c r="AI30" s="57">
        <v>8</v>
      </c>
      <c r="AJ30" s="58">
        <v>14</v>
      </c>
      <c r="AL30" s="56" t="s">
        <v>376</v>
      </c>
      <c r="AM30" s="57"/>
      <c r="AN30" s="57"/>
      <c r="AO30" s="57"/>
      <c r="AP30" s="57"/>
      <c r="AQ30" s="57">
        <v>2</v>
      </c>
      <c r="AR30" s="58">
        <v>2</v>
      </c>
    </row>
    <row r="31" spans="1:44" ht="16.5" thickTop="1" thickBot="1" x14ac:dyDescent="0.3">
      <c r="A31" s="56" t="s">
        <v>332</v>
      </c>
      <c r="B31" s="57"/>
      <c r="C31" s="57"/>
      <c r="D31" s="57"/>
      <c r="E31" s="57"/>
      <c r="F31" s="57">
        <v>31</v>
      </c>
      <c r="G31" s="57">
        <v>135</v>
      </c>
      <c r="H31" s="113">
        <v>334</v>
      </c>
      <c r="I31" s="115">
        <v>500</v>
      </c>
      <c r="J31" s="111">
        <f t="shared" si="0"/>
        <v>8.3355561483062154E-3</v>
      </c>
      <c r="K31" s="677"/>
      <c r="M31" s="56" t="s">
        <v>342</v>
      </c>
      <c r="N31" s="57"/>
      <c r="O31" s="57"/>
      <c r="P31" s="57"/>
      <c r="Q31" s="57">
        <v>59</v>
      </c>
      <c r="R31" s="57">
        <v>86</v>
      </c>
      <c r="S31" s="57">
        <v>145</v>
      </c>
      <c r="AD31" s="56" t="s">
        <v>124</v>
      </c>
      <c r="AE31" s="57"/>
      <c r="AF31" s="57"/>
      <c r="AG31" s="57"/>
      <c r="AH31" s="57"/>
      <c r="AI31" s="57">
        <v>1</v>
      </c>
      <c r="AJ31" s="58">
        <v>1</v>
      </c>
      <c r="AL31" s="56" t="s">
        <v>297</v>
      </c>
      <c r="AM31" s="57"/>
      <c r="AN31" s="57"/>
      <c r="AO31" s="57"/>
      <c r="AP31" s="57">
        <v>2</v>
      </c>
      <c r="AQ31" s="57"/>
      <c r="AR31" s="58">
        <v>2</v>
      </c>
    </row>
    <row r="32" spans="1:44" ht="16.5" thickTop="1" thickBot="1" x14ac:dyDescent="0.3">
      <c r="A32" s="56" t="s">
        <v>338</v>
      </c>
      <c r="B32" s="57"/>
      <c r="C32" s="57"/>
      <c r="D32" s="57"/>
      <c r="E32" s="57"/>
      <c r="F32" s="57">
        <v>38</v>
      </c>
      <c r="G32" s="57">
        <v>261</v>
      </c>
      <c r="H32" s="113">
        <v>193</v>
      </c>
      <c r="I32" s="115">
        <v>492</v>
      </c>
      <c r="J32" s="111">
        <f t="shared" si="0"/>
        <v>8.202187249933315E-3</v>
      </c>
      <c r="K32" s="677"/>
      <c r="M32" s="56" t="s">
        <v>331</v>
      </c>
      <c r="N32" s="57"/>
      <c r="O32" s="57"/>
      <c r="P32" s="57">
        <v>2</v>
      </c>
      <c r="Q32" s="57">
        <v>111</v>
      </c>
      <c r="R32" s="57">
        <v>8</v>
      </c>
      <c r="S32" s="57">
        <v>121</v>
      </c>
      <c r="U32" s="62" t="s">
        <v>417</v>
      </c>
      <c r="V32" s="334">
        <v>1</v>
      </c>
      <c r="W32" s="334">
        <v>5</v>
      </c>
      <c r="X32" s="334">
        <v>12</v>
      </c>
      <c r="Y32" s="334">
        <v>397</v>
      </c>
      <c r="Z32" s="334">
        <v>1639</v>
      </c>
      <c r="AA32" s="334">
        <v>1239</v>
      </c>
      <c r="AB32" s="335">
        <v>3293</v>
      </c>
      <c r="AD32" s="352" t="s">
        <v>121</v>
      </c>
      <c r="AE32" s="353">
        <v>1</v>
      </c>
      <c r="AF32" s="353">
        <v>8</v>
      </c>
      <c r="AG32" s="353">
        <v>156</v>
      </c>
      <c r="AH32" s="353">
        <v>555</v>
      </c>
      <c r="AI32" s="353">
        <v>482</v>
      </c>
      <c r="AJ32" s="354">
        <v>1202</v>
      </c>
      <c r="AL32" s="56" t="s">
        <v>169</v>
      </c>
      <c r="AM32" s="57"/>
      <c r="AN32" s="57"/>
      <c r="AO32" s="57"/>
      <c r="AP32" s="57"/>
      <c r="AQ32" s="57">
        <v>2</v>
      </c>
      <c r="AR32" s="58">
        <v>2</v>
      </c>
    </row>
    <row r="33" spans="1:44" ht="16.5" thickTop="1" thickBot="1" x14ac:dyDescent="0.3">
      <c r="A33" s="56" t="s">
        <v>336</v>
      </c>
      <c r="B33" s="57"/>
      <c r="C33" s="57"/>
      <c r="D33" s="57"/>
      <c r="E33" s="57"/>
      <c r="F33" s="57">
        <v>35</v>
      </c>
      <c r="G33" s="57">
        <v>239</v>
      </c>
      <c r="H33" s="113">
        <v>211</v>
      </c>
      <c r="I33" s="115">
        <v>485</v>
      </c>
      <c r="J33" s="111">
        <f t="shared" si="0"/>
        <v>8.0854894638570287E-3</v>
      </c>
      <c r="K33" s="677"/>
      <c r="M33" s="56" t="s">
        <v>340</v>
      </c>
      <c r="N33" s="57"/>
      <c r="O33" s="57"/>
      <c r="P33" s="57">
        <v>2</v>
      </c>
      <c r="Q33" s="57">
        <v>21</v>
      </c>
      <c r="R33" s="57">
        <v>80</v>
      </c>
      <c r="S33" s="57">
        <v>103</v>
      </c>
      <c r="U33" s="499" t="s">
        <v>367</v>
      </c>
      <c r="V33" s="500">
        <v>1</v>
      </c>
      <c r="W33" s="500">
        <v>5</v>
      </c>
      <c r="X33" s="500">
        <v>12</v>
      </c>
      <c r="Y33" s="500">
        <v>419</v>
      </c>
      <c r="Z33" s="500">
        <v>1788</v>
      </c>
      <c r="AA33" s="500">
        <v>1025</v>
      </c>
      <c r="AB33" s="501">
        <v>3250</v>
      </c>
      <c r="AD33" s="173"/>
      <c r="AE33" s="173"/>
      <c r="AF33" s="173"/>
      <c r="AG33" s="173"/>
      <c r="AH33" s="173"/>
      <c r="AI33" s="173"/>
      <c r="AJ33" s="173"/>
      <c r="AL33" s="56" t="s">
        <v>296</v>
      </c>
      <c r="AM33" s="57"/>
      <c r="AN33" s="57"/>
      <c r="AO33" s="57"/>
      <c r="AP33" s="57"/>
      <c r="AQ33" s="57">
        <v>1</v>
      </c>
      <c r="AR33" s="58">
        <v>1</v>
      </c>
    </row>
    <row r="34" spans="1:44" ht="15.75" thickTop="1" x14ac:dyDescent="0.25">
      <c r="A34" s="56" t="s">
        <v>337</v>
      </c>
      <c r="B34" s="57"/>
      <c r="C34" s="57"/>
      <c r="D34" s="57"/>
      <c r="E34" s="57"/>
      <c r="F34" s="57"/>
      <c r="G34" s="57">
        <v>255</v>
      </c>
      <c r="H34" s="113">
        <v>171</v>
      </c>
      <c r="I34" s="115">
        <v>426</v>
      </c>
      <c r="J34" s="111">
        <f t="shared" si="0"/>
        <v>7.1018938383568949E-3</v>
      </c>
      <c r="K34" s="677"/>
      <c r="M34" s="56" t="s">
        <v>348</v>
      </c>
      <c r="N34" s="57"/>
      <c r="O34" s="57"/>
      <c r="P34" s="57"/>
      <c r="Q34" s="57"/>
      <c r="R34" s="57">
        <v>97</v>
      </c>
      <c r="S34" s="57">
        <v>97</v>
      </c>
      <c r="U34" s="605" t="s">
        <v>368</v>
      </c>
      <c r="V34" s="605">
        <f>V30-V32</f>
        <v>0</v>
      </c>
      <c r="W34" s="605">
        <f t="shared" ref="W34:AB34" si="1">W30-W32</f>
        <v>-5</v>
      </c>
      <c r="X34" s="605">
        <f t="shared" si="1"/>
        <v>0</v>
      </c>
      <c r="Y34" s="605">
        <f t="shared" si="1"/>
        <v>-25</v>
      </c>
      <c r="Z34" s="605">
        <f t="shared" si="1"/>
        <v>-63</v>
      </c>
      <c r="AA34" s="605">
        <f t="shared" si="1"/>
        <v>149</v>
      </c>
      <c r="AB34" s="605">
        <f t="shared" si="1"/>
        <v>56</v>
      </c>
      <c r="AD34" s="70" t="s">
        <v>287</v>
      </c>
      <c r="AE34" s="71"/>
      <c r="AF34" s="71"/>
      <c r="AG34" s="71"/>
      <c r="AH34" s="71"/>
      <c r="AI34" s="71"/>
      <c r="AJ34" s="361"/>
      <c r="AL34" s="56" t="s">
        <v>377</v>
      </c>
      <c r="AM34" s="57"/>
      <c r="AN34" s="57"/>
      <c r="AO34" s="57"/>
      <c r="AP34" s="57"/>
      <c r="AQ34" s="57">
        <v>1</v>
      </c>
      <c r="AR34" s="58">
        <v>1</v>
      </c>
    </row>
    <row r="35" spans="1:44" ht="15.75" thickBot="1" x14ac:dyDescent="0.3">
      <c r="A35" s="56" t="s">
        <v>339</v>
      </c>
      <c r="B35" s="57"/>
      <c r="C35" s="57"/>
      <c r="D35" s="57"/>
      <c r="E35" s="57"/>
      <c r="F35" s="57">
        <v>4</v>
      </c>
      <c r="G35" s="57">
        <v>134</v>
      </c>
      <c r="H35" s="113">
        <v>170</v>
      </c>
      <c r="I35" s="115">
        <v>308</v>
      </c>
      <c r="J35" s="111">
        <f t="shared" si="0"/>
        <v>5.1347025873566283E-3</v>
      </c>
      <c r="K35" s="677"/>
      <c r="M35" s="56" t="s">
        <v>344</v>
      </c>
      <c r="N35" s="57"/>
      <c r="O35" s="57"/>
      <c r="P35" s="57"/>
      <c r="Q35" s="57">
        <v>14</v>
      </c>
      <c r="R35" s="57">
        <v>74</v>
      </c>
      <c r="S35" s="57">
        <v>88</v>
      </c>
      <c r="AD35" s="340" t="s">
        <v>289</v>
      </c>
      <c r="AE35" s="341"/>
      <c r="AF35" s="341"/>
      <c r="AG35" s="341">
        <v>125</v>
      </c>
      <c r="AH35" s="341">
        <v>349</v>
      </c>
      <c r="AI35" s="341">
        <v>227</v>
      </c>
      <c r="AJ35" s="362">
        <v>701</v>
      </c>
      <c r="AL35" s="59" t="s">
        <v>294</v>
      </c>
      <c r="AM35" s="60"/>
      <c r="AN35" s="60"/>
      <c r="AO35" s="60"/>
      <c r="AP35" s="60"/>
      <c r="AQ35" s="60">
        <v>1</v>
      </c>
      <c r="AR35" s="61">
        <v>1</v>
      </c>
    </row>
    <row r="36" spans="1:44" ht="15.75" thickTop="1" x14ac:dyDescent="0.25">
      <c r="A36" s="56" t="s">
        <v>340</v>
      </c>
      <c r="B36" s="57"/>
      <c r="C36" s="57"/>
      <c r="D36" s="57"/>
      <c r="E36" s="57"/>
      <c r="F36" s="57">
        <v>3</v>
      </c>
      <c r="G36" s="57">
        <v>35</v>
      </c>
      <c r="H36" s="113">
        <v>207</v>
      </c>
      <c r="I36" s="115">
        <v>245</v>
      </c>
      <c r="J36" s="111">
        <f t="shared" si="0"/>
        <v>4.0844225126700452E-3</v>
      </c>
      <c r="K36" s="677"/>
      <c r="M36" s="56" t="s">
        <v>415</v>
      </c>
      <c r="N36" s="57"/>
      <c r="O36" s="57"/>
      <c r="P36" s="57"/>
      <c r="Q36" s="57">
        <v>19</v>
      </c>
      <c r="R36" s="57">
        <v>68</v>
      </c>
      <c r="S36" s="57">
        <v>87</v>
      </c>
      <c r="AD36" s="340" t="s">
        <v>292</v>
      </c>
      <c r="AE36" s="341"/>
      <c r="AF36" s="341"/>
      <c r="AG36" s="341">
        <v>6</v>
      </c>
      <c r="AH36" s="341">
        <v>76</v>
      </c>
      <c r="AI36" s="341">
        <v>94</v>
      </c>
      <c r="AJ36" s="362">
        <v>176</v>
      </c>
      <c r="AL36" s="70" t="s">
        <v>361</v>
      </c>
      <c r="AM36" s="71"/>
      <c r="AN36" s="71"/>
      <c r="AO36" s="71">
        <v>99</v>
      </c>
      <c r="AP36" s="71">
        <v>1411</v>
      </c>
      <c r="AQ36" s="71">
        <v>897</v>
      </c>
      <c r="AR36" s="361">
        <v>2407</v>
      </c>
    </row>
    <row r="37" spans="1:44" ht="15" x14ac:dyDescent="0.25">
      <c r="A37" s="56" t="s">
        <v>341</v>
      </c>
      <c r="B37" s="57"/>
      <c r="C37" s="57"/>
      <c r="D37" s="57"/>
      <c r="E37" s="57"/>
      <c r="F37" s="57">
        <v>19</v>
      </c>
      <c r="G37" s="57">
        <v>129</v>
      </c>
      <c r="H37" s="113">
        <v>32</v>
      </c>
      <c r="I37" s="115">
        <v>180</v>
      </c>
      <c r="J37" s="111">
        <f t="shared" si="0"/>
        <v>3.0008002133902374E-3</v>
      </c>
      <c r="K37" s="677"/>
      <c r="L37" s="173"/>
      <c r="M37" s="56" t="s">
        <v>349</v>
      </c>
      <c r="N37" s="57"/>
      <c r="O37" s="57"/>
      <c r="P37" s="57">
        <v>1</v>
      </c>
      <c r="Q37" s="57">
        <v>55</v>
      </c>
      <c r="R37" s="57">
        <v>29</v>
      </c>
      <c r="S37" s="57">
        <v>85</v>
      </c>
      <c r="AD37" s="340" t="s">
        <v>157</v>
      </c>
      <c r="AE37" s="341">
        <v>1</v>
      </c>
      <c r="AF37" s="341">
        <v>4</v>
      </c>
      <c r="AG37" s="341">
        <v>14</v>
      </c>
      <c r="AH37" s="341">
        <v>81</v>
      </c>
      <c r="AI37" s="341">
        <v>65</v>
      </c>
      <c r="AJ37" s="362">
        <v>165</v>
      </c>
      <c r="AK37" s="173"/>
      <c r="AL37" s="56" t="s">
        <v>293</v>
      </c>
      <c r="AM37" s="57"/>
      <c r="AN37" s="57"/>
      <c r="AO37" s="57">
        <v>98</v>
      </c>
      <c r="AP37" s="57">
        <v>1411</v>
      </c>
      <c r="AQ37" s="57">
        <v>897</v>
      </c>
      <c r="AR37" s="58">
        <v>2406</v>
      </c>
    </row>
    <row r="38" spans="1:44" s="173" customFormat="1" ht="15.75" thickBot="1" x14ac:dyDescent="0.3">
      <c r="A38" s="56" t="s">
        <v>343</v>
      </c>
      <c r="B38" s="57"/>
      <c r="C38" s="57"/>
      <c r="D38" s="57">
        <v>1</v>
      </c>
      <c r="E38" s="57"/>
      <c r="F38" s="57">
        <v>34</v>
      </c>
      <c r="G38" s="57">
        <v>94</v>
      </c>
      <c r="H38" s="113">
        <v>45</v>
      </c>
      <c r="I38" s="115">
        <v>174</v>
      </c>
      <c r="J38" s="111">
        <f t="shared" si="0"/>
        <v>2.900773539610563E-3</v>
      </c>
      <c r="K38" s="677"/>
      <c r="M38" s="56" t="s">
        <v>345</v>
      </c>
      <c r="N38" s="57"/>
      <c r="O38" s="57"/>
      <c r="P38" s="57"/>
      <c r="Q38" s="57">
        <v>6</v>
      </c>
      <c r="R38" s="57">
        <v>65</v>
      </c>
      <c r="S38" s="57">
        <v>71</v>
      </c>
      <c r="AD38" s="340" t="s">
        <v>290</v>
      </c>
      <c r="AE38" s="341"/>
      <c r="AF38" s="341"/>
      <c r="AG38" s="341">
        <v>12</v>
      </c>
      <c r="AH38" s="341">
        <v>79</v>
      </c>
      <c r="AI38" s="341">
        <v>31</v>
      </c>
      <c r="AJ38" s="362">
        <v>122</v>
      </c>
      <c r="AL38" s="59" t="s">
        <v>296</v>
      </c>
      <c r="AM38" s="60"/>
      <c r="AN38" s="60"/>
      <c r="AO38" s="60">
        <v>1</v>
      </c>
      <c r="AP38" s="60"/>
      <c r="AQ38" s="60"/>
      <c r="AR38" s="61">
        <v>1</v>
      </c>
    </row>
    <row r="39" spans="1:44" s="173" customFormat="1" ht="16.5" thickTop="1" thickBot="1" x14ac:dyDescent="0.3">
      <c r="A39" s="56" t="s">
        <v>344</v>
      </c>
      <c r="B39" s="57"/>
      <c r="C39" s="57"/>
      <c r="D39" s="57"/>
      <c r="E39" s="57"/>
      <c r="F39" s="57">
        <v>1</v>
      </c>
      <c r="G39" s="57">
        <v>16</v>
      </c>
      <c r="H39" s="113">
        <v>155</v>
      </c>
      <c r="I39" s="115">
        <v>172</v>
      </c>
      <c r="J39" s="111">
        <f t="shared" si="0"/>
        <v>2.8674313150173379E-3</v>
      </c>
      <c r="K39" s="677"/>
      <c r="M39" s="56" t="s">
        <v>346</v>
      </c>
      <c r="N39" s="57"/>
      <c r="O39" s="57"/>
      <c r="P39" s="57">
        <v>16</v>
      </c>
      <c r="Q39" s="57">
        <v>23</v>
      </c>
      <c r="R39" s="57">
        <v>6</v>
      </c>
      <c r="S39" s="57">
        <v>45</v>
      </c>
      <c r="AD39" s="606" t="s">
        <v>291</v>
      </c>
      <c r="AE39" s="607"/>
      <c r="AF39" s="607">
        <v>4</v>
      </c>
      <c r="AG39" s="607">
        <v>6</v>
      </c>
      <c r="AH39" s="607">
        <v>43</v>
      </c>
      <c r="AI39" s="607">
        <v>13</v>
      </c>
      <c r="AJ39" s="608">
        <v>66</v>
      </c>
      <c r="AL39" s="70" t="s">
        <v>311</v>
      </c>
      <c r="AM39" s="71"/>
      <c r="AN39" s="71"/>
      <c r="AO39" s="71">
        <v>133</v>
      </c>
      <c r="AP39" s="71">
        <v>623</v>
      </c>
      <c r="AQ39" s="71">
        <v>240</v>
      </c>
      <c r="AR39" s="361">
        <v>996</v>
      </c>
    </row>
    <row r="40" spans="1:44" s="173" customFormat="1" ht="15.75" thickTop="1" x14ac:dyDescent="0.25">
      <c r="A40" s="56" t="s">
        <v>342</v>
      </c>
      <c r="B40" s="57"/>
      <c r="C40" s="57"/>
      <c r="D40" s="57"/>
      <c r="E40" s="57"/>
      <c r="F40" s="57"/>
      <c r="G40" s="57">
        <v>59</v>
      </c>
      <c r="H40" s="113">
        <v>86</v>
      </c>
      <c r="I40" s="115">
        <v>145</v>
      </c>
      <c r="J40" s="111">
        <f t="shared" si="0"/>
        <v>2.4173112830088023E-3</v>
      </c>
      <c r="K40" s="677"/>
      <c r="M40" s="56" t="s">
        <v>343</v>
      </c>
      <c r="N40" s="57"/>
      <c r="O40" s="57"/>
      <c r="P40" s="57">
        <v>11</v>
      </c>
      <c r="Q40" s="57">
        <v>16</v>
      </c>
      <c r="R40" s="57">
        <v>12</v>
      </c>
      <c r="S40" s="57">
        <v>39</v>
      </c>
      <c r="AD40" s="368" t="s">
        <v>362</v>
      </c>
      <c r="AE40" s="369">
        <v>1</v>
      </c>
      <c r="AF40" s="369">
        <v>8</v>
      </c>
      <c r="AG40" s="369">
        <v>167</v>
      </c>
      <c r="AH40" s="369">
        <v>659</v>
      </c>
      <c r="AI40" s="369">
        <v>298</v>
      </c>
      <c r="AJ40" s="370">
        <v>1133</v>
      </c>
      <c r="AL40" s="56" t="s">
        <v>160</v>
      </c>
      <c r="AM40" s="57"/>
      <c r="AN40" s="57"/>
      <c r="AO40" s="57"/>
      <c r="AP40" s="57">
        <v>126</v>
      </c>
      <c r="AQ40" s="57">
        <v>62</v>
      </c>
      <c r="AR40" s="58">
        <v>188</v>
      </c>
    </row>
    <row r="41" spans="1:44" s="173" customFormat="1" ht="15" x14ac:dyDescent="0.25">
      <c r="A41" s="56" t="s">
        <v>345</v>
      </c>
      <c r="B41" s="57"/>
      <c r="C41" s="57"/>
      <c r="D41" s="57"/>
      <c r="E41" s="57"/>
      <c r="F41" s="57"/>
      <c r="G41" s="57">
        <v>19</v>
      </c>
      <c r="H41" s="113">
        <v>108</v>
      </c>
      <c r="I41" s="115">
        <v>127</v>
      </c>
      <c r="J41" s="111">
        <f t="shared" si="0"/>
        <v>2.1172312616697785E-3</v>
      </c>
      <c r="K41" s="677"/>
      <c r="M41" s="56" t="s">
        <v>350</v>
      </c>
      <c r="N41" s="57"/>
      <c r="O41" s="57"/>
      <c r="P41" s="57"/>
      <c r="Q41" s="57">
        <v>1</v>
      </c>
      <c r="R41" s="57">
        <v>36</v>
      </c>
      <c r="S41" s="57">
        <v>37</v>
      </c>
      <c r="AD41" s="371" t="s">
        <v>137</v>
      </c>
      <c r="AE41" s="372"/>
      <c r="AF41" s="372"/>
      <c r="AG41" s="372">
        <v>125</v>
      </c>
      <c r="AH41" s="372">
        <v>370</v>
      </c>
      <c r="AI41" s="372">
        <v>165</v>
      </c>
      <c r="AJ41" s="373">
        <v>660</v>
      </c>
      <c r="AL41" s="56" t="s">
        <v>161</v>
      </c>
      <c r="AM41" s="57"/>
      <c r="AN41" s="57"/>
      <c r="AO41" s="57">
        <v>1</v>
      </c>
      <c r="AP41" s="57">
        <v>99</v>
      </c>
      <c r="AQ41" s="57">
        <v>43</v>
      </c>
      <c r="AR41" s="58">
        <v>143</v>
      </c>
    </row>
    <row r="42" spans="1:44" s="173" customFormat="1" ht="15" x14ac:dyDescent="0.25">
      <c r="A42" s="56" t="s">
        <v>346</v>
      </c>
      <c r="B42" s="57"/>
      <c r="C42" s="57"/>
      <c r="D42" s="57"/>
      <c r="E42" s="57"/>
      <c r="F42" s="57">
        <v>17</v>
      </c>
      <c r="G42" s="57">
        <v>74</v>
      </c>
      <c r="H42" s="113">
        <v>34</v>
      </c>
      <c r="I42" s="115">
        <v>125</v>
      </c>
      <c r="J42" s="111">
        <f t="shared" si="0"/>
        <v>2.0838890370765539E-3</v>
      </c>
      <c r="K42" s="677"/>
      <c r="M42" s="56" t="s">
        <v>351</v>
      </c>
      <c r="N42" s="57"/>
      <c r="O42" s="57"/>
      <c r="P42" s="57"/>
      <c r="Q42" s="57"/>
      <c r="R42" s="57">
        <v>32</v>
      </c>
      <c r="S42" s="57">
        <v>32</v>
      </c>
      <c r="AD42" s="371" t="s">
        <v>136</v>
      </c>
      <c r="AE42" s="372"/>
      <c r="AF42" s="372"/>
      <c r="AG42" s="372">
        <v>10</v>
      </c>
      <c r="AH42" s="372">
        <v>86</v>
      </c>
      <c r="AI42" s="372">
        <v>58</v>
      </c>
      <c r="AJ42" s="373">
        <v>154</v>
      </c>
      <c r="AL42" s="56" t="s">
        <v>294</v>
      </c>
      <c r="AM42" s="57"/>
      <c r="AN42" s="57"/>
      <c r="AO42" s="57">
        <v>13</v>
      </c>
      <c r="AP42" s="57">
        <v>68</v>
      </c>
      <c r="AQ42" s="57">
        <v>14</v>
      </c>
      <c r="AR42" s="58">
        <v>95</v>
      </c>
    </row>
    <row r="43" spans="1:44" s="173" customFormat="1" ht="15" x14ac:dyDescent="0.25">
      <c r="A43" s="56" t="s">
        <v>415</v>
      </c>
      <c r="B43" s="57"/>
      <c r="C43" s="57"/>
      <c r="D43" s="57"/>
      <c r="E43" s="57"/>
      <c r="F43" s="57"/>
      <c r="G43" s="57">
        <v>22</v>
      </c>
      <c r="H43" s="113">
        <v>79</v>
      </c>
      <c r="I43" s="115">
        <v>101</v>
      </c>
      <c r="J43" s="111">
        <f t="shared" si="0"/>
        <v>1.6837823419578555E-3</v>
      </c>
      <c r="K43" s="677"/>
      <c r="M43" s="56" t="s">
        <v>352</v>
      </c>
      <c r="N43" s="57"/>
      <c r="O43" s="57"/>
      <c r="P43" s="57"/>
      <c r="Q43" s="57">
        <v>2</v>
      </c>
      <c r="R43" s="57">
        <v>28</v>
      </c>
      <c r="S43" s="57">
        <v>30</v>
      </c>
      <c r="AD43" s="371" t="s">
        <v>133</v>
      </c>
      <c r="AE43" s="372">
        <v>1</v>
      </c>
      <c r="AF43" s="372">
        <v>4</v>
      </c>
      <c r="AG43" s="372">
        <v>14</v>
      </c>
      <c r="AH43" s="372">
        <v>81</v>
      </c>
      <c r="AI43" s="372">
        <v>43</v>
      </c>
      <c r="AJ43" s="373">
        <v>143</v>
      </c>
      <c r="AK43"/>
      <c r="AL43" s="56" t="s">
        <v>297</v>
      </c>
      <c r="AM43" s="57"/>
      <c r="AN43" s="57"/>
      <c r="AO43" s="57">
        <v>7</v>
      </c>
      <c r="AP43" s="57">
        <v>73</v>
      </c>
      <c r="AQ43" s="57">
        <v>14</v>
      </c>
      <c r="AR43" s="58">
        <v>94</v>
      </c>
    </row>
    <row r="44" spans="1:44" s="173" customFormat="1" ht="15" x14ac:dyDescent="0.25">
      <c r="A44" s="56" t="s">
        <v>347</v>
      </c>
      <c r="B44" s="57"/>
      <c r="C44" s="57"/>
      <c r="D44" s="57"/>
      <c r="E44" s="57"/>
      <c r="F44" s="57">
        <v>1</v>
      </c>
      <c r="G44" s="57">
        <v>17</v>
      </c>
      <c r="H44" s="113">
        <v>79</v>
      </c>
      <c r="I44" s="115">
        <v>97</v>
      </c>
      <c r="J44" s="111">
        <f t="shared" si="0"/>
        <v>1.6170978927714057E-3</v>
      </c>
      <c r="K44" s="677"/>
      <c r="M44" s="56" t="s">
        <v>353</v>
      </c>
      <c r="N44" s="57"/>
      <c r="O44" s="57"/>
      <c r="P44" s="57"/>
      <c r="Q44" s="57">
        <v>3</v>
      </c>
      <c r="R44" s="57">
        <v>27</v>
      </c>
      <c r="S44" s="57">
        <v>30</v>
      </c>
      <c r="AD44" s="371" t="s">
        <v>135</v>
      </c>
      <c r="AE44" s="372"/>
      <c r="AF44" s="372"/>
      <c r="AG44" s="372">
        <v>12</v>
      </c>
      <c r="AH44" s="372">
        <v>79</v>
      </c>
      <c r="AI44" s="372">
        <v>21</v>
      </c>
      <c r="AJ44" s="373">
        <v>112</v>
      </c>
      <c r="AK44"/>
      <c r="AL44" s="56" t="s">
        <v>295</v>
      </c>
      <c r="AM44" s="57"/>
      <c r="AN44" s="57"/>
      <c r="AO44" s="57">
        <v>12</v>
      </c>
      <c r="AP44" s="57">
        <v>48</v>
      </c>
      <c r="AQ44" s="57">
        <v>14</v>
      </c>
      <c r="AR44" s="58">
        <v>74</v>
      </c>
    </row>
    <row r="45" spans="1:44" s="173" customFormat="1" ht="15" x14ac:dyDescent="0.25">
      <c r="A45" s="56" t="s">
        <v>348</v>
      </c>
      <c r="B45" s="57"/>
      <c r="C45" s="57"/>
      <c r="D45" s="57"/>
      <c r="E45" s="57"/>
      <c r="F45" s="57"/>
      <c r="G45" s="57"/>
      <c r="H45" s="113">
        <v>97</v>
      </c>
      <c r="I45" s="115">
        <v>97</v>
      </c>
      <c r="J45" s="111">
        <f t="shared" si="0"/>
        <v>1.6170978927714057E-3</v>
      </c>
      <c r="K45" s="677"/>
      <c r="M45" s="56" t="s">
        <v>355</v>
      </c>
      <c r="N45" s="57"/>
      <c r="O45" s="57"/>
      <c r="P45" s="57">
        <v>1</v>
      </c>
      <c r="Q45" s="57">
        <v>4</v>
      </c>
      <c r="R45" s="57">
        <v>14</v>
      </c>
      <c r="S45" s="57">
        <v>19</v>
      </c>
      <c r="AD45" s="371" t="s">
        <v>134</v>
      </c>
      <c r="AE45" s="372"/>
      <c r="AF45" s="372">
        <v>4</v>
      </c>
      <c r="AG45" s="372">
        <v>6</v>
      </c>
      <c r="AH45" s="372">
        <v>43</v>
      </c>
      <c r="AI45" s="372">
        <v>11</v>
      </c>
      <c r="AJ45" s="373">
        <v>64</v>
      </c>
      <c r="AK45"/>
      <c r="AL45" s="56" t="s">
        <v>158</v>
      </c>
      <c r="AM45" s="57"/>
      <c r="AN45" s="57"/>
      <c r="AO45" s="57">
        <v>36</v>
      </c>
      <c r="AP45" s="57">
        <v>21</v>
      </c>
      <c r="AQ45" s="57">
        <v>15</v>
      </c>
      <c r="AR45" s="58">
        <v>72</v>
      </c>
    </row>
    <row r="46" spans="1:44" s="173" customFormat="1" ht="15" x14ac:dyDescent="0.25">
      <c r="A46" s="56" t="s">
        <v>349</v>
      </c>
      <c r="B46" s="57"/>
      <c r="C46" s="57"/>
      <c r="D46" s="57"/>
      <c r="E46" s="57"/>
      <c r="F46" s="57">
        <v>1</v>
      </c>
      <c r="G46" s="57">
        <v>55</v>
      </c>
      <c r="H46" s="113">
        <v>29</v>
      </c>
      <c r="I46" s="115">
        <v>85</v>
      </c>
      <c r="J46" s="111">
        <f t="shared" si="0"/>
        <v>1.4170445452120566E-3</v>
      </c>
      <c r="K46" s="677"/>
      <c r="L46"/>
      <c r="M46" s="56" t="s">
        <v>341</v>
      </c>
      <c r="N46" s="57"/>
      <c r="O46" s="57"/>
      <c r="P46" s="57">
        <v>6</v>
      </c>
      <c r="Q46" s="57">
        <v>8</v>
      </c>
      <c r="R46" s="57">
        <v>1</v>
      </c>
      <c r="S46" s="57">
        <v>15</v>
      </c>
      <c r="AD46" s="377" t="s">
        <v>374</v>
      </c>
      <c r="AE46" s="378">
        <f t="shared" ref="AE46:AJ46" si="2">AE31-AE40</f>
        <v>-1</v>
      </c>
      <c r="AF46" s="378">
        <f t="shared" si="2"/>
        <v>-8</v>
      </c>
      <c r="AG46" s="375">
        <f t="shared" si="2"/>
        <v>-167</v>
      </c>
      <c r="AH46" s="375">
        <f t="shared" si="2"/>
        <v>-659</v>
      </c>
      <c r="AI46" s="378">
        <f t="shared" si="2"/>
        <v>-297</v>
      </c>
      <c r="AJ46" s="379">
        <f t="shared" si="2"/>
        <v>-1132</v>
      </c>
      <c r="AK46"/>
      <c r="AL46" s="56" t="s">
        <v>301</v>
      </c>
      <c r="AM46" s="57"/>
      <c r="AN46" s="57"/>
      <c r="AO46" s="57">
        <v>2</v>
      </c>
      <c r="AP46" s="57">
        <v>44</v>
      </c>
      <c r="AQ46" s="57">
        <v>7</v>
      </c>
      <c r="AR46" s="58">
        <v>53</v>
      </c>
    </row>
    <row r="47" spans="1:44" ht="15.75" thickBot="1" x14ac:dyDescent="0.3">
      <c r="A47" s="56" t="s">
        <v>350</v>
      </c>
      <c r="B47" s="57"/>
      <c r="C47" s="57"/>
      <c r="D47" s="57"/>
      <c r="E47" s="57"/>
      <c r="F47" s="57">
        <v>5</v>
      </c>
      <c r="G47" s="57">
        <v>4</v>
      </c>
      <c r="H47" s="113">
        <v>74</v>
      </c>
      <c r="I47" s="115">
        <v>83</v>
      </c>
      <c r="J47" s="111">
        <f t="shared" si="0"/>
        <v>1.3837023206188317E-3</v>
      </c>
      <c r="K47" s="677"/>
      <c r="M47" s="56" t="s">
        <v>347</v>
      </c>
      <c r="N47" s="57"/>
      <c r="O47" s="57"/>
      <c r="P47" s="57"/>
      <c r="Q47" s="57">
        <v>4</v>
      </c>
      <c r="R47" s="57">
        <v>1</v>
      </c>
      <c r="S47" s="57">
        <v>5</v>
      </c>
      <c r="AD47" s="377" t="s">
        <v>369</v>
      </c>
      <c r="AE47" s="378">
        <f t="shared" ref="AE47:AJ47" si="3">AE9-AE41</f>
        <v>0</v>
      </c>
      <c r="AF47" s="378">
        <f t="shared" si="3"/>
        <v>0</v>
      </c>
      <c r="AG47" s="378">
        <f t="shared" si="3"/>
        <v>-2</v>
      </c>
      <c r="AH47" s="375">
        <f t="shared" si="3"/>
        <v>-34</v>
      </c>
      <c r="AI47" s="378">
        <f t="shared" si="3"/>
        <v>80</v>
      </c>
      <c r="AJ47" s="379">
        <f t="shared" si="3"/>
        <v>44</v>
      </c>
      <c r="AL47" s="56" t="s">
        <v>293</v>
      </c>
      <c r="AM47" s="57"/>
      <c r="AN47" s="57"/>
      <c r="AO47" s="57">
        <v>3</v>
      </c>
      <c r="AP47" s="57">
        <v>32</v>
      </c>
      <c r="AQ47" s="57">
        <v>11</v>
      </c>
      <c r="AR47" s="58">
        <v>46</v>
      </c>
    </row>
    <row r="48" spans="1:44" ht="16.5" thickTop="1" thickBot="1" x14ac:dyDescent="0.3">
      <c r="A48" s="56" t="s">
        <v>351</v>
      </c>
      <c r="B48" s="57"/>
      <c r="C48" s="57"/>
      <c r="D48" s="57"/>
      <c r="E48" s="57"/>
      <c r="F48" s="57">
        <v>2</v>
      </c>
      <c r="G48" s="57">
        <v>10</v>
      </c>
      <c r="H48" s="113">
        <v>58</v>
      </c>
      <c r="I48" s="115">
        <v>70</v>
      </c>
      <c r="J48" s="111">
        <f t="shared" si="0"/>
        <v>1.1669778607628701E-3</v>
      </c>
      <c r="K48" s="677"/>
      <c r="M48" s="68" t="s">
        <v>153</v>
      </c>
      <c r="N48" s="69"/>
      <c r="O48" s="69"/>
      <c r="P48" s="69">
        <v>2149</v>
      </c>
      <c r="Q48" s="69">
        <v>8355</v>
      </c>
      <c r="R48" s="69">
        <v>6568</v>
      </c>
      <c r="S48" s="69">
        <v>17072</v>
      </c>
      <c r="AD48" s="377" t="s">
        <v>370</v>
      </c>
      <c r="AE48" s="378">
        <f t="shared" ref="AE48:AJ48" si="4">AE18-AE42</f>
        <v>0</v>
      </c>
      <c r="AF48" s="378">
        <f t="shared" si="4"/>
        <v>0</v>
      </c>
      <c r="AG48" s="375">
        <f t="shared" si="4"/>
        <v>-10</v>
      </c>
      <c r="AH48" s="375">
        <f t="shared" si="4"/>
        <v>-86</v>
      </c>
      <c r="AI48" s="378">
        <f t="shared" si="4"/>
        <v>-57</v>
      </c>
      <c r="AJ48" s="379">
        <f t="shared" si="4"/>
        <v>-153</v>
      </c>
      <c r="AL48" s="56" t="s">
        <v>170</v>
      </c>
      <c r="AM48" s="57"/>
      <c r="AN48" s="57"/>
      <c r="AO48" s="57">
        <v>18</v>
      </c>
      <c r="AP48" s="57">
        <v>17</v>
      </c>
      <c r="AQ48" s="57">
        <v>6</v>
      </c>
      <c r="AR48" s="58">
        <v>41</v>
      </c>
    </row>
    <row r="49" spans="1:44" ht="15.75" thickTop="1" x14ac:dyDescent="0.25">
      <c r="A49" s="56" t="s">
        <v>352</v>
      </c>
      <c r="B49" s="57"/>
      <c r="C49" s="57"/>
      <c r="D49" s="57"/>
      <c r="E49" s="57"/>
      <c r="F49" s="57"/>
      <c r="G49" s="57">
        <v>2</v>
      </c>
      <c r="H49" s="113">
        <v>46</v>
      </c>
      <c r="I49" s="115">
        <v>48</v>
      </c>
      <c r="J49" s="111">
        <f t="shared" si="0"/>
        <v>8.0021339023739668E-4</v>
      </c>
      <c r="K49" s="677"/>
      <c r="M49" s="56" t="s">
        <v>311</v>
      </c>
      <c r="N49" s="57"/>
      <c r="O49" s="57"/>
      <c r="P49" s="57">
        <v>633</v>
      </c>
      <c r="Q49" s="57">
        <v>1609</v>
      </c>
      <c r="R49" s="57">
        <v>1046</v>
      </c>
      <c r="S49" s="57">
        <v>3288</v>
      </c>
      <c r="AD49" s="363" t="s">
        <v>371</v>
      </c>
      <c r="AE49" s="374">
        <f t="shared" ref="AE49:AJ49" si="5">AE21-AE43</f>
        <v>0</v>
      </c>
      <c r="AF49" s="374">
        <f t="shared" si="5"/>
        <v>-1</v>
      </c>
      <c r="AG49" s="374">
        <f t="shared" si="5"/>
        <v>-6</v>
      </c>
      <c r="AH49" s="374">
        <f t="shared" si="5"/>
        <v>-79</v>
      </c>
      <c r="AI49" s="374">
        <f t="shared" si="5"/>
        <v>-39</v>
      </c>
      <c r="AJ49" s="376">
        <f t="shared" si="5"/>
        <v>-125</v>
      </c>
      <c r="AL49" s="56" t="s">
        <v>296</v>
      </c>
      <c r="AM49" s="57"/>
      <c r="AN49" s="57"/>
      <c r="AO49" s="57">
        <v>11</v>
      </c>
      <c r="AP49" s="57">
        <v>19</v>
      </c>
      <c r="AQ49" s="57">
        <v>8</v>
      </c>
      <c r="AR49" s="58">
        <v>38</v>
      </c>
    </row>
    <row r="50" spans="1:44" ht="15" x14ac:dyDescent="0.25">
      <c r="A50" s="56" t="s">
        <v>355</v>
      </c>
      <c r="B50" s="57"/>
      <c r="C50" s="57"/>
      <c r="D50" s="57"/>
      <c r="E50" s="57"/>
      <c r="F50" s="57">
        <v>1</v>
      </c>
      <c r="G50" s="57">
        <v>13</v>
      </c>
      <c r="H50" s="113">
        <v>26</v>
      </c>
      <c r="I50" s="115">
        <v>40</v>
      </c>
      <c r="J50" s="111">
        <f t="shared" si="0"/>
        <v>6.6684449186449725E-4</v>
      </c>
      <c r="K50" s="677"/>
      <c r="M50" s="56" t="s">
        <v>314</v>
      </c>
      <c r="N50" s="57"/>
      <c r="O50" s="57"/>
      <c r="P50" s="57">
        <v>728</v>
      </c>
      <c r="Q50" s="57">
        <v>1545</v>
      </c>
      <c r="R50" s="57">
        <v>807</v>
      </c>
      <c r="S50" s="57">
        <v>3080</v>
      </c>
      <c r="AD50" s="363" t="s">
        <v>372</v>
      </c>
      <c r="AE50" s="374">
        <f t="shared" ref="AE50:AJ50" si="6">AE24-AE44</f>
        <v>0</v>
      </c>
      <c r="AF50" s="374">
        <f t="shared" si="6"/>
        <v>0</v>
      </c>
      <c r="AG50" s="374">
        <f t="shared" si="6"/>
        <v>-8</v>
      </c>
      <c r="AH50" s="374">
        <f t="shared" si="6"/>
        <v>-68</v>
      </c>
      <c r="AI50" s="374">
        <f t="shared" si="6"/>
        <v>-8</v>
      </c>
      <c r="AJ50" s="376">
        <f t="shared" si="6"/>
        <v>-84</v>
      </c>
      <c r="AL50" s="56" t="s">
        <v>164</v>
      </c>
      <c r="AM50" s="57"/>
      <c r="AN50" s="57"/>
      <c r="AO50" s="57">
        <v>6</v>
      </c>
      <c r="AP50" s="57">
        <v>22</v>
      </c>
      <c r="AQ50" s="57">
        <v>8</v>
      </c>
      <c r="AR50" s="58">
        <v>36</v>
      </c>
    </row>
    <row r="51" spans="1:44" ht="15.75" thickBot="1" x14ac:dyDescent="0.3">
      <c r="A51" s="56" t="s">
        <v>353</v>
      </c>
      <c r="B51" s="57"/>
      <c r="C51" s="57"/>
      <c r="D51" s="57"/>
      <c r="E51" s="57"/>
      <c r="F51" s="57"/>
      <c r="G51" s="57">
        <v>4</v>
      </c>
      <c r="H51" s="113">
        <v>30</v>
      </c>
      <c r="I51" s="115">
        <v>34</v>
      </c>
      <c r="J51" s="111">
        <f t="shared" si="0"/>
        <v>5.668178180848226E-4</v>
      </c>
      <c r="K51" s="677"/>
      <c r="M51" s="56" t="s">
        <v>312</v>
      </c>
      <c r="N51" s="57"/>
      <c r="O51" s="57"/>
      <c r="P51" s="57">
        <v>127</v>
      </c>
      <c r="Q51" s="57">
        <v>1066</v>
      </c>
      <c r="R51" s="57">
        <v>690</v>
      </c>
      <c r="S51" s="57">
        <v>1883</v>
      </c>
      <c r="AD51" s="355" t="s">
        <v>373</v>
      </c>
      <c r="AE51" s="356">
        <f t="shared" ref="AE51:AJ51" si="7">AE28-AE45</f>
        <v>0</v>
      </c>
      <c r="AF51" s="356">
        <f t="shared" si="7"/>
        <v>-4</v>
      </c>
      <c r="AG51" s="356">
        <f t="shared" si="7"/>
        <v>2</v>
      </c>
      <c r="AH51" s="356">
        <f t="shared" si="7"/>
        <v>-18</v>
      </c>
      <c r="AI51" s="356">
        <f t="shared" si="7"/>
        <v>8</v>
      </c>
      <c r="AJ51" s="357">
        <f t="shared" si="7"/>
        <v>-12</v>
      </c>
      <c r="AL51" s="56" t="s">
        <v>163</v>
      </c>
      <c r="AM51" s="57"/>
      <c r="AN51" s="57"/>
      <c r="AO51" s="57">
        <v>1</v>
      </c>
      <c r="AP51" s="57">
        <v>24</v>
      </c>
      <c r="AQ51" s="57">
        <v>3</v>
      </c>
      <c r="AR51" s="58">
        <v>28</v>
      </c>
    </row>
    <row r="52" spans="1:44" ht="15.75" thickTop="1" x14ac:dyDescent="0.25">
      <c r="A52" s="56" t="s">
        <v>354</v>
      </c>
      <c r="B52" s="57"/>
      <c r="C52" s="57"/>
      <c r="D52" s="57"/>
      <c r="E52" s="57"/>
      <c r="F52" s="57">
        <v>2</v>
      </c>
      <c r="G52" s="57">
        <v>17</v>
      </c>
      <c r="H52" s="113">
        <v>8</v>
      </c>
      <c r="I52" s="115">
        <v>27</v>
      </c>
      <c r="J52" s="111">
        <f t="shared" si="0"/>
        <v>4.5012003200853561E-4</v>
      </c>
      <c r="K52" s="677"/>
      <c r="M52" s="56" t="s">
        <v>313</v>
      </c>
      <c r="N52" s="57"/>
      <c r="O52" s="57"/>
      <c r="P52" s="57">
        <v>94</v>
      </c>
      <c r="Q52" s="57">
        <v>961</v>
      </c>
      <c r="R52" s="57">
        <v>586</v>
      </c>
      <c r="S52" s="57">
        <v>1641</v>
      </c>
      <c r="AL52" s="56" t="s">
        <v>159</v>
      </c>
      <c r="AM52" s="57"/>
      <c r="AN52" s="57"/>
      <c r="AO52" s="57">
        <v>3</v>
      </c>
      <c r="AP52" s="57">
        <v>5</v>
      </c>
      <c r="AQ52" s="57">
        <v>11</v>
      </c>
      <c r="AR52" s="58">
        <v>19</v>
      </c>
    </row>
    <row r="53" spans="1:44" ht="15" x14ac:dyDescent="0.25">
      <c r="A53" s="56" t="s">
        <v>356</v>
      </c>
      <c r="B53" s="57"/>
      <c r="C53" s="57"/>
      <c r="D53" s="57"/>
      <c r="E53" s="57"/>
      <c r="F53" s="57">
        <v>3</v>
      </c>
      <c r="G53" s="57">
        <v>2</v>
      </c>
      <c r="H53" s="113">
        <v>4</v>
      </c>
      <c r="I53" s="115">
        <v>9</v>
      </c>
      <c r="J53" s="111">
        <f t="shared" si="0"/>
        <v>1.5004001066951187E-4</v>
      </c>
      <c r="K53" s="677"/>
      <c r="M53" s="56" t="s">
        <v>124</v>
      </c>
      <c r="N53" s="57"/>
      <c r="O53" s="57"/>
      <c r="P53" s="57">
        <v>61</v>
      </c>
      <c r="Q53" s="57">
        <v>559</v>
      </c>
      <c r="R53" s="57">
        <v>707</v>
      </c>
      <c r="S53" s="57">
        <v>1327</v>
      </c>
      <c r="AD53" s="173"/>
      <c r="AE53" s="173"/>
      <c r="AF53" s="173"/>
      <c r="AG53" s="173"/>
      <c r="AH53" s="173"/>
      <c r="AI53" s="173"/>
      <c r="AJ53" s="173"/>
      <c r="AL53" s="56" t="s">
        <v>162</v>
      </c>
      <c r="AM53" s="57"/>
      <c r="AN53" s="57"/>
      <c r="AO53" s="57">
        <v>2</v>
      </c>
      <c r="AP53" s="57">
        <v>7</v>
      </c>
      <c r="AQ53" s="57">
        <v>8</v>
      </c>
      <c r="AR53" s="58">
        <v>17</v>
      </c>
    </row>
    <row r="54" spans="1:44" ht="15" x14ac:dyDescent="0.25">
      <c r="A54" s="56" t="s">
        <v>358</v>
      </c>
      <c r="B54" s="57"/>
      <c r="C54" s="57"/>
      <c r="D54" s="57"/>
      <c r="E54" s="57"/>
      <c r="F54" s="57"/>
      <c r="G54" s="57">
        <v>2</v>
      </c>
      <c r="H54" s="113">
        <v>3</v>
      </c>
      <c r="I54" s="115">
        <v>5</v>
      </c>
      <c r="J54" s="111">
        <f t="shared" si="0"/>
        <v>8.3355561483062157E-5</v>
      </c>
      <c r="K54" s="677"/>
      <c r="M54" s="56" t="s">
        <v>319</v>
      </c>
      <c r="N54" s="57"/>
      <c r="O54" s="57"/>
      <c r="P54" s="57">
        <v>48</v>
      </c>
      <c r="Q54" s="57">
        <v>564</v>
      </c>
      <c r="R54" s="57">
        <v>467</v>
      </c>
      <c r="S54" s="57">
        <v>1079</v>
      </c>
      <c r="AD54" s="173"/>
      <c r="AE54" s="173"/>
      <c r="AF54" s="173"/>
      <c r="AG54" s="173"/>
      <c r="AH54" s="173"/>
      <c r="AI54" s="173"/>
      <c r="AJ54" s="173"/>
      <c r="AL54" s="56" t="s">
        <v>166</v>
      </c>
      <c r="AM54" s="57"/>
      <c r="AN54" s="57"/>
      <c r="AO54" s="57"/>
      <c r="AP54" s="57">
        <v>5</v>
      </c>
      <c r="AQ54" s="57">
        <v>8</v>
      </c>
      <c r="AR54" s="58">
        <v>13</v>
      </c>
    </row>
    <row r="55" spans="1:44" ht="15" x14ac:dyDescent="0.25">
      <c r="A55" s="56" t="s">
        <v>360</v>
      </c>
      <c r="B55" s="57"/>
      <c r="C55" s="57"/>
      <c r="D55" s="57"/>
      <c r="E55" s="57"/>
      <c r="F55" s="57">
        <v>1</v>
      </c>
      <c r="G55" s="57"/>
      <c r="H55" s="113"/>
      <c r="I55" s="115">
        <v>1</v>
      </c>
      <c r="J55" s="111">
        <f t="shared" si="0"/>
        <v>1.6671112296612429E-5</v>
      </c>
      <c r="K55" s="677"/>
      <c r="M55" s="56" t="s">
        <v>328</v>
      </c>
      <c r="N55" s="57"/>
      <c r="O55" s="57"/>
      <c r="P55" s="57">
        <v>153</v>
      </c>
      <c r="Q55" s="57">
        <v>340</v>
      </c>
      <c r="R55" s="57">
        <v>366</v>
      </c>
      <c r="S55" s="57">
        <v>859</v>
      </c>
      <c r="AD55" s="173"/>
      <c r="AE55" s="173"/>
      <c r="AF55" s="173"/>
      <c r="AG55" s="173"/>
      <c r="AH55" s="173"/>
      <c r="AI55" s="173"/>
      <c r="AJ55" s="173"/>
      <c r="AL55" s="56" t="s">
        <v>167</v>
      </c>
      <c r="AM55" s="57"/>
      <c r="AN55" s="57"/>
      <c r="AO55" s="57">
        <v>1</v>
      </c>
      <c r="AP55" s="57">
        <v>3</v>
      </c>
      <c r="AQ55" s="57">
        <v>3</v>
      </c>
      <c r="AR55" s="58">
        <v>7</v>
      </c>
    </row>
    <row r="56" spans="1:44" ht="15.75" thickBot="1" x14ac:dyDescent="0.3">
      <c r="A56" s="59" t="s">
        <v>359</v>
      </c>
      <c r="B56" s="60"/>
      <c r="C56" s="60"/>
      <c r="D56" s="60"/>
      <c r="E56" s="60"/>
      <c r="F56" s="60"/>
      <c r="G56" s="60">
        <v>1</v>
      </c>
      <c r="H56" s="114"/>
      <c r="I56" s="116">
        <v>1</v>
      </c>
      <c r="J56" s="117">
        <f t="shared" si="0"/>
        <v>1.6671112296612429E-5</v>
      </c>
      <c r="K56" s="678"/>
      <c r="M56" s="56" t="s">
        <v>318</v>
      </c>
      <c r="N56" s="57"/>
      <c r="O56" s="57"/>
      <c r="P56" s="57">
        <v>94</v>
      </c>
      <c r="Q56" s="57">
        <v>460</v>
      </c>
      <c r="R56" s="57">
        <v>295</v>
      </c>
      <c r="S56" s="57">
        <v>849</v>
      </c>
      <c r="AD56" s="173"/>
      <c r="AE56" s="173"/>
      <c r="AF56" s="173"/>
      <c r="AG56" s="173"/>
      <c r="AH56" s="173"/>
      <c r="AI56" s="173"/>
      <c r="AJ56" s="173"/>
      <c r="AL56" s="56" t="s">
        <v>298</v>
      </c>
      <c r="AM56" s="57"/>
      <c r="AN56" s="57"/>
      <c r="AO56" s="57">
        <v>4</v>
      </c>
      <c r="AP56" s="57">
        <v>2</v>
      </c>
      <c r="AQ56" s="57"/>
      <c r="AR56" s="58">
        <v>6</v>
      </c>
    </row>
    <row r="57" spans="1:44" ht="20.25" thickTop="1" thickBot="1" x14ac:dyDescent="0.35">
      <c r="A57" s="124" t="s">
        <v>128</v>
      </c>
      <c r="B57" s="125">
        <v>1</v>
      </c>
      <c r="C57" s="125">
        <v>1</v>
      </c>
      <c r="D57" s="125"/>
      <c r="E57" s="125">
        <v>3</v>
      </c>
      <c r="F57" s="125">
        <v>447</v>
      </c>
      <c r="G57" s="125">
        <v>3109</v>
      </c>
      <c r="H57" s="125">
        <v>3248</v>
      </c>
      <c r="I57" s="120">
        <v>6808</v>
      </c>
      <c r="M57" s="56" t="s">
        <v>324</v>
      </c>
      <c r="N57" s="57"/>
      <c r="O57" s="57"/>
      <c r="P57" s="57">
        <v>114</v>
      </c>
      <c r="Q57" s="57">
        <v>438</v>
      </c>
      <c r="R57" s="57">
        <v>289</v>
      </c>
      <c r="S57" s="57">
        <v>841</v>
      </c>
      <c r="AD57" s="173"/>
      <c r="AE57" s="173"/>
      <c r="AF57" s="173"/>
      <c r="AG57" s="173"/>
      <c r="AH57" s="173"/>
      <c r="AI57" s="173"/>
      <c r="AJ57" s="173"/>
      <c r="AL57" s="56" t="s">
        <v>305</v>
      </c>
      <c r="AM57" s="57"/>
      <c r="AN57" s="57"/>
      <c r="AO57" s="57">
        <v>1</v>
      </c>
      <c r="AP57" s="57">
        <v>4</v>
      </c>
      <c r="AQ57" s="57"/>
      <c r="AR57" s="58">
        <v>5</v>
      </c>
    </row>
    <row r="58" spans="1:44" ht="15.75" customHeight="1" thickTop="1" x14ac:dyDescent="0.25">
      <c r="A58" s="121" t="s">
        <v>313</v>
      </c>
      <c r="B58" s="122">
        <v>1</v>
      </c>
      <c r="C58" s="122">
        <v>1</v>
      </c>
      <c r="D58" s="122"/>
      <c r="E58" s="122">
        <v>2</v>
      </c>
      <c r="F58" s="122">
        <v>206</v>
      </c>
      <c r="G58" s="122">
        <v>915</v>
      </c>
      <c r="H58" s="122">
        <v>1747</v>
      </c>
      <c r="I58" s="123">
        <v>2871</v>
      </c>
      <c r="J58" s="595">
        <f>I58/$I$57</f>
        <v>0.42170975323149235</v>
      </c>
      <c r="K58" s="673">
        <f>I57/$I$102</f>
        <v>9.5232766338406452E-2</v>
      </c>
      <c r="M58" s="56" t="s">
        <v>325</v>
      </c>
      <c r="N58" s="57"/>
      <c r="O58" s="57"/>
      <c r="P58" s="57">
        <v>16</v>
      </c>
      <c r="Q58" s="57">
        <v>114</v>
      </c>
      <c r="R58" s="57">
        <v>264</v>
      </c>
      <c r="S58" s="57">
        <v>394</v>
      </c>
      <c r="AD58" s="173"/>
      <c r="AE58" s="173"/>
      <c r="AF58" s="173"/>
      <c r="AG58" s="173"/>
      <c r="AH58" s="173"/>
      <c r="AI58" s="173"/>
      <c r="AJ58" s="173"/>
      <c r="AL58" s="56" t="s">
        <v>165</v>
      </c>
      <c r="AM58" s="57"/>
      <c r="AN58" s="57"/>
      <c r="AO58" s="57">
        <v>1</v>
      </c>
      <c r="AP58" s="57">
        <v>2</v>
      </c>
      <c r="AQ58" s="57">
        <v>1</v>
      </c>
      <c r="AR58" s="58">
        <v>4</v>
      </c>
    </row>
    <row r="59" spans="1:44" ht="15" customHeight="1" x14ac:dyDescent="0.25">
      <c r="A59" s="56" t="s">
        <v>361</v>
      </c>
      <c r="B59" s="57"/>
      <c r="C59" s="57"/>
      <c r="D59" s="57"/>
      <c r="E59" s="57"/>
      <c r="F59" s="57">
        <v>99</v>
      </c>
      <c r="G59" s="57">
        <v>1411</v>
      </c>
      <c r="H59" s="57">
        <v>897</v>
      </c>
      <c r="I59" s="110">
        <v>2407</v>
      </c>
      <c r="J59" s="596">
        <f t="shared" ref="J59:J66" si="8">I59/$I$57</f>
        <v>0.35355464159811983</v>
      </c>
      <c r="K59" s="674"/>
      <c r="M59" s="56" t="s">
        <v>322</v>
      </c>
      <c r="N59" s="57"/>
      <c r="O59" s="57"/>
      <c r="P59" s="57">
        <v>18</v>
      </c>
      <c r="Q59" s="57">
        <v>88</v>
      </c>
      <c r="R59" s="57">
        <v>144</v>
      </c>
      <c r="S59" s="57">
        <v>250</v>
      </c>
      <c r="AD59" s="173"/>
      <c r="AE59" s="173"/>
      <c r="AF59" s="173"/>
      <c r="AG59" s="173"/>
      <c r="AH59" s="173"/>
      <c r="AI59" s="173"/>
      <c r="AJ59" s="173"/>
      <c r="AL59" s="56" t="s">
        <v>304</v>
      </c>
      <c r="AM59" s="57"/>
      <c r="AN59" s="57"/>
      <c r="AO59" s="57">
        <v>1</v>
      </c>
      <c r="AP59" s="57">
        <v>1</v>
      </c>
      <c r="AQ59" s="57">
        <v>1</v>
      </c>
      <c r="AR59" s="58">
        <v>3</v>
      </c>
    </row>
    <row r="60" spans="1:44" ht="15" customHeight="1" x14ac:dyDescent="0.25">
      <c r="A60" s="56" t="s">
        <v>311</v>
      </c>
      <c r="B60" s="57"/>
      <c r="C60" s="57"/>
      <c r="D60" s="57"/>
      <c r="E60" s="57"/>
      <c r="F60" s="57">
        <v>133</v>
      </c>
      <c r="G60" s="57">
        <v>623</v>
      </c>
      <c r="H60" s="57">
        <v>240</v>
      </c>
      <c r="I60" s="110">
        <v>996</v>
      </c>
      <c r="J60" s="596">
        <f>I60/$I$57</f>
        <v>0.1462984723854289</v>
      </c>
      <c r="K60" s="674"/>
      <c r="M60" s="56" t="s">
        <v>334</v>
      </c>
      <c r="N60" s="57"/>
      <c r="O60" s="57"/>
      <c r="P60" s="57">
        <v>22</v>
      </c>
      <c r="Q60" s="57">
        <v>65</v>
      </c>
      <c r="R60" s="57">
        <v>143</v>
      </c>
      <c r="S60" s="57">
        <v>230</v>
      </c>
      <c r="AD60" s="173"/>
      <c r="AE60" s="173"/>
      <c r="AF60" s="173"/>
      <c r="AG60" s="173"/>
      <c r="AH60" s="173"/>
      <c r="AI60" s="173"/>
      <c r="AJ60" s="173"/>
      <c r="AL60" s="56" t="s">
        <v>299</v>
      </c>
      <c r="AM60" s="57"/>
      <c r="AN60" s="57"/>
      <c r="AO60" s="57">
        <v>2</v>
      </c>
      <c r="AP60" s="57"/>
      <c r="AQ60" s="57">
        <v>1</v>
      </c>
      <c r="AR60" s="58">
        <v>3</v>
      </c>
    </row>
    <row r="61" spans="1:44" ht="15" customHeight="1" x14ac:dyDescent="0.25">
      <c r="A61" s="56" t="s">
        <v>129</v>
      </c>
      <c r="B61" s="57"/>
      <c r="C61" s="57"/>
      <c r="D61" s="57"/>
      <c r="E61" s="57"/>
      <c r="F61" s="57">
        <v>4</v>
      </c>
      <c r="G61" s="57">
        <v>160</v>
      </c>
      <c r="H61" s="57">
        <v>164</v>
      </c>
      <c r="I61" s="110">
        <v>328</v>
      </c>
      <c r="J61" s="596">
        <f t="shared" ref="J61" si="9">I61/$I$57</f>
        <v>4.8178613396004703E-2</v>
      </c>
      <c r="K61" s="674"/>
      <c r="M61" s="56" t="s">
        <v>330</v>
      </c>
      <c r="N61" s="57"/>
      <c r="O61" s="57"/>
      <c r="P61" s="57">
        <v>10</v>
      </c>
      <c r="Q61" s="57">
        <v>60</v>
      </c>
      <c r="R61" s="57">
        <v>155</v>
      </c>
      <c r="S61" s="57">
        <v>225</v>
      </c>
      <c r="AD61" s="173"/>
      <c r="AE61" s="173"/>
      <c r="AF61" s="173"/>
      <c r="AG61" s="173"/>
      <c r="AH61" s="173"/>
      <c r="AI61" s="173"/>
      <c r="AJ61" s="173"/>
      <c r="AL61" s="56" t="s">
        <v>375</v>
      </c>
      <c r="AM61" s="57"/>
      <c r="AN61" s="57"/>
      <c r="AO61" s="57"/>
      <c r="AP61" s="57">
        <v>1</v>
      </c>
      <c r="AQ61" s="57">
        <v>1</v>
      </c>
      <c r="AR61" s="58">
        <v>2</v>
      </c>
    </row>
    <row r="62" spans="1:44" ht="15" customHeight="1" x14ac:dyDescent="0.25">
      <c r="A62" s="56" t="s">
        <v>416</v>
      </c>
      <c r="B62" s="57"/>
      <c r="C62" s="57"/>
      <c r="D62" s="57"/>
      <c r="E62" s="57"/>
      <c r="F62" s="57"/>
      <c r="G62" s="57"/>
      <c r="H62" s="57">
        <v>129</v>
      </c>
      <c r="I62" s="110">
        <v>129</v>
      </c>
      <c r="J62" s="596">
        <f t="shared" si="8"/>
        <v>1.8948296122209166E-2</v>
      </c>
      <c r="K62" s="674"/>
      <c r="M62" s="56" t="s">
        <v>317</v>
      </c>
      <c r="N62" s="57"/>
      <c r="O62" s="57"/>
      <c r="P62" s="57"/>
      <c r="Q62" s="57">
        <v>103</v>
      </c>
      <c r="R62" s="57">
        <v>113</v>
      </c>
      <c r="S62" s="57">
        <v>216</v>
      </c>
      <c r="AD62" s="173"/>
      <c r="AE62" s="173"/>
      <c r="AF62" s="173"/>
      <c r="AG62" s="173"/>
      <c r="AH62" s="173"/>
      <c r="AI62" s="173"/>
      <c r="AJ62" s="173"/>
      <c r="AL62" s="56" t="s">
        <v>302</v>
      </c>
      <c r="AM62" s="57"/>
      <c r="AN62" s="57"/>
      <c r="AO62" s="57">
        <v>2</v>
      </c>
      <c r="AP62" s="57"/>
      <c r="AQ62" s="57"/>
      <c r="AR62" s="58">
        <v>2</v>
      </c>
    </row>
    <row r="63" spans="1:44" ht="15" customHeight="1" x14ac:dyDescent="0.25">
      <c r="A63" s="56" t="s">
        <v>124</v>
      </c>
      <c r="B63" s="57"/>
      <c r="C63" s="57"/>
      <c r="D63" s="57"/>
      <c r="E63" s="57"/>
      <c r="F63" s="57"/>
      <c r="G63" s="57"/>
      <c r="H63" s="57">
        <v>63</v>
      </c>
      <c r="I63" s="110">
        <v>63</v>
      </c>
      <c r="J63" s="596">
        <f t="shared" si="8"/>
        <v>9.2538190364277323E-3</v>
      </c>
      <c r="K63" s="674"/>
      <c r="M63" s="56" t="s">
        <v>341</v>
      </c>
      <c r="N63" s="57"/>
      <c r="O63" s="57"/>
      <c r="P63" s="57">
        <v>13</v>
      </c>
      <c r="Q63" s="57">
        <v>120</v>
      </c>
      <c r="R63" s="57">
        <v>30</v>
      </c>
      <c r="S63" s="57">
        <v>163</v>
      </c>
      <c r="AD63" s="173"/>
      <c r="AE63" s="173"/>
      <c r="AF63" s="173"/>
      <c r="AG63" s="173"/>
      <c r="AH63" s="173"/>
      <c r="AI63" s="173"/>
      <c r="AJ63" s="173"/>
      <c r="AL63" s="56" t="s">
        <v>168</v>
      </c>
      <c r="AM63" s="57"/>
      <c r="AN63" s="57"/>
      <c r="AO63" s="57">
        <v>2</v>
      </c>
      <c r="AP63" s="57"/>
      <c r="AQ63" s="57"/>
      <c r="AR63" s="58">
        <v>2</v>
      </c>
    </row>
    <row r="64" spans="1:44" ht="15" customHeight="1" x14ac:dyDescent="0.25">
      <c r="A64" s="56" t="s">
        <v>347</v>
      </c>
      <c r="B64" s="57"/>
      <c r="C64" s="57"/>
      <c r="D64" s="57"/>
      <c r="E64" s="57"/>
      <c r="F64" s="57"/>
      <c r="G64" s="57"/>
      <c r="H64" s="57">
        <v>6</v>
      </c>
      <c r="I64" s="110">
        <v>6</v>
      </c>
      <c r="J64" s="596">
        <f t="shared" si="8"/>
        <v>8.8131609870740308E-4</v>
      </c>
      <c r="K64" s="674"/>
      <c r="M64" s="56" t="s">
        <v>336</v>
      </c>
      <c r="N64" s="57"/>
      <c r="O64" s="57"/>
      <c r="P64" s="57">
        <v>10</v>
      </c>
      <c r="Q64" s="57">
        <v>66</v>
      </c>
      <c r="R64" s="57">
        <v>60</v>
      </c>
      <c r="S64" s="57">
        <v>136</v>
      </c>
      <c r="AD64" s="173"/>
      <c r="AE64" s="173"/>
      <c r="AF64" s="173"/>
      <c r="AG64" s="173"/>
      <c r="AH64" s="173"/>
      <c r="AI64" s="173"/>
      <c r="AJ64" s="173"/>
      <c r="AL64" s="56" t="s">
        <v>306</v>
      </c>
      <c r="AM64" s="57"/>
      <c r="AN64" s="57"/>
      <c r="AO64" s="57">
        <v>1</v>
      </c>
      <c r="AP64" s="57"/>
      <c r="AQ64" s="57"/>
      <c r="AR64" s="58">
        <v>1</v>
      </c>
    </row>
    <row r="65" spans="1:44" ht="15.75" customHeight="1" x14ac:dyDescent="0.25">
      <c r="A65" s="56" t="s">
        <v>331</v>
      </c>
      <c r="B65" s="57"/>
      <c r="C65" s="57"/>
      <c r="D65" s="57"/>
      <c r="E65" s="57">
        <v>1</v>
      </c>
      <c r="F65" s="57">
        <v>1</v>
      </c>
      <c r="G65" s="57"/>
      <c r="H65" s="57">
        <v>2</v>
      </c>
      <c r="I65" s="110">
        <v>4</v>
      </c>
      <c r="J65" s="596">
        <f t="shared" si="8"/>
        <v>5.8754406580493535E-4</v>
      </c>
      <c r="K65" s="674"/>
      <c r="M65" s="56" t="s">
        <v>126</v>
      </c>
      <c r="N65" s="57"/>
      <c r="O65" s="57"/>
      <c r="P65" s="57"/>
      <c r="Q65" s="57">
        <v>14</v>
      </c>
      <c r="R65" s="57">
        <v>102</v>
      </c>
      <c r="S65" s="57">
        <v>116</v>
      </c>
      <c r="AD65" s="173"/>
      <c r="AE65" s="173"/>
      <c r="AF65" s="173"/>
      <c r="AG65" s="173"/>
      <c r="AH65" s="173"/>
      <c r="AI65" s="173"/>
      <c r="AJ65" s="173"/>
      <c r="AL65" s="56" t="s">
        <v>303</v>
      </c>
      <c r="AM65" s="57"/>
      <c r="AN65" s="57"/>
      <c r="AO65" s="57">
        <v>1</v>
      </c>
      <c r="AP65" s="57"/>
      <c r="AQ65" s="57"/>
      <c r="AR65" s="58">
        <v>1</v>
      </c>
    </row>
    <row r="66" spans="1:44" ht="15.75" thickBot="1" x14ac:dyDescent="0.3">
      <c r="A66" s="59" t="s">
        <v>314</v>
      </c>
      <c r="B66" s="60"/>
      <c r="C66" s="60"/>
      <c r="D66" s="60"/>
      <c r="E66" s="60"/>
      <c r="F66" s="60">
        <v>4</v>
      </c>
      <c r="G66" s="60"/>
      <c r="H66" s="60"/>
      <c r="I66" s="112">
        <v>4</v>
      </c>
      <c r="J66" s="597">
        <f t="shared" si="8"/>
        <v>5.8754406580493535E-4</v>
      </c>
      <c r="K66" s="675"/>
      <c r="M66" s="56" t="s">
        <v>326</v>
      </c>
      <c r="N66" s="57"/>
      <c r="O66" s="57"/>
      <c r="P66" s="57"/>
      <c r="Q66" s="57">
        <v>45</v>
      </c>
      <c r="R66" s="57">
        <v>69</v>
      </c>
      <c r="S66" s="57">
        <v>114</v>
      </c>
      <c r="AD66" s="173"/>
      <c r="AE66" s="173"/>
      <c r="AF66" s="173"/>
      <c r="AG66" s="173"/>
      <c r="AH66" s="173"/>
      <c r="AI66" s="173"/>
      <c r="AJ66" s="173"/>
      <c r="AL66" s="56" t="s">
        <v>308</v>
      </c>
      <c r="AM66" s="57"/>
      <c r="AN66" s="57"/>
      <c r="AO66" s="57">
        <v>1</v>
      </c>
      <c r="AP66" s="57"/>
      <c r="AQ66" s="57"/>
      <c r="AR66" s="58">
        <v>1</v>
      </c>
    </row>
    <row r="67" spans="1:44" ht="18.75" customHeight="1" thickTop="1" thickBot="1" x14ac:dyDescent="0.35">
      <c r="A67" s="133" t="s">
        <v>130</v>
      </c>
      <c r="B67" s="134">
        <v>1</v>
      </c>
      <c r="C67" s="134">
        <v>1</v>
      </c>
      <c r="D67" s="134"/>
      <c r="E67" s="134">
        <v>12</v>
      </c>
      <c r="F67" s="134">
        <v>372</v>
      </c>
      <c r="G67" s="134">
        <v>1576</v>
      </c>
      <c r="H67" s="134">
        <v>1388</v>
      </c>
      <c r="I67" s="120">
        <v>3349</v>
      </c>
      <c r="J67" s="127"/>
      <c r="M67" s="56" t="s">
        <v>338</v>
      </c>
      <c r="N67" s="57"/>
      <c r="O67" s="57"/>
      <c r="P67" s="57">
        <v>3</v>
      </c>
      <c r="Q67" s="57">
        <v>54</v>
      </c>
      <c r="R67" s="57">
        <v>33</v>
      </c>
      <c r="S67" s="57">
        <v>90</v>
      </c>
      <c r="AD67" s="173"/>
      <c r="AE67" s="173"/>
      <c r="AF67" s="173"/>
      <c r="AG67" s="173"/>
      <c r="AH67" s="173"/>
      <c r="AI67" s="173"/>
      <c r="AJ67" s="173"/>
      <c r="AL67" s="56" t="s">
        <v>307</v>
      </c>
      <c r="AM67" s="57"/>
      <c r="AN67" s="57"/>
      <c r="AO67" s="57">
        <v>1</v>
      </c>
      <c r="AP67" s="57"/>
      <c r="AQ67" s="57"/>
      <c r="AR67" s="58">
        <v>1</v>
      </c>
    </row>
    <row r="68" spans="1:44" ht="18.75" customHeight="1" thickTop="1" thickBot="1" x14ac:dyDescent="0.3">
      <c r="A68" s="121" t="s">
        <v>312</v>
      </c>
      <c r="B68" s="122">
        <v>1</v>
      </c>
      <c r="C68" s="122">
        <v>1</v>
      </c>
      <c r="D68" s="122"/>
      <c r="E68" s="122">
        <v>1</v>
      </c>
      <c r="F68" s="122">
        <v>194</v>
      </c>
      <c r="G68" s="122">
        <v>564</v>
      </c>
      <c r="H68" s="129">
        <v>377</v>
      </c>
      <c r="I68" s="132">
        <v>1137</v>
      </c>
      <c r="J68" s="599">
        <f>I68/$I$67</f>
        <v>0.33950432965064198</v>
      </c>
      <c r="K68" s="676">
        <f>I67/$I$102</f>
        <v>4.6847023276633842E-2</v>
      </c>
      <c r="M68" s="56" t="s">
        <v>346</v>
      </c>
      <c r="N68" s="57"/>
      <c r="O68" s="57"/>
      <c r="P68" s="57">
        <v>1</v>
      </c>
      <c r="Q68" s="57">
        <v>49</v>
      </c>
      <c r="R68" s="57">
        <v>24</v>
      </c>
      <c r="S68" s="57">
        <v>74</v>
      </c>
      <c r="AD68" s="173"/>
      <c r="AE68" s="173"/>
      <c r="AF68" s="173"/>
      <c r="AG68" s="173"/>
      <c r="AH68" s="173"/>
      <c r="AI68" s="173"/>
      <c r="AJ68" s="173"/>
      <c r="AL68" s="59" t="s">
        <v>378</v>
      </c>
      <c r="AM68" s="60"/>
      <c r="AN68" s="60"/>
      <c r="AO68" s="60"/>
      <c r="AP68" s="60"/>
      <c r="AQ68" s="60">
        <v>1</v>
      </c>
      <c r="AR68" s="61">
        <v>1</v>
      </c>
    </row>
    <row r="69" spans="1:44" ht="18.75" customHeight="1" thickTop="1" x14ac:dyDescent="0.25">
      <c r="A69" s="56" t="s">
        <v>124</v>
      </c>
      <c r="B69" s="57"/>
      <c r="C69" s="57"/>
      <c r="D69" s="57"/>
      <c r="E69" s="57"/>
      <c r="F69" s="57">
        <v>20</v>
      </c>
      <c r="G69" s="57">
        <v>227</v>
      </c>
      <c r="H69" s="113">
        <v>371</v>
      </c>
      <c r="I69" s="115">
        <v>618</v>
      </c>
      <c r="J69" s="600">
        <f t="shared" ref="J69:J86" si="10">I69/$I$67</f>
        <v>0.18453269632726188</v>
      </c>
      <c r="K69" s="677"/>
      <c r="M69" s="56" t="s">
        <v>340</v>
      </c>
      <c r="N69" s="57"/>
      <c r="O69" s="57"/>
      <c r="P69" s="57">
        <v>1</v>
      </c>
      <c r="Q69" s="57">
        <v>8</v>
      </c>
      <c r="R69" s="57">
        <v>59</v>
      </c>
      <c r="S69" s="57">
        <v>68</v>
      </c>
      <c r="AD69" s="173"/>
      <c r="AE69" s="173"/>
      <c r="AF69" s="173"/>
      <c r="AG69" s="173"/>
      <c r="AH69" s="173"/>
      <c r="AI69" s="173"/>
      <c r="AJ69" s="173"/>
      <c r="AL69" s="70" t="s">
        <v>129</v>
      </c>
      <c r="AM69" s="71"/>
      <c r="AN69" s="71"/>
      <c r="AO69" s="71">
        <v>4</v>
      </c>
      <c r="AP69" s="71">
        <v>160</v>
      </c>
      <c r="AQ69" s="71">
        <v>164</v>
      </c>
      <c r="AR69" s="361">
        <v>328</v>
      </c>
    </row>
    <row r="70" spans="1:44" ht="18.75" customHeight="1" thickBot="1" x14ac:dyDescent="0.3">
      <c r="A70" s="56" t="s">
        <v>322</v>
      </c>
      <c r="B70" s="57"/>
      <c r="C70" s="57"/>
      <c r="D70" s="57"/>
      <c r="E70" s="57"/>
      <c r="F70" s="57">
        <v>3</v>
      </c>
      <c r="G70" s="57">
        <v>213</v>
      </c>
      <c r="H70" s="113">
        <v>169</v>
      </c>
      <c r="I70" s="115">
        <v>385</v>
      </c>
      <c r="J70" s="600">
        <f t="shared" si="10"/>
        <v>0.11495968945954016</v>
      </c>
      <c r="K70" s="677"/>
      <c r="M70" s="56" t="s">
        <v>323</v>
      </c>
      <c r="N70" s="57"/>
      <c r="O70" s="57"/>
      <c r="P70" s="57">
        <v>1</v>
      </c>
      <c r="Q70" s="57">
        <v>7</v>
      </c>
      <c r="R70" s="57">
        <v>32</v>
      </c>
      <c r="S70" s="57">
        <v>40</v>
      </c>
      <c r="AD70" s="173"/>
      <c r="AE70" s="173"/>
      <c r="AF70" s="173"/>
      <c r="AG70" s="173"/>
      <c r="AH70" s="173"/>
      <c r="AI70" s="173"/>
      <c r="AJ70" s="173"/>
      <c r="AL70" s="56" t="s">
        <v>160</v>
      </c>
      <c r="AM70" s="57"/>
      <c r="AN70" s="57"/>
      <c r="AO70" s="57">
        <v>4</v>
      </c>
      <c r="AP70" s="57">
        <v>160</v>
      </c>
      <c r="AQ70" s="57">
        <v>164</v>
      </c>
      <c r="AR70" s="58">
        <v>328</v>
      </c>
    </row>
    <row r="71" spans="1:44" ht="18.75" customHeight="1" thickTop="1" x14ac:dyDescent="0.25">
      <c r="A71" s="56" t="s">
        <v>314</v>
      </c>
      <c r="B71" s="57"/>
      <c r="C71" s="57"/>
      <c r="D71" s="57"/>
      <c r="E71" s="57"/>
      <c r="F71" s="57">
        <v>8</v>
      </c>
      <c r="G71" s="57">
        <v>184</v>
      </c>
      <c r="H71" s="113">
        <v>95</v>
      </c>
      <c r="I71" s="115">
        <v>287</v>
      </c>
      <c r="J71" s="600">
        <f t="shared" si="10"/>
        <v>8.5697223051657209E-2</v>
      </c>
      <c r="K71" s="677"/>
      <c r="M71" s="56" t="s">
        <v>335</v>
      </c>
      <c r="N71" s="57"/>
      <c r="O71" s="57"/>
      <c r="P71" s="57">
        <v>1</v>
      </c>
      <c r="Q71" s="57">
        <v>8</v>
      </c>
      <c r="R71" s="57">
        <v>24</v>
      </c>
      <c r="S71" s="57">
        <v>33</v>
      </c>
      <c r="AD71" s="173"/>
      <c r="AE71" s="173"/>
      <c r="AF71" s="173"/>
      <c r="AG71" s="173"/>
      <c r="AH71" s="173"/>
      <c r="AI71" s="173"/>
      <c r="AJ71" s="173"/>
      <c r="AL71" s="70" t="s">
        <v>416</v>
      </c>
      <c r="AM71" s="71"/>
      <c r="AN71" s="71"/>
      <c r="AO71" s="71"/>
      <c r="AP71" s="71"/>
      <c r="AQ71" s="71">
        <v>129</v>
      </c>
      <c r="AR71" s="361">
        <v>129</v>
      </c>
    </row>
    <row r="72" spans="1:44" ht="18.75" customHeight="1" thickBot="1" x14ac:dyDescent="0.3">
      <c r="A72" s="56" t="s">
        <v>336</v>
      </c>
      <c r="B72" s="57"/>
      <c r="C72" s="57"/>
      <c r="D72" s="57"/>
      <c r="E72" s="57"/>
      <c r="F72" s="57">
        <v>92</v>
      </c>
      <c r="G72" s="57">
        <v>93</v>
      </c>
      <c r="H72" s="113">
        <v>40</v>
      </c>
      <c r="I72" s="115">
        <v>225</v>
      </c>
      <c r="J72" s="600">
        <f t="shared" si="10"/>
        <v>6.718423409973126E-2</v>
      </c>
      <c r="K72" s="677"/>
      <c r="M72" s="56" t="s">
        <v>332</v>
      </c>
      <c r="N72" s="57"/>
      <c r="O72" s="57"/>
      <c r="P72" s="57"/>
      <c r="Q72" s="57"/>
      <c r="R72" s="57">
        <v>25</v>
      </c>
      <c r="S72" s="57">
        <v>25</v>
      </c>
      <c r="AD72" s="173"/>
      <c r="AE72" s="173"/>
      <c r="AF72" s="173"/>
      <c r="AG72" s="173"/>
      <c r="AH72" s="173"/>
      <c r="AI72" s="173"/>
      <c r="AJ72" s="173"/>
      <c r="AL72" s="56" t="s">
        <v>158</v>
      </c>
      <c r="AM72" s="57"/>
      <c r="AN72" s="57"/>
      <c r="AO72" s="57"/>
      <c r="AP72" s="57"/>
      <c r="AQ72" s="57">
        <v>129</v>
      </c>
      <c r="AR72" s="58">
        <v>129</v>
      </c>
    </row>
    <row r="73" spans="1:44" ht="18.75" customHeight="1" thickTop="1" x14ac:dyDescent="0.25">
      <c r="A73" s="56" t="s">
        <v>334</v>
      </c>
      <c r="B73" s="57"/>
      <c r="C73" s="57"/>
      <c r="D73" s="57"/>
      <c r="E73" s="57">
        <v>1</v>
      </c>
      <c r="F73" s="57">
        <v>1</v>
      </c>
      <c r="G73" s="57">
        <v>67</v>
      </c>
      <c r="H73" s="113">
        <v>138</v>
      </c>
      <c r="I73" s="115">
        <v>207</v>
      </c>
      <c r="J73" s="600">
        <f t="shared" si="10"/>
        <v>6.180949537175276E-2</v>
      </c>
      <c r="K73" s="677"/>
      <c r="M73" s="56" t="s">
        <v>344</v>
      </c>
      <c r="N73" s="57"/>
      <c r="O73" s="57"/>
      <c r="P73" s="57"/>
      <c r="Q73" s="57"/>
      <c r="R73" s="57">
        <v>17</v>
      </c>
      <c r="S73" s="57">
        <v>17</v>
      </c>
      <c r="AD73" s="173"/>
      <c r="AE73" s="173"/>
      <c r="AF73" s="173"/>
      <c r="AG73" s="173"/>
      <c r="AH73" s="173"/>
      <c r="AI73" s="173"/>
      <c r="AJ73" s="173"/>
      <c r="AL73" s="70" t="s">
        <v>124</v>
      </c>
      <c r="AM73" s="71"/>
      <c r="AN73" s="71"/>
      <c r="AO73" s="71"/>
      <c r="AP73" s="71"/>
      <c r="AQ73" s="71">
        <v>63</v>
      </c>
      <c r="AR73" s="361">
        <v>63</v>
      </c>
    </row>
    <row r="74" spans="1:44" ht="18.75" customHeight="1" x14ac:dyDescent="0.25">
      <c r="A74" s="56" t="s">
        <v>330</v>
      </c>
      <c r="B74" s="57"/>
      <c r="C74" s="57"/>
      <c r="D74" s="57"/>
      <c r="E74" s="57">
        <v>2</v>
      </c>
      <c r="F74" s="57">
        <v>29</v>
      </c>
      <c r="G74" s="57">
        <v>84</v>
      </c>
      <c r="H74" s="113">
        <v>62</v>
      </c>
      <c r="I74" s="115">
        <v>177</v>
      </c>
      <c r="J74" s="600">
        <f t="shared" si="10"/>
        <v>5.2851597491788596E-2</v>
      </c>
      <c r="K74" s="677"/>
      <c r="M74" s="56" t="s">
        <v>355</v>
      </c>
      <c r="N74" s="57"/>
      <c r="O74" s="57"/>
      <c r="P74" s="57"/>
      <c r="Q74" s="57">
        <v>7</v>
      </c>
      <c r="R74" s="57">
        <v>6</v>
      </c>
      <c r="S74" s="57">
        <v>13</v>
      </c>
      <c r="AD74" s="173"/>
      <c r="AE74" s="173"/>
      <c r="AF74" s="173"/>
      <c r="AG74" s="173"/>
      <c r="AH74" s="173"/>
      <c r="AI74" s="173"/>
      <c r="AJ74" s="173"/>
      <c r="AL74" s="56" t="s">
        <v>160</v>
      </c>
      <c r="AM74" s="57"/>
      <c r="AN74" s="57"/>
      <c r="AO74" s="57"/>
      <c r="AP74" s="57"/>
      <c r="AQ74" s="57">
        <v>20</v>
      </c>
      <c r="AR74" s="58">
        <v>20</v>
      </c>
    </row>
    <row r="75" spans="1:44" ht="18.75" customHeight="1" x14ac:dyDescent="0.25">
      <c r="A75" s="56" t="s">
        <v>313</v>
      </c>
      <c r="B75" s="57"/>
      <c r="C75" s="57"/>
      <c r="D75" s="57"/>
      <c r="E75" s="57"/>
      <c r="F75" s="57">
        <v>9</v>
      </c>
      <c r="G75" s="57">
        <v>54</v>
      </c>
      <c r="H75" s="113">
        <v>46</v>
      </c>
      <c r="I75" s="115">
        <v>109</v>
      </c>
      <c r="J75" s="600">
        <f t="shared" si="10"/>
        <v>3.2547028963869809E-2</v>
      </c>
      <c r="K75" s="677"/>
      <c r="M75" s="56" t="s">
        <v>415</v>
      </c>
      <c r="N75" s="57"/>
      <c r="O75" s="57"/>
      <c r="P75" s="57"/>
      <c r="Q75" s="57">
        <v>3</v>
      </c>
      <c r="R75" s="57">
        <v>10</v>
      </c>
      <c r="S75" s="57">
        <v>13</v>
      </c>
      <c r="AD75" s="173"/>
      <c r="AE75" s="173"/>
      <c r="AF75" s="173"/>
      <c r="AG75" s="173"/>
      <c r="AH75" s="173"/>
      <c r="AI75" s="173"/>
      <c r="AJ75" s="173"/>
      <c r="AL75" s="56" t="s">
        <v>294</v>
      </c>
      <c r="AM75" s="57"/>
      <c r="AN75" s="57"/>
      <c r="AO75" s="57"/>
      <c r="AP75" s="57"/>
      <c r="AQ75" s="57">
        <v>14</v>
      </c>
      <c r="AR75" s="58">
        <v>14</v>
      </c>
    </row>
    <row r="76" spans="1:44" ht="19.5" customHeight="1" x14ac:dyDescent="0.25">
      <c r="A76" s="56" t="s">
        <v>328</v>
      </c>
      <c r="B76" s="57"/>
      <c r="C76" s="57"/>
      <c r="D76" s="57"/>
      <c r="E76" s="57"/>
      <c r="F76" s="57"/>
      <c r="G76" s="57">
        <v>27</v>
      </c>
      <c r="H76" s="113">
        <v>52</v>
      </c>
      <c r="I76" s="115">
        <v>79</v>
      </c>
      <c r="J76" s="600">
        <f t="shared" si="10"/>
        <v>2.3589131083905642E-2</v>
      </c>
      <c r="K76" s="677"/>
      <c r="M76" s="56" t="s">
        <v>351</v>
      </c>
      <c r="N76" s="57"/>
      <c r="O76" s="57"/>
      <c r="P76" s="57">
        <v>1</v>
      </c>
      <c r="Q76" s="57">
        <v>2</v>
      </c>
      <c r="R76" s="57">
        <v>1</v>
      </c>
      <c r="S76" s="57">
        <v>4</v>
      </c>
      <c r="AD76" s="173"/>
      <c r="AE76" s="173"/>
      <c r="AF76" s="173"/>
      <c r="AG76" s="173"/>
      <c r="AH76" s="173"/>
      <c r="AI76" s="173"/>
      <c r="AJ76" s="173"/>
      <c r="AL76" s="56" t="s">
        <v>295</v>
      </c>
      <c r="AM76" s="57"/>
      <c r="AN76" s="57"/>
      <c r="AO76" s="57"/>
      <c r="AP76" s="57"/>
      <c r="AQ76" s="57">
        <v>12</v>
      </c>
      <c r="AR76" s="58">
        <v>12</v>
      </c>
    </row>
    <row r="77" spans="1:44" ht="19.5" customHeight="1" x14ac:dyDescent="0.25">
      <c r="A77" s="56" t="s">
        <v>311</v>
      </c>
      <c r="B77" s="57"/>
      <c r="C77" s="57"/>
      <c r="D77" s="57"/>
      <c r="E77" s="57">
        <v>4</v>
      </c>
      <c r="F77" s="57">
        <v>10</v>
      </c>
      <c r="G77" s="57">
        <v>24</v>
      </c>
      <c r="H77" s="113">
        <v>1</v>
      </c>
      <c r="I77" s="115">
        <v>39</v>
      </c>
      <c r="J77" s="600">
        <f t="shared" si="10"/>
        <v>1.1645267243953419E-2</v>
      </c>
      <c r="K77" s="677"/>
      <c r="M77" s="56" t="s">
        <v>350</v>
      </c>
      <c r="N77" s="57"/>
      <c r="O77" s="57"/>
      <c r="P77" s="57"/>
      <c r="Q77" s="57"/>
      <c r="R77" s="57">
        <v>4</v>
      </c>
      <c r="S77" s="57">
        <v>4</v>
      </c>
      <c r="AD77" s="173"/>
      <c r="AE77" s="173"/>
      <c r="AF77" s="173"/>
      <c r="AG77" s="173"/>
      <c r="AH77" s="173"/>
      <c r="AI77" s="173"/>
      <c r="AJ77" s="173"/>
      <c r="AL77" s="56" t="s">
        <v>161</v>
      </c>
      <c r="AM77" s="57"/>
      <c r="AN77" s="57"/>
      <c r="AO77" s="57"/>
      <c r="AP77" s="57"/>
      <c r="AQ77" s="57">
        <v>5</v>
      </c>
      <c r="AR77" s="58">
        <v>5</v>
      </c>
    </row>
    <row r="78" spans="1:44" ht="18.75" customHeight="1" x14ac:dyDescent="0.25">
      <c r="A78" s="56" t="s">
        <v>338</v>
      </c>
      <c r="B78" s="57"/>
      <c r="C78" s="57"/>
      <c r="D78" s="57"/>
      <c r="E78" s="57"/>
      <c r="F78" s="57"/>
      <c r="G78" s="57"/>
      <c r="H78" s="113">
        <v>21</v>
      </c>
      <c r="I78" s="115">
        <v>21</v>
      </c>
      <c r="J78" s="600">
        <f t="shared" si="10"/>
        <v>6.2705285159749182E-3</v>
      </c>
      <c r="K78" s="677"/>
      <c r="M78" s="56" t="s">
        <v>152</v>
      </c>
      <c r="N78" s="57">
        <v>1</v>
      </c>
      <c r="O78" s="57">
        <v>1</v>
      </c>
      <c r="P78" s="57">
        <v>949</v>
      </c>
      <c r="Q78" s="57">
        <v>7084</v>
      </c>
      <c r="R78" s="57">
        <v>7497</v>
      </c>
      <c r="S78" s="57">
        <v>15531</v>
      </c>
      <c r="AL78" s="56" t="s">
        <v>297</v>
      </c>
      <c r="AM78" s="57"/>
      <c r="AN78" s="57"/>
      <c r="AO78" s="57"/>
      <c r="AP78" s="57"/>
      <c r="AQ78" s="57">
        <v>4</v>
      </c>
      <c r="AR78" s="58">
        <v>4</v>
      </c>
    </row>
    <row r="79" spans="1:44" ht="18.75" customHeight="1" x14ac:dyDescent="0.25">
      <c r="A79" s="56" t="s">
        <v>335</v>
      </c>
      <c r="B79" s="57"/>
      <c r="C79" s="57"/>
      <c r="D79" s="57"/>
      <c r="E79" s="57"/>
      <c r="F79" s="57"/>
      <c r="G79" s="57">
        <v>18</v>
      </c>
      <c r="H79" s="113"/>
      <c r="I79" s="115">
        <v>18</v>
      </c>
      <c r="J79" s="600">
        <f t="shared" si="10"/>
        <v>5.3747387279785008E-3</v>
      </c>
      <c r="K79" s="677"/>
      <c r="M79" s="56" t="s">
        <v>312</v>
      </c>
      <c r="N79" s="57"/>
      <c r="O79" s="57"/>
      <c r="P79" s="57">
        <v>199</v>
      </c>
      <c r="Q79" s="57">
        <v>1543</v>
      </c>
      <c r="R79" s="57">
        <v>915</v>
      </c>
      <c r="S79" s="57">
        <v>2657</v>
      </c>
      <c r="AL79" s="56" t="s">
        <v>296</v>
      </c>
      <c r="AM79" s="57"/>
      <c r="AN79" s="57"/>
      <c r="AO79" s="57"/>
      <c r="AP79" s="57"/>
      <c r="AQ79" s="57">
        <v>3</v>
      </c>
      <c r="AR79" s="58">
        <v>3</v>
      </c>
    </row>
    <row r="80" spans="1:44" ht="18.75" customHeight="1" x14ac:dyDescent="0.25">
      <c r="A80" s="56" t="s">
        <v>355</v>
      </c>
      <c r="B80" s="57"/>
      <c r="C80" s="57"/>
      <c r="D80" s="57"/>
      <c r="E80" s="57"/>
      <c r="F80" s="57"/>
      <c r="G80" s="57">
        <v>6</v>
      </c>
      <c r="H80" s="113">
        <v>7</v>
      </c>
      <c r="I80" s="115">
        <v>13</v>
      </c>
      <c r="J80" s="600">
        <f t="shared" si="10"/>
        <v>3.8817557479844732E-3</v>
      </c>
      <c r="K80" s="677"/>
      <c r="M80" s="56" t="s">
        <v>314</v>
      </c>
      <c r="N80" s="57"/>
      <c r="O80" s="57"/>
      <c r="P80" s="57">
        <v>106</v>
      </c>
      <c r="Q80" s="57">
        <v>1044</v>
      </c>
      <c r="R80" s="57">
        <v>686</v>
      </c>
      <c r="S80" s="57">
        <v>1836</v>
      </c>
      <c r="AL80" s="56" t="s">
        <v>168</v>
      </c>
      <c r="AM80" s="57"/>
      <c r="AN80" s="57"/>
      <c r="AO80" s="57"/>
      <c r="AP80" s="57"/>
      <c r="AQ80" s="57">
        <v>2</v>
      </c>
      <c r="AR80" s="58">
        <v>2</v>
      </c>
    </row>
    <row r="81" spans="1:44" ht="18.75" customHeight="1" x14ac:dyDescent="0.25">
      <c r="A81" s="56" t="s">
        <v>343</v>
      </c>
      <c r="B81" s="57"/>
      <c r="C81" s="57"/>
      <c r="D81" s="57"/>
      <c r="E81" s="57">
        <v>3</v>
      </c>
      <c r="F81" s="57">
        <v>6</v>
      </c>
      <c r="G81" s="57">
        <v>2</v>
      </c>
      <c r="H81" s="113"/>
      <c r="I81" s="115">
        <v>11</v>
      </c>
      <c r="J81" s="600">
        <f t="shared" si="10"/>
        <v>3.2845625559868616E-3</v>
      </c>
      <c r="K81" s="677"/>
      <c r="M81" s="56" t="s">
        <v>319</v>
      </c>
      <c r="N81" s="57"/>
      <c r="O81" s="57"/>
      <c r="P81" s="57">
        <v>12</v>
      </c>
      <c r="Q81" s="57">
        <v>496</v>
      </c>
      <c r="R81" s="57">
        <v>1258</v>
      </c>
      <c r="S81" s="57">
        <v>1766</v>
      </c>
      <c r="AL81" s="56" t="s">
        <v>165</v>
      </c>
      <c r="AM81" s="57"/>
      <c r="AN81" s="57"/>
      <c r="AO81" s="57"/>
      <c r="AP81" s="57"/>
      <c r="AQ81" s="57">
        <v>1</v>
      </c>
      <c r="AR81" s="58">
        <v>1</v>
      </c>
    </row>
    <row r="82" spans="1:44" ht="18.75" customHeight="1" x14ac:dyDescent="0.25">
      <c r="A82" s="56" t="s">
        <v>126</v>
      </c>
      <c r="B82" s="57"/>
      <c r="C82" s="57"/>
      <c r="D82" s="57"/>
      <c r="E82" s="57"/>
      <c r="F82" s="57"/>
      <c r="G82" s="57">
        <v>8</v>
      </c>
      <c r="H82" s="113">
        <v>2</v>
      </c>
      <c r="I82" s="115">
        <v>10</v>
      </c>
      <c r="J82" s="600">
        <f t="shared" si="10"/>
        <v>2.9859659599880562E-3</v>
      </c>
      <c r="K82" s="677"/>
      <c r="M82" s="56" t="s">
        <v>327</v>
      </c>
      <c r="N82" s="57"/>
      <c r="O82" s="57"/>
      <c r="P82" s="57">
        <v>272</v>
      </c>
      <c r="Q82" s="57">
        <v>487</v>
      </c>
      <c r="R82" s="57">
        <v>512</v>
      </c>
      <c r="S82" s="57">
        <v>1271</v>
      </c>
      <c r="AL82" s="56" t="s">
        <v>162</v>
      </c>
      <c r="AM82" s="57"/>
      <c r="AN82" s="57"/>
      <c r="AO82" s="57"/>
      <c r="AP82" s="57"/>
      <c r="AQ82" s="57">
        <v>1</v>
      </c>
      <c r="AR82" s="58">
        <v>1</v>
      </c>
    </row>
    <row r="83" spans="1:44" ht="18.75" customHeight="1" thickBot="1" x14ac:dyDescent="0.3">
      <c r="A83" s="56" t="s">
        <v>354</v>
      </c>
      <c r="B83" s="57"/>
      <c r="C83" s="57"/>
      <c r="D83" s="57"/>
      <c r="E83" s="57"/>
      <c r="F83" s="57"/>
      <c r="G83" s="57">
        <v>2</v>
      </c>
      <c r="H83" s="113">
        <v>3</v>
      </c>
      <c r="I83" s="115">
        <v>5</v>
      </c>
      <c r="J83" s="600">
        <f t="shared" si="10"/>
        <v>1.4929829799940281E-3</v>
      </c>
      <c r="K83" s="677"/>
      <c r="M83" s="56" t="s">
        <v>318</v>
      </c>
      <c r="N83" s="57"/>
      <c r="O83" s="57"/>
      <c r="P83" s="57">
        <v>79</v>
      </c>
      <c r="Q83" s="57">
        <v>559</v>
      </c>
      <c r="R83" s="57">
        <v>381</v>
      </c>
      <c r="S83" s="57">
        <v>1019</v>
      </c>
      <c r="AL83" s="56" t="s">
        <v>301</v>
      </c>
      <c r="AM83" s="57"/>
      <c r="AN83" s="57"/>
      <c r="AO83" s="57"/>
      <c r="AP83" s="57"/>
      <c r="AQ83" s="57">
        <v>1</v>
      </c>
      <c r="AR83" s="58">
        <v>1</v>
      </c>
    </row>
    <row r="84" spans="1:44" ht="18.75" customHeight="1" thickTop="1" x14ac:dyDescent="0.25">
      <c r="A84" s="56" t="s">
        <v>359</v>
      </c>
      <c r="B84" s="57"/>
      <c r="C84" s="57"/>
      <c r="D84" s="57"/>
      <c r="E84" s="57">
        <v>1</v>
      </c>
      <c r="F84" s="57"/>
      <c r="G84" s="57">
        <v>1</v>
      </c>
      <c r="H84" s="113">
        <v>1</v>
      </c>
      <c r="I84" s="115">
        <v>3</v>
      </c>
      <c r="J84" s="600">
        <f t="shared" si="10"/>
        <v>8.9578978799641684E-4</v>
      </c>
      <c r="K84" s="677"/>
      <c r="M84" s="56" t="s">
        <v>325</v>
      </c>
      <c r="N84" s="57"/>
      <c r="O84" s="57"/>
      <c r="P84" s="57">
        <v>41</v>
      </c>
      <c r="Q84" s="57">
        <v>350</v>
      </c>
      <c r="R84" s="57">
        <v>439</v>
      </c>
      <c r="S84" s="57">
        <v>830</v>
      </c>
      <c r="AL84" s="70" t="s">
        <v>347</v>
      </c>
      <c r="AM84" s="71"/>
      <c r="AN84" s="71"/>
      <c r="AO84" s="71"/>
      <c r="AP84" s="71"/>
      <c r="AQ84" s="71">
        <v>6</v>
      </c>
      <c r="AR84" s="361">
        <v>6</v>
      </c>
    </row>
    <row r="85" spans="1:44" ht="18.75" customHeight="1" x14ac:dyDescent="0.25">
      <c r="A85" s="56" t="s">
        <v>337</v>
      </c>
      <c r="B85" s="57"/>
      <c r="C85" s="57"/>
      <c r="D85" s="57"/>
      <c r="E85" s="57"/>
      <c r="F85" s="57"/>
      <c r="G85" s="57">
        <v>2</v>
      </c>
      <c r="H85" s="113"/>
      <c r="I85" s="115">
        <v>2</v>
      </c>
      <c r="J85" s="600">
        <f t="shared" si="10"/>
        <v>5.9719319199761126E-4</v>
      </c>
      <c r="K85" s="677"/>
      <c r="M85" s="56" t="s">
        <v>331</v>
      </c>
      <c r="N85" s="57"/>
      <c r="O85" s="57"/>
      <c r="P85" s="57">
        <v>39</v>
      </c>
      <c r="Q85" s="57">
        <v>373</v>
      </c>
      <c r="R85" s="57">
        <v>304</v>
      </c>
      <c r="S85" s="57">
        <v>716</v>
      </c>
      <c r="AL85" s="56" t="s">
        <v>301</v>
      </c>
      <c r="AM85" s="57"/>
      <c r="AN85" s="57"/>
      <c r="AO85" s="57"/>
      <c r="AP85" s="57"/>
      <c r="AQ85" s="57">
        <v>5</v>
      </c>
      <c r="AR85" s="58">
        <v>5</v>
      </c>
    </row>
    <row r="86" spans="1:44" ht="19.5" customHeight="1" thickBot="1" x14ac:dyDescent="0.3">
      <c r="A86" s="56" t="s">
        <v>415</v>
      </c>
      <c r="B86" s="57"/>
      <c r="C86" s="57"/>
      <c r="D86" s="57"/>
      <c r="E86" s="57"/>
      <c r="F86" s="57"/>
      <c r="G86" s="57"/>
      <c r="H86" s="113">
        <v>2</v>
      </c>
      <c r="I86" s="115">
        <v>2</v>
      </c>
      <c r="J86" s="600">
        <f t="shared" si="10"/>
        <v>5.9719319199761126E-4</v>
      </c>
      <c r="K86" s="677"/>
      <c r="M86" s="56" t="s">
        <v>317</v>
      </c>
      <c r="N86" s="57"/>
      <c r="O86" s="57"/>
      <c r="P86" s="57">
        <v>8</v>
      </c>
      <c r="Q86" s="57">
        <v>428</v>
      </c>
      <c r="R86" s="57">
        <v>210</v>
      </c>
      <c r="S86" s="57">
        <v>646</v>
      </c>
      <c r="AL86" s="56" t="s">
        <v>293</v>
      </c>
      <c r="AM86" s="57"/>
      <c r="AN86" s="57"/>
      <c r="AO86" s="57"/>
      <c r="AP86" s="57"/>
      <c r="AQ86" s="57">
        <v>1</v>
      </c>
      <c r="AR86" s="58">
        <v>1</v>
      </c>
    </row>
    <row r="87" spans="1:44" ht="16.5" thickTop="1" thickBot="1" x14ac:dyDescent="0.3">
      <c r="A87" s="59" t="s">
        <v>326</v>
      </c>
      <c r="B87" s="60"/>
      <c r="C87" s="60"/>
      <c r="D87" s="60"/>
      <c r="E87" s="60"/>
      <c r="F87" s="60"/>
      <c r="G87" s="60"/>
      <c r="H87" s="114">
        <v>1</v>
      </c>
      <c r="I87" s="116">
        <v>1</v>
      </c>
      <c r="J87" s="598"/>
      <c r="K87" s="678"/>
      <c r="M87" s="56" t="s">
        <v>323</v>
      </c>
      <c r="N87" s="57"/>
      <c r="O87" s="57"/>
      <c r="P87" s="57">
        <v>25</v>
      </c>
      <c r="Q87" s="57">
        <v>214</v>
      </c>
      <c r="R87" s="57">
        <v>352</v>
      </c>
      <c r="S87" s="57">
        <v>591</v>
      </c>
      <c r="AL87" s="70" t="s">
        <v>331</v>
      </c>
      <c r="AM87" s="71"/>
      <c r="AN87" s="71">
        <v>1</v>
      </c>
      <c r="AO87" s="71">
        <v>1</v>
      </c>
      <c r="AP87" s="71"/>
      <c r="AQ87" s="71">
        <v>2</v>
      </c>
      <c r="AR87" s="361">
        <v>4</v>
      </c>
    </row>
    <row r="88" spans="1:44" ht="18.75" customHeight="1" thickTop="1" thickBot="1" x14ac:dyDescent="0.35">
      <c r="A88" s="133" t="s">
        <v>131</v>
      </c>
      <c r="B88" s="134"/>
      <c r="C88" s="134"/>
      <c r="D88" s="134">
        <v>1</v>
      </c>
      <c r="E88" s="134">
        <v>8</v>
      </c>
      <c r="F88" s="134">
        <v>156</v>
      </c>
      <c r="G88" s="134">
        <v>555</v>
      </c>
      <c r="H88" s="134">
        <v>482</v>
      </c>
      <c r="I88" s="120">
        <v>1202</v>
      </c>
      <c r="J88" s="128"/>
      <c r="K88" s="128"/>
      <c r="M88" s="56" t="s">
        <v>328</v>
      </c>
      <c r="N88" s="57"/>
      <c r="O88" s="57"/>
      <c r="P88" s="57">
        <v>11</v>
      </c>
      <c r="Q88" s="57">
        <v>150</v>
      </c>
      <c r="R88" s="57">
        <v>340</v>
      </c>
      <c r="S88" s="57">
        <v>501</v>
      </c>
      <c r="AL88" s="56" t="s">
        <v>301</v>
      </c>
      <c r="AM88" s="57"/>
      <c r="AN88" s="57"/>
      <c r="AO88" s="57"/>
      <c r="AP88" s="57"/>
      <c r="AQ88" s="57">
        <v>2</v>
      </c>
      <c r="AR88" s="58">
        <v>2</v>
      </c>
    </row>
    <row r="89" spans="1:44" ht="18.75" customHeight="1" thickTop="1" x14ac:dyDescent="0.25">
      <c r="A89" s="121" t="s">
        <v>313</v>
      </c>
      <c r="B89" s="122"/>
      <c r="C89" s="122"/>
      <c r="D89" s="122"/>
      <c r="E89" s="122">
        <v>4</v>
      </c>
      <c r="F89" s="122">
        <v>24</v>
      </c>
      <c r="G89" s="122">
        <v>296</v>
      </c>
      <c r="H89" s="129">
        <v>283</v>
      </c>
      <c r="I89" s="132">
        <v>607</v>
      </c>
      <c r="J89" s="130">
        <f>I88/$I$88</f>
        <v>1</v>
      </c>
      <c r="K89" s="676">
        <f>I88/I102</f>
        <v>1.6814010743061773E-2</v>
      </c>
      <c r="M89" s="56" t="s">
        <v>124</v>
      </c>
      <c r="N89" s="57"/>
      <c r="O89" s="57"/>
      <c r="P89" s="57">
        <v>5</v>
      </c>
      <c r="Q89" s="57">
        <v>136</v>
      </c>
      <c r="R89" s="57">
        <v>237</v>
      </c>
      <c r="S89" s="57">
        <v>378</v>
      </c>
      <c r="AL89" s="56" t="s">
        <v>297</v>
      </c>
      <c r="AM89" s="57"/>
      <c r="AN89" s="57"/>
      <c r="AO89" s="57">
        <v>1</v>
      </c>
      <c r="AP89" s="57"/>
      <c r="AQ89" s="57"/>
      <c r="AR89" s="58">
        <v>1</v>
      </c>
    </row>
    <row r="90" spans="1:44" ht="18.75" customHeight="1" thickBot="1" x14ac:dyDescent="0.3">
      <c r="A90" s="56" t="s">
        <v>322</v>
      </c>
      <c r="B90" s="57"/>
      <c r="C90" s="57"/>
      <c r="D90" s="57"/>
      <c r="E90" s="57"/>
      <c r="F90" s="57">
        <v>98</v>
      </c>
      <c r="G90" s="57">
        <v>209</v>
      </c>
      <c r="H90" s="113">
        <v>149</v>
      </c>
      <c r="I90" s="115">
        <v>456</v>
      </c>
      <c r="J90" s="131">
        <f t="shared" ref="J90:J97" si="11">I89/$I$88</f>
        <v>0.50499168053244592</v>
      </c>
      <c r="K90" s="677"/>
      <c r="M90" s="56" t="s">
        <v>126</v>
      </c>
      <c r="N90" s="57"/>
      <c r="O90" s="57"/>
      <c r="P90" s="57">
        <v>3</v>
      </c>
      <c r="Q90" s="57">
        <v>172</v>
      </c>
      <c r="R90" s="57">
        <v>186</v>
      </c>
      <c r="S90" s="57">
        <v>361</v>
      </c>
      <c r="AL90" s="56" t="s">
        <v>295</v>
      </c>
      <c r="AM90" s="57"/>
      <c r="AN90" s="57">
        <v>1</v>
      </c>
      <c r="AO90" s="57"/>
      <c r="AP90" s="57"/>
      <c r="AQ90" s="57"/>
      <c r="AR90" s="58">
        <v>1</v>
      </c>
    </row>
    <row r="91" spans="1:44" ht="18.75" customHeight="1" thickTop="1" x14ac:dyDescent="0.25">
      <c r="A91" s="56" t="s">
        <v>311</v>
      </c>
      <c r="B91" s="57"/>
      <c r="C91" s="57"/>
      <c r="D91" s="57">
        <v>1</v>
      </c>
      <c r="E91" s="57">
        <v>4</v>
      </c>
      <c r="F91" s="57">
        <v>25</v>
      </c>
      <c r="G91" s="57">
        <v>44</v>
      </c>
      <c r="H91" s="113">
        <v>30</v>
      </c>
      <c r="I91" s="115">
        <v>104</v>
      </c>
      <c r="J91" s="131">
        <f t="shared" si="11"/>
        <v>0.37936772046589018</v>
      </c>
      <c r="K91" s="677"/>
      <c r="M91" s="56" t="s">
        <v>324</v>
      </c>
      <c r="N91" s="57"/>
      <c r="O91" s="57"/>
      <c r="P91" s="57">
        <v>3</v>
      </c>
      <c r="Q91" s="57">
        <v>231</v>
      </c>
      <c r="R91" s="57">
        <v>107</v>
      </c>
      <c r="S91" s="57">
        <v>341</v>
      </c>
      <c r="AL91" s="70" t="s">
        <v>314</v>
      </c>
      <c r="AM91" s="71"/>
      <c r="AN91" s="71"/>
      <c r="AO91" s="71">
        <v>4</v>
      </c>
      <c r="AP91" s="71"/>
      <c r="AQ91" s="71"/>
      <c r="AR91" s="361">
        <v>4</v>
      </c>
    </row>
    <row r="92" spans="1:44" ht="18.75" customHeight="1" thickBot="1" x14ac:dyDescent="0.3">
      <c r="A92" s="56" t="s">
        <v>355</v>
      </c>
      <c r="B92" s="57"/>
      <c r="C92" s="57"/>
      <c r="D92" s="57"/>
      <c r="E92" s="57"/>
      <c r="F92" s="57">
        <v>1</v>
      </c>
      <c r="G92" s="57"/>
      <c r="H92" s="113">
        <v>12</v>
      </c>
      <c r="I92" s="115">
        <v>13</v>
      </c>
      <c r="J92" s="131">
        <f t="shared" si="11"/>
        <v>8.6522462562396013E-2</v>
      </c>
      <c r="K92" s="677"/>
      <c r="M92" s="56" t="s">
        <v>322</v>
      </c>
      <c r="N92" s="57"/>
      <c r="O92" s="57"/>
      <c r="P92" s="57">
        <v>2</v>
      </c>
      <c r="Q92" s="57">
        <v>11</v>
      </c>
      <c r="R92" s="57">
        <v>308</v>
      </c>
      <c r="S92" s="57">
        <v>321</v>
      </c>
      <c r="AL92" s="56" t="s">
        <v>161</v>
      </c>
      <c r="AM92" s="57"/>
      <c r="AN92" s="57"/>
      <c r="AO92" s="57">
        <v>2</v>
      </c>
      <c r="AP92" s="57"/>
      <c r="AQ92" s="57"/>
      <c r="AR92" s="58">
        <v>2</v>
      </c>
    </row>
    <row r="93" spans="1:44" ht="18.75" customHeight="1" thickTop="1" thickBot="1" x14ac:dyDescent="0.3">
      <c r="A93" s="56" t="s">
        <v>334</v>
      </c>
      <c r="B93" s="57"/>
      <c r="C93" s="57"/>
      <c r="D93" s="57"/>
      <c r="E93" s="57"/>
      <c r="F93" s="57">
        <v>7</v>
      </c>
      <c r="G93" s="57"/>
      <c r="H93" s="113">
        <v>5</v>
      </c>
      <c r="I93" s="115">
        <v>12</v>
      </c>
      <c r="J93" s="131">
        <f t="shared" si="11"/>
        <v>1.0815307820299502E-2</v>
      </c>
      <c r="K93" s="677"/>
      <c r="M93" s="68" t="s">
        <v>326</v>
      </c>
      <c r="N93" s="69"/>
      <c r="O93" s="69"/>
      <c r="P93" s="69">
        <v>3</v>
      </c>
      <c r="Q93" s="69">
        <v>173</v>
      </c>
      <c r="R93" s="69">
        <v>138</v>
      </c>
      <c r="S93" s="69">
        <v>314</v>
      </c>
      <c r="AL93" s="56" t="s">
        <v>168</v>
      </c>
      <c r="AM93" s="57"/>
      <c r="AN93" s="57"/>
      <c r="AO93" s="57">
        <v>1</v>
      </c>
      <c r="AP93" s="57"/>
      <c r="AQ93" s="57"/>
      <c r="AR93" s="58">
        <v>1</v>
      </c>
    </row>
    <row r="94" spans="1:44" ht="18.75" customHeight="1" thickTop="1" thickBot="1" x14ac:dyDescent="0.3">
      <c r="A94" s="56" t="s">
        <v>124</v>
      </c>
      <c r="B94" s="57"/>
      <c r="C94" s="57"/>
      <c r="D94" s="57"/>
      <c r="E94" s="57"/>
      <c r="F94" s="57"/>
      <c r="G94" s="57">
        <v>5</v>
      </c>
      <c r="H94" s="113">
        <v>2</v>
      </c>
      <c r="I94" s="115">
        <v>7</v>
      </c>
      <c r="J94" s="131">
        <f t="shared" si="11"/>
        <v>9.9833610648918467E-3</v>
      </c>
      <c r="K94" s="677"/>
      <c r="M94" s="56" t="s">
        <v>338</v>
      </c>
      <c r="N94" s="57"/>
      <c r="O94" s="57"/>
      <c r="P94" s="57">
        <v>26</v>
      </c>
      <c r="Q94" s="57">
        <v>136</v>
      </c>
      <c r="R94" s="57">
        <v>84</v>
      </c>
      <c r="S94" s="57">
        <v>246</v>
      </c>
      <c r="AL94" s="56" t="s">
        <v>160</v>
      </c>
      <c r="AM94" s="57"/>
      <c r="AN94" s="57"/>
      <c r="AO94" s="57">
        <v>1</v>
      </c>
      <c r="AP94" s="57"/>
      <c r="AQ94" s="57"/>
      <c r="AR94" s="58">
        <v>1</v>
      </c>
    </row>
    <row r="95" spans="1:44" ht="18.75" customHeight="1" thickTop="1" thickBot="1" x14ac:dyDescent="0.3">
      <c r="A95" s="56" t="s">
        <v>330</v>
      </c>
      <c r="B95" s="57"/>
      <c r="C95" s="57"/>
      <c r="D95" s="57"/>
      <c r="E95" s="57"/>
      <c r="F95" s="57"/>
      <c r="G95" s="57">
        <v>1</v>
      </c>
      <c r="H95" s="113"/>
      <c r="I95" s="115">
        <v>1</v>
      </c>
      <c r="J95" s="131">
        <f t="shared" si="11"/>
        <v>5.8236272878535774E-3</v>
      </c>
      <c r="K95" s="677"/>
      <c r="M95" s="56" t="s">
        <v>330</v>
      </c>
      <c r="N95" s="57"/>
      <c r="O95" s="57"/>
      <c r="P95" s="57">
        <v>38</v>
      </c>
      <c r="Q95" s="57">
        <v>69</v>
      </c>
      <c r="R95" s="57">
        <v>123</v>
      </c>
      <c r="S95" s="57">
        <v>230</v>
      </c>
      <c r="AL95" s="68" t="s">
        <v>121</v>
      </c>
      <c r="AM95" s="69">
        <v>1</v>
      </c>
      <c r="AN95" s="69">
        <v>3</v>
      </c>
      <c r="AO95" s="69">
        <v>447</v>
      </c>
      <c r="AP95" s="69">
        <v>3109</v>
      </c>
      <c r="AQ95" s="69">
        <v>3248</v>
      </c>
      <c r="AR95" s="153">
        <v>6808</v>
      </c>
    </row>
    <row r="96" spans="1:44" ht="18.75" customHeight="1" thickTop="1" x14ac:dyDescent="0.25">
      <c r="A96" s="56" t="s">
        <v>126</v>
      </c>
      <c r="B96" s="57"/>
      <c r="C96" s="57"/>
      <c r="D96" s="57"/>
      <c r="E96" s="57"/>
      <c r="F96" s="57">
        <v>1</v>
      </c>
      <c r="G96" s="57"/>
      <c r="H96" s="113"/>
      <c r="I96" s="115">
        <v>1</v>
      </c>
      <c r="J96" s="131">
        <f t="shared" si="11"/>
        <v>8.3194675540765393E-4</v>
      </c>
      <c r="K96" s="677"/>
      <c r="M96" s="56" t="s">
        <v>333</v>
      </c>
      <c r="N96" s="57"/>
      <c r="O96" s="57"/>
      <c r="P96" s="57"/>
      <c r="Q96" s="57">
        <v>74</v>
      </c>
      <c r="R96" s="57">
        <v>125</v>
      </c>
      <c r="S96" s="57">
        <v>199</v>
      </c>
    </row>
    <row r="97" spans="1:19" ht="18.75" customHeight="1" thickBot="1" x14ac:dyDescent="0.3">
      <c r="A97" s="59" t="s">
        <v>415</v>
      </c>
      <c r="B97" s="60"/>
      <c r="C97" s="60"/>
      <c r="D97" s="60"/>
      <c r="E97" s="60"/>
      <c r="F97" s="60"/>
      <c r="G97" s="60"/>
      <c r="H97" s="114">
        <v>1</v>
      </c>
      <c r="I97" s="116">
        <v>1</v>
      </c>
      <c r="J97" s="131">
        <f t="shared" si="11"/>
        <v>8.3194675540765393E-4</v>
      </c>
      <c r="K97" s="678"/>
      <c r="M97" s="56" t="s">
        <v>339</v>
      </c>
      <c r="N97" s="57"/>
      <c r="O97" s="57"/>
      <c r="P97" s="57">
        <v>3</v>
      </c>
      <c r="Q97" s="57">
        <v>71</v>
      </c>
      <c r="R97" s="57">
        <v>78</v>
      </c>
      <c r="S97" s="57">
        <v>152</v>
      </c>
    </row>
    <row r="98" spans="1:19" ht="19.5" customHeight="1" thickTop="1" thickBot="1" x14ac:dyDescent="0.3">
      <c r="A98" s="601" t="s">
        <v>121</v>
      </c>
      <c r="B98" s="602">
        <v>2</v>
      </c>
      <c r="C98" s="602">
        <v>2</v>
      </c>
      <c r="D98" s="602">
        <v>2</v>
      </c>
      <c r="E98" s="602">
        <v>23</v>
      </c>
      <c r="F98" s="602">
        <v>9175</v>
      </c>
      <c r="G98" s="602">
        <v>33415</v>
      </c>
      <c r="H98" s="602">
        <v>28726</v>
      </c>
      <c r="I98" s="603">
        <v>71343</v>
      </c>
      <c r="J98" s="173"/>
      <c r="K98" s="173"/>
      <c r="M98" s="56" t="s">
        <v>336</v>
      </c>
      <c r="N98" s="57"/>
      <c r="O98" s="57"/>
      <c r="P98" s="57">
        <v>20</v>
      </c>
      <c r="Q98" s="57">
        <v>65</v>
      </c>
      <c r="R98" s="57">
        <v>61</v>
      </c>
      <c r="S98" s="57">
        <v>146</v>
      </c>
    </row>
    <row r="99" spans="1:19" ht="20.25" customHeight="1" thickTop="1" x14ac:dyDescent="0.25">
      <c r="J99" s="173"/>
      <c r="K99" s="173"/>
      <c r="M99" s="56" t="s">
        <v>332</v>
      </c>
      <c r="N99" s="57"/>
      <c r="O99" s="57"/>
      <c r="P99" s="57">
        <v>1</v>
      </c>
      <c r="Q99" s="57">
        <v>10</v>
      </c>
      <c r="R99" s="57">
        <v>126</v>
      </c>
      <c r="S99" s="57">
        <v>137</v>
      </c>
    </row>
    <row r="100" spans="1:19" ht="20.25" customHeight="1" thickBot="1" x14ac:dyDescent="0.35">
      <c r="M100" s="56" t="s">
        <v>343</v>
      </c>
      <c r="N100" s="57">
        <v>1</v>
      </c>
      <c r="O100" s="57"/>
      <c r="P100" s="57">
        <v>23</v>
      </c>
      <c r="Q100" s="57">
        <v>78</v>
      </c>
      <c r="R100" s="57">
        <v>33</v>
      </c>
      <c r="S100" s="57">
        <v>135</v>
      </c>
    </row>
    <row r="101" spans="1:19" ht="15.75" customHeight="1" thickTop="1" thickBot="1" x14ac:dyDescent="0.35">
      <c r="A101" s="330" t="s">
        <v>287</v>
      </c>
      <c r="B101" s="331">
        <v>1</v>
      </c>
      <c r="C101" s="331">
        <v>2</v>
      </c>
      <c r="D101" s="331">
        <v>13</v>
      </c>
      <c r="E101" s="331">
        <v>27</v>
      </c>
      <c r="F101" s="331">
        <v>11539</v>
      </c>
      <c r="G101" s="331">
        <v>35904</v>
      </c>
      <c r="H101" s="331">
        <v>25019</v>
      </c>
      <c r="I101" s="332">
        <v>72505</v>
      </c>
      <c r="M101" s="56" t="s">
        <v>335</v>
      </c>
      <c r="N101" s="57"/>
      <c r="O101" s="57"/>
      <c r="P101" s="57">
        <v>15</v>
      </c>
      <c r="Q101" s="57">
        <v>57</v>
      </c>
      <c r="R101" s="57">
        <v>39</v>
      </c>
      <c r="S101" s="57">
        <v>111</v>
      </c>
    </row>
    <row r="102" spans="1:19" ht="19.5" thickTop="1" x14ac:dyDescent="0.3">
      <c r="A102" s="333" t="s">
        <v>362</v>
      </c>
      <c r="B102" s="334">
        <v>1</v>
      </c>
      <c r="C102" s="334">
        <v>2</v>
      </c>
      <c r="D102" s="334">
        <v>12</v>
      </c>
      <c r="E102" s="334">
        <v>27</v>
      </c>
      <c r="F102" s="334">
        <v>12816</v>
      </c>
      <c r="G102" s="334">
        <v>38281</v>
      </c>
      <c r="H102" s="334">
        <v>20349</v>
      </c>
      <c r="I102" s="335">
        <v>71488</v>
      </c>
      <c r="J102" s="173"/>
      <c r="M102" s="56" t="s">
        <v>334</v>
      </c>
      <c r="N102" s="57"/>
      <c r="O102" s="57"/>
      <c r="P102" s="57">
        <v>1</v>
      </c>
      <c r="Q102" s="57">
        <v>51</v>
      </c>
      <c r="R102" s="57">
        <v>45</v>
      </c>
      <c r="S102" s="57">
        <v>97</v>
      </c>
    </row>
    <row r="103" spans="1:19" ht="19.5" thickBot="1" x14ac:dyDescent="0.35">
      <c r="A103" s="336" t="s">
        <v>363</v>
      </c>
      <c r="B103" s="337">
        <f>(B98-B102)</f>
        <v>1</v>
      </c>
      <c r="C103" s="337">
        <f t="shared" ref="C103:I103" si="12">(C98-C102)</f>
        <v>0</v>
      </c>
      <c r="D103" s="337">
        <f t="shared" si="12"/>
        <v>-10</v>
      </c>
      <c r="E103" s="337">
        <f t="shared" si="12"/>
        <v>-4</v>
      </c>
      <c r="F103" s="337">
        <f t="shared" si="12"/>
        <v>-3641</v>
      </c>
      <c r="G103" s="337">
        <f t="shared" si="12"/>
        <v>-4866</v>
      </c>
      <c r="H103" s="337">
        <f t="shared" si="12"/>
        <v>8377</v>
      </c>
      <c r="I103" s="337">
        <f t="shared" si="12"/>
        <v>-145</v>
      </c>
      <c r="J103" s="173"/>
      <c r="M103" s="56" t="s">
        <v>347</v>
      </c>
      <c r="N103" s="57"/>
      <c r="O103" s="57"/>
      <c r="P103" s="57">
        <v>1</v>
      </c>
      <c r="Q103" s="57">
        <v>13</v>
      </c>
      <c r="R103" s="57">
        <v>78</v>
      </c>
      <c r="S103" s="57">
        <v>92</v>
      </c>
    </row>
    <row r="104" spans="1:19" ht="19.5" thickTop="1" x14ac:dyDescent="0.3">
      <c r="J104" s="173"/>
      <c r="M104" s="56" t="s">
        <v>337</v>
      </c>
      <c r="N104" s="57"/>
      <c r="O104" s="57"/>
      <c r="P104" s="57"/>
      <c r="Q104" s="57">
        <v>33</v>
      </c>
      <c r="R104" s="57">
        <v>47</v>
      </c>
      <c r="S104" s="57">
        <v>80</v>
      </c>
    </row>
    <row r="105" spans="1:19" x14ac:dyDescent="0.3">
      <c r="A105" s="173"/>
      <c r="B105" s="173"/>
      <c r="C105" s="173"/>
      <c r="D105" s="173"/>
      <c r="E105" s="173"/>
      <c r="F105" s="173"/>
      <c r="G105" s="173"/>
      <c r="H105" s="173"/>
      <c r="I105" s="173"/>
      <c r="J105" s="173"/>
      <c r="M105" s="56" t="s">
        <v>340</v>
      </c>
      <c r="N105" s="57"/>
      <c r="O105" s="57"/>
      <c r="P105" s="57"/>
      <c r="Q105" s="57">
        <v>6</v>
      </c>
      <c r="R105" s="57">
        <v>68</v>
      </c>
      <c r="S105" s="57">
        <v>74</v>
      </c>
    </row>
    <row r="106" spans="1:19" x14ac:dyDescent="0.3">
      <c r="A106" s="173"/>
      <c r="B106" s="173"/>
      <c r="C106" s="173"/>
      <c r="D106" s="173"/>
      <c r="E106" s="173"/>
      <c r="F106" s="173"/>
      <c r="G106" s="173"/>
      <c r="H106" s="173"/>
      <c r="I106" s="173"/>
      <c r="J106" s="173"/>
      <c r="M106" s="56" t="s">
        <v>344</v>
      </c>
      <c r="N106" s="57"/>
      <c r="O106" s="57"/>
      <c r="P106" s="57">
        <v>1</v>
      </c>
      <c r="Q106" s="57">
        <v>2</v>
      </c>
      <c r="R106" s="57">
        <v>64</v>
      </c>
      <c r="S106" s="57">
        <v>67</v>
      </c>
    </row>
    <row r="107" spans="1:19" x14ac:dyDescent="0.3">
      <c r="A107" s="173"/>
      <c r="B107" s="173"/>
      <c r="C107" s="173"/>
      <c r="D107" s="173"/>
      <c r="E107" s="173"/>
      <c r="F107" s="173"/>
      <c r="G107" s="173"/>
      <c r="H107" s="173"/>
      <c r="I107" s="173"/>
      <c r="J107" s="173"/>
      <c r="M107" s="56" t="s">
        <v>345</v>
      </c>
      <c r="N107" s="57"/>
      <c r="O107" s="57"/>
      <c r="P107" s="57"/>
      <c r="Q107" s="57">
        <v>13</v>
      </c>
      <c r="R107" s="57">
        <v>43</v>
      </c>
      <c r="S107" s="57">
        <v>56</v>
      </c>
    </row>
    <row r="108" spans="1:19" x14ac:dyDescent="0.3">
      <c r="A108" s="173"/>
      <c r="B108" s="173"/>
      <c r="C108" s="173"/>
      <c r="D108" s="173"/>
      <c r="E108" s="173"/>
      <c r="F108" s="173"/>
      <c r="G108" s="173"/>
      <c r="H108" s="173"/>
      <c r="I108" s="173"/>
      <c r="J108" s="173"/>
      <c r="M108" s="56" t="s">
        <v>350</v>
      </c>
      <c r="N108" s="57"/>
      <c r="O108" s="57"/>
      <c r="P108" s="57">
        <v>5</v>
      </c>
      <c r="Q108" s="57">
        <v>3</v>
      </c>
      <c r="R108" s="57">
        <v>34</v>
      </c>
      <c r="S108" s="57">
        <v>42</v>
      </c>
    </row>
    <row r="109" spans="1:19" x14ac:dyDescent="0.3">
      <c r="A109" s="173"/>
      <c r="B109" s="173"/>
      <c r="C109" s="173"/>
      <c r="D109" s="173"/>
      <c r="E109" s="173"/>
      <c r="F109" s="173"/>
      <c r="G109" s="173"/>
      <c r="H109" s="173"/>
      <c r="I109" s="173"/>
      <c r="J109" s="173"/>
      <c r="M109" s="56" t="s">
        <v>351</v>
      </c>
      <c r="N109" s="57"/>
      <c r="O109" s="57"/>
      <c r="P109" s="57">
        <v>1</v>
      </c>
      <c r="Q109" s="57">
        <v>8</v>
      </c>
      <c r="R109" s="57">
        <v>25</v>
      </c>
      <c r="S109" s="57">
        <v>34</v>
      </c>
    </row>
    <row r="110" spans="1:19" x14ac:dyDescent="0.3">
      <c r="A110" s="173"/>
      <c r="B110" s="173"/>
      <c r="C110" s="173"/>
      <c r="D110" s="173"/>
      <c r="E110" s="173"/>
      <c r="F110" s="173"/>
      <c r="G110" s="173"/>
      <c r="H110" s="173"/>
      <c r="I110" s="173"/>
      <c r="J110" s="173"/>
      <c r="M110" s="56" t="s">
        <v>354</v>
      </c>
      <c r="N110" s="57"/>
      <c r="O110" s="57"/>
      <c r="P110" s="57">
        <v>2</v>
      </c>
      <c r="Q110" s="57">
        <v>17</v>
      </c>
      <c r="R110" s="57">
        <v>8</v>
      </c>
      <c r="S110" s="57">
        <v>27</v>
      </c>
    </row>
    <row r="111" spans="1:19" x14ac:dyDescent="0.3">
      <c r="A111" s="173"/>
      <c r="B111" s="173"/>
      <c r="C111" s="173"/>
      <c r="D111" s="173"/>
      <c r="E111" s="173"/>
      <c r="F111" s="173"/>
      <c r="G111" s="173"/>
      <c r="H111" s="173"/>
      <c r="I111" s="173"/>
      <c r="J111" s="173"/>
      <c r="M111" s="56" t="s">
        <v>352</v>
      </c>
      <c r="N111" s="57"/>
      <c r="O111" s="57"/>
      <c r="P111" s="57"/>
      <c r="Q111" s="57"/>
      <c r="R111" s="57">
        <v>18</v>
      </c>
      <c r="S111" s="57">
        <v>18</v>
      </c>
    </row>
    <row r="112" spans="1:19" x14ac:dyDescent="0.3">
      <c r="A112" s="173"/>
      <c r="B112" s="173"/>
      <c r="C112" s="173"/>
      <c r="D112" s="173"/>
      <c r="E112" s="173"/>
      <c r="F112" s="173"/>
      <c r="G112" s="173"/>
      <c r="H112" s="173"/>
      <c r="I112" s="173"/>
      <c r="J112" s="173"/>
      <c r="M112" s="56" t="s">
        <v>356</v>
      </c>
      <c r="N112" s="57"/>
      <c r="O112" s="57"/>
      <c r="P112" s="57">
        <v>3</v>
      </c>
      <c r="Q112" s="57">
        <v>2</v>
      </c>
      <c r="R112" s="57">
        <v>4</v>
      </c>
      <c r="S112" s="57">
        <v>9</v>
      </c>
    </row>
    <row r="113" spans="1:19" x14ac:dyDescent="0.3">
      <c r="A113" s="173"/>
      <c r="B113" s="173"/>
      <c r="C113" s="173"/>
      <c r="D113" s="173"/>
      <c r="E113" s="173"/>
      <c r="F113" s="173"/>
      <c r="G113" s="173"/>
      <c r="H113" s="173"/>
      <c r="I113" s="173"/>
      <c r="J113" s="173"/>
      <c r="M113" s="56" t="s">
        <v>355</v>
      </c>
      <c r="N113" s="57"/>
      <c r="O113" s="57"/>
      <c r="P113" s="57"/>
      <c r="Q113" s="57">
        <v>2</v>
      </c>
      <c r="R113" s="57">
        <v>6</v>
      </c>
      <c r="S113" s="57">
        <v>8</v>
      </c>
    </row>
    <row r="114" spans="1:19" x14ac:dyDescent="0.3">
      <c r="A114" s="173"/>
      <c r="B114" s="173"/>
      <c r="C114" s="173"/>
      <c r="D114" s="173"/>
      <c r="E114" s="173"/>
      <c r="F114" s="173"/>
      <c r="G114" s="173"/>
      <c r="H114" s="173"/>
      <c r="I114" s="173"/>
      <c r="J114" s="173"/>
      <c r="M114" s="56" t="s">
        <v>346</v>
      </c>
      <c r="N114" s="57"/>
      <c r="O114" s="57"/>
      <c r="P114" s="57"/>
      <c r="Q114" s="57">
        <v>2</v>
      </c>
      <c r="R114" s="57">
        <v>4</v>
      </c>
      <c r="S114" s="57">
        <v>6</v>
      </c>
    </row>
    <row r="115" spans="1:19" x14ac:dyDescent="0.3">
      <c r="A115" s="173"/>
      <c r="B115" s="173"/>
      <c r="C115" s="173"/>
      <c r="D115" s="173"/>
      <c r="E115" s="173"/>
      <c r="F115" s="173"/>
      <c r="G115" s="173"/>
      <c r="H115" s="173"/>
      <c r="I115" s="173"/>
      <c r="J115" s="173"/>
      <c r="M115" s="56" t="s">
        <v>358</v>
      </c>
      <c r="N115" s="57"/>
      <c r="O115" s="57"/>
      <c r="P115" s="57"/>
      <c r="Q115" s="57">
        <v>2</v>
      </c>
      <c r="R115" s="57">
        <v>3</v>
      </c>
      <c r="S115" s="57">
        <v>5</v>
      </c>
    </row>
    <row r="116" spans="1:19" x14ac:dyDescent="0.3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M116" s="56" t="s">
        <v>353</v>
      </c>
      <c r="N116" s="57"/>
      <c r="O116" s="57"/>
      <c r="P116" s="57"/>
      <c r="Q116" s="57">
        <v>1</v>
      </c>
      <c r="R116" s="57">
        <v>3</v>
      </c>
      <c r="S116" s="57">
        <v>4</v>
      </c>
    </row>
    <row r="117" spans="1:19" x14ac:dyDescent="0.3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M117" s="56" t="s">
        <v>313</v>
      </c>
      <c r="N117" s="57"/>
      <c r="O117" s="57"/>
      <c r="P117" s="57"/>
      <c r="Q117" s="57"/>
      <c r="R117" s="57">
        <v>2</v>
      </c>
      <c r="S117" s="57">
        <v>2</v>
      </c>
    </row>
    <row r="118" spans="1:19" x14ac:dyDescent="0.3">
      <c r="A118" s="173"/>
      <c r="B118" s="173"/>
      <c r="C118" s="173"/>
      <c r="D118" s="173"/>
      <c r="E118" s="173"/>
      <c r="F118" s="173"/>
      <c r="G118" s="173"/>
      <c r="H118" s="173"/>
      <c r="I118" s="173"/>
      <c r="J118" s="173"/>
      <c r="M118" s="56" t="s">
        <v>341</v>
      </c>
      <c r="N118" s="57"/>
      <c r="O118" s="57"/>
      <c r="P118" s="57"/>
      <c r="Q118" s="57">
        <v>1</v>
      </c>
      <c r="R118" s="57">
        <v>1</v>
      </c>
      <c r="S118" s="57">
        <v>2</v>
      </c>
    </row>
    <row r="119" spans="1:19" x14ac:dyDescent="0.3">
      <c r="A119" s="173"/>
      <c r="B119" s="173"/>
      <c r="C119" s="173"/>
      <c r="D119" s="173"/>
      <c r="E119" s="173"/>
      <c r="F119" s="173"/>
      <c r="G119" s="173"/>
      <c r="H119" s="173"/>
      <c r="I119" s="173"/>
      <c r="J119" s="173"/>
      <c r="M119" s="56" t="s">
        <v>359</v>
      </c>
      <c r="N119" s="57"/>
      <c r="O119" s="57"/>
      <c r="P119" s="57"/>
      <c r="Q119" s="57">
        <v>1</v>
      </c>
      <c r="R119" s="57"/>
      <c r="S119" s="57">
        <v>1</v>
      </c>
    </row>
    <row r="120" spans="1:19" x14ac:dyDescent="0.3">
      <c r="A120" s="173"/>
      <c r="B120" s="173"/>
      <c r="C120" s="173"/>
      <c r="D120" s="173"/>
      <c r="E120" s="173"/>
      <c r="F120" s="173"/>
      <c r="G120" s="173"/>
      <c r="H120" s="173"/>
      <c r="I120" s="173"/>
      <c r="J120" s="173"/>
      <c r="M120" s="56" t="s">
        <v>311</v>
      </c>
      <c r="N120" s="57"/>
      <c r="O120" s="57"/>
      <c r="P120" s="57"/>
      <c r="Q120" s="57"/>
      <c r="R120" s="57">
        <v>1</v>
      </c>
      <c r="S120" s="57">
        <v>1</v>
      </c>
    </row>
    <row r="121" spans="1:19" x14ac:dyDescent="0.3">
      <c r="A121" s="173"/>
      <c r="B121" s="173"/>
      <c r="C121" s="173"/>
      <c r="D121" s="173"/>
      <c r="E121" s="173"/>
      <c r="F121" s="173"/>
      <c r="G121" s="173"/>
      <c r="H121" s="173"/>
      <c r="I121" s="173"/>
      <c r="J121" s="173"/>
      <c r="M121" s="56" t="s">
        <v>415</v>
      </c>
      <c r="N121" s="57"/>
      <c r="O121" s="57"/>
      <c r="P121" s="57"/>
      <c r="Q121" s="57"/>
      <c r="R121" s="57">
        <v>1</v>
      </c>
      <c r="S121" s="57">
        <v>1</v>
      </c>
    </row>
    <row r="122" spans="1:19" x14ac:dyDescent="0.3">
      <c r="A122" s="173"/>
      <c r="B122" s="173"/>
      <c r="C122" s="173"/>
      <c r="D122" s="173"/>
      <c r="E122" s="173"/>
      <c r="F122" s="173"/>
      <c r="G122" s="173"/>
      <c r="H122" s="173"/>
      <c r="I122" s="173"/>
      <c r="J122" s="173"/>
      <c r="M122" s="56" t="s">
        <v>360</v>
      </c>
      <c r="N122" s="57"/>
      <c r="O122" s="57"/>
      <c r="P122" s="57">
        <v>1</v>
      </c>
      <c r="Q122" s="57"/>
      <c r="R122" s="57"/>
      <c r="S122" s="57">
        <v>1</v>
      </c>
    </row>
    <row r="123" spans="1:19" ht="19.5" thickBot="1" x14ac:dyDescent="0.35">
      <c r="A123" s="173"/>
      <c r="B123" s="173"/>
      <c r="C123" s="173"/>
      <c r="D123" s="173"/>
      <c r="E123" s="173"/>
      <c r="F123" s="173"/>
      <c r="G123" s="173"/>
      <c r="H123" s="173"/>
      <c r="I123" s="173"/>
      <c r="J123" s="173"/>
      <c r="M123" s="352" t="s">
        <v>121</v>
      </c>
      <c r="N123" s="353">
        <v>1</v>
      </c>
      <c r="O123" s="353"/>
      <c r="P123" s="353">
        <v>8200</v>
      </c>
      <c r="Q123" s="353">
        <v>28175</v>
      </c>
      <c r="R123" s="353">
        <v>23608</v>
      </c>
      <c r="S123" s="353">
        <v>59984</v>
      </c>
    </row>
    <row r="124" spans="1:19" ht="19.5" thickTop="1" x14ac:dyDescent="0.3">
      <c r="J124" s="173"/>
    </row>
    <row r="125" spans="1:19" x14ac:dyDescent="0.3">
      <c r="J125" s="173"/>
    </row>
    <row r="126" spans="1:19" x14ac:dyDescent="0.3">
      <c r="J126" s="173"/>
    </row>
    <row r="127" spans="1:19" x14ac:dyDescent="0.3">
      <c r="J127" s="173"/>
    </row>
    <row r="128" spans="1:19" ht="19.5" thickBot="1" x14ac:dyDescent="0.35">
      <c r="J128" s="173"/>
    </row>
    <row r="129" spans="10:19" ht="32.25" thickTop="1" thickBot="1" x14ac:dyDescent="0.35">
      <c r="J129" s="173"/>
      <c r="M129" s="68" t="s">
        <v>132</v>
      </c>
      <c r="N129" s="69">
        <v>2014</v>
      </c>
      <c r="O129" s="69">
        <v>2015</v>
      </c>
      <c r="P129" s="69">
        <v>2016</v>
      </c>
      <c r="Q129" s="69">
        <v>2017</v>
      </c>
      <c r="R129" s="69">
        <v>2018</v>
      </c>
      <c r="S129" s="88" t="s">
        <v>121</v>
      </c>
    </row>
    <row r="130" spans="10:19" ht="19.5" thickTop="1" x14ac:dyDescent="0.3">
      <c r="J130" s="173"/>
      <c r="M130" s="474" t="s">
        <v>382</v>
      </c>
      <c r="N130" s="70"/>
      <c r="O130" s="71"/>
      <c r="P130" s="71">
        <v>6009</v>
      </c>
      <c r="Q130" s="71">
        <v>14561</v>
      </c>
      <c r="R130" s="71">
        <v>6698</v>
      </c>
      <c r="S130" s="72">
        <v>27268</v>
      </c>
    </row>
    <row r="131" spans="10:19" x14ac:dyDescent="0.3">
      <c r="J131" s="173"/>
      <c r="M131" s="475" t="s">
        <v>383</v>
      </c>
      <c r="N131" s="340">
        <v>1</v>
      </c>
      <c r="O131" s="341">
        <v>4</v>
      </c>
      <c r="P131" s="341">
        <v>2662</v>
      </c>
      <c r="Q131" s="341">
        <v>8451</v>
      </c>
      <c r="R131" s="341">
        <v>5391</v>
      </c>
      <c r="S131" s="342">
        <v>16509</v>
      </c>
    </row>
    <row r="132" spans="10:19" x14ac:dyDescent="0.3">
      <c r="J132" s="173"/>
      <c r="M132" s="475" t="s">
        <v>384</v>
      </c>
      <c r="N132" s="340">
        <v>1</v>
      </c>
      <c r="O132" s="341"/>
      <c r="P132" s="341">
        <v>2935</v>
      </c>
      <c r="Q132" s="341">
        <v>8970</v>
      </c>
      <c r="R132" s="341">
        <v>4374</v>
      </c>
      <c r="S132" s="342">
        <v>16280</v>
      </c>
    </row>
    <row r="133" spans="10:19" ht="19.5" thickBot="1" x14ac:dyDescent="0.35">
      <c r="J133" s="173"/>
      <c r="M133" s="476" t="s">
        <v>385</v>
      </c>
      <c r="N133" s="473">
        <v>2</v>
      </c>
      <c r="O133" s="353">
        <v>4</v>
      </c>
      <c r="P133" s="353">
        <v>11606</v>
      </c>
      <c r="Q133" s="353">
        <v>31982</v>
      </c>
      <c r="R133" s="353">
        <v>16463</v>
      </c>
      <c r="S133" s="354">
        <v>60057</v>
      </c>
    </row>
    <row r="134" spans="10:19" ht="19.5" thickTop="1" x14ac:dyDescent="0.3">
      <c r="J134" s="173"/>
      <c r="M134" s="343" t="s">
        <v>364</v>
      </c>
      <c r="N134" s="338">
        <f>N9-N130</f>
        <v>0</v>
      </c>
      <c r="O134" s="345">
        <f>P9-O130</f>
        <v>5102</v>
      </c>
      <c r="P134" s="349">
        <f>Q9-P130</f>
        <v>6727</v>
      </c>
      <c r="Q134" s="349">
        <f>R9-Q130</f>
        <v>-5018</v>
      </c>
      <c r="R134" s="345">
        <f>S9-R130</f>
        <v>20683</v>
      </c>
      <c r="S134" s="346" t="e">
        <f>#REF!-S130</f>
        <v>#REF!</v>
      </c>
    </row>
    <row r="135" spans="10:19" x14ac:dyDescent="0.3">
      <c r="J135" s="173"/>
      <c r="M135" s="344" t="s">
        <v>365</v>
      </c>
      <c r="N135" s="339">
        <f>N48-N131</f>
        <v>-1</v>
      </c>
      <c r="O135" s="347">
        <f>P48-O131</f>
        <v>2145</v>
      </c>
      <c r="P135" s="350">
        <f>Q48-P131</f>
        <v>5693</v>
      </c>
      <c r="Q135" s="350">
        <f>R48-Q131</f>
        <v>-1883</v>
      </c>
      <c r="R135" s="347">
        <f>S48-R131</f>
        <v>11681</v>
      </c>
      <c r="S135" s="348" t="e">
        <f>#REF!-S131</f>
        <v>#REF!</v>
      </c>
    </row>
    <row r="136" spans="10:19" x14ac:dyDescent="0.3">
      <c r="J136" s="173"/>
      <c r="M136" s="344" t="s">
        <v>366</v>
      </c>
      <c r="N136" s="339">
        <f>N93-N132</f>
        <v>-1</v>
      </c>
      <c r="O136" s="347">
        <f>P93-O132</f>
        <v>3</v>
      </c>
      <c r="P136" s="350">
        <f>Q93-P132</f>
        <v>-2762</v>
      </c>
      <c r="Q136" s="350">
        <f>R93-Q132</f>
        <v>-8832</v>
      </c>
      <c r="R136" s="347">
        <f>S93-R132</f>
        <v>-4060</v>
      </c>
      <c r="S136" s="348" t="e">
        <f>#REF!-S132</f>
        <v>#REF!</v>
      </c>
    </row>
    <row r="137" spans="10:19" ht="19.5" thickBot="1" x14ac:dyDescent="0.35">
      <c r="J137" s="173"/>
      <c r="M137" s="477" t="s">
        <v>363</v>
      </c>
      <c r="N137" s="364">
        <f>N123-N133</f>
        <v>-1</v>
      </c>
      <c r="O137" s="365">
        <f>P123-O133</f>
        <v>8196</v>
      </c>
      <c r="P137" s="366">
        <f>Q123-P133</f>
        <v>16569</v>
      </c>
      <c r="Q137" s="366">
        <f>R123-Q133</f>
        <v>-8374</v>
      </c>
      <c r="R137" s="365">
        <f>S123-R133</f>
        <v>43521</v>
      </c>
      <c r="S137" s="367" t="e">
        <f>#REF!-S133</f>
        <v>#REF!</v>
      </c>
    </row>
    <row r="138" spans="10:19" ht="19.5" thickTop="1" x14ac:dyDescent="0.3">
      <c r="J138" s="173"/>
    </row>
    <row r="139" spans="10:19" x14ac:dyDescent="0.3">
      <c r="J139" s="173"/>
    </row>
    <row r="140" spans="10:19" x14ac:dyDescent="0.3">
      <c r="J140" s="173"/>
    </row>
    <row r="141" spans="10:19" x14ac:dyDescent="0.3">
      <c r="J141" s="173"/>
    </row>
    <row r="142" spans="10:19" x14ac:dyDescent="0.3">
      <c r="J142" s="173"/>
    </row>
    <row r="143" spans="10:19" x14ac:dyDescent="0.3">
      <c r="J143" s="173"/>
    </row>
    <row r="144" spans="10:19" x14ac:dyDescent="0.3">
      <c r="J144" s="173"/>
    </row>
    <row r="145" spans="10:10" x14ac:dyDescent="0.3">
      <c r="J145" s="173"/>
    </row>
    <row r="146" spans="10:10" x14ac:dyDescent="0.3">
      <c r="J146" s="173"/>
    </row>
    <row r="147" spans="10:10" x14ac:dyDescent="0.3">
      <c r="J147" s="173"/>
    </row>
    <row r="148" spans="10:10" x14ac:dyDescent="0.3">
      <c r="J148" s="173"/>
    </row>
    <row r="149" spans="10:10" x14ac:dyDescent="0.3">
      <c r="J149" s="173"/>
    </row>
    <row r="150" spans="10:10" x14ac:dyDescent="0.3">
      <c r="J150" s="173"/>
    </row>
    <row r="151" spans="10:10" x14ac:dyDescent="0.3">
      <c r="J151" s="173"/>
    </row>
    <row r="152" spans="10:10" x14ac:dyDescent="0.3">
      <c r="J152" s="173"/>
    </row>
    <row r="153" spans="10:10" x14ac:dyDescent="0.3">
      <c r="J153" s="173"/>
    </row>
    <row r="154" spans="10:10" x14ac:dyDescent="0.3">
      <c r="J154" s="173"/>
    </row>
    <row r="155" spans="10:10" x14ac:dyDescent="0.3">
      <c r="J155" s="173"/>
    </row>
    <row r="156" spans="10:10" x14ac:dyDescent="0.3">
      <c r="J156" s="173"/>
    </row>
    <row r="157" spans="10:10" x14ac:dyDescent="0.3">
      <c r="J157" s="173"/>
    </row>
    <row r="158" spans="10:10" x14ac:dyDescent="0.3">
      <c r="J158" s="173"/>
    </row>
    <row r="159" spans="10:10" x14ac:dyDescent="0.3">
      <c r="J159" s="173"/>
    </row>
  </sheetData>
  <mergeCells count="9">
    <mergeCell ref="K89:K97"/>
    <mergeCell ref="U6:AB6"/>
    <mergeCell ref="AD6:AJ6"/>
    <mergeCell ref="AL6:AR6"/>
    <mergeCell ref="A6:I6"/>
    <mergeCell ref="K58:K66"/>
    <mergeCell ref="K68:K87"/>
    <mergeCell ref="K10:K56"/>
    <mergeCell ref="M6:S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W31"/>
  <sheetViews>
    <sheetView zoomScale="50" zoomScaleNormal="50" workbookViewId="0">
      <selection activeCell="K31" sqref="K31"/>
    </sheetView>
  </sheetViews>
  <sheetFormatPr baseColWidth="10" defaultRowHeight="15" x14ac:dyDescent="0.25"/>
  <cols>
    <col min="1" max="1" width="5" customWidth="1"/>
    <col min="2" max="2" width="36.140625" customWidth="1"/>
    <col min="3" max="3" width="22.5703125" customWidth="1"/>
    <col min="4" max="4" width="20" customWidth="1"/>
    <col min="5" max="5" width="21.7109375" customWidth="1"/>
    <col min="6" max="6" width="23.42578125" customWidth="1"/>
    <col min="7" max="7" width="23.5703125" customWidth="1"/>
    <col min="8" max="8" width="15.7109375" customWidth="1"/>
    <col min="9" max="9" width="19.7109375" customWidth="1"/>
    <col min="10" max="10" width="15.7109375" style="173" customWidth="1"/>
    <col min="11" max="13" width="15.7109375" customWidth="1"/>
    <col min="14" max="14" width="3.42578125" style="173" customWidth="1"/>
    <col min="15" max="15" width="31.28515625" bestFit="1" customWidth="1"/>
    <col min="16" max="16" width="22.85546875" customWidth="1"/>
    <col min="17" max="17" width="20.5703125" bestFit="1" customWidth="1"/>
    <col min="18" max="18" width="22.140625" customWidth="1"/>
    <col min="19" max="19" width="23.42578125" customWidth="1"/>
    <col min="21" max="21" width="20" customWidth="1"/>
    <col min="22" max="22" width="18.140625" customWidth="1"/>
    <col min="23" max="23" width="21.85546875" customWidth="1"/>
  </cols>
  <sheetData>
    <row r="1" spans="1:23" x14ac:dyDescent="0.25">
      <c r="A1" s="13" t="s">
        <v>39</v>
      </c>
      <c r="B1" s="14"/>
      <c r="C1" s="14"/>
      <c r="D1" s="15"/>
      <c r="E1" s="15"/>
      <c r="F1" s="15"/>
      <c r="G1" s="15"/>
      <c r="H1" s="15"/>
      <c r="I1" s="15"/>
      <c r="J1" s="14"/>
    </row>
    <row r="2" spans="1:23" x14ac:dyDescent="0.25">
      <c r="A2" s="13" t="s">
        <v>40</v>
      </c>
      <c r="B2" s="14"/>
      <c r="C2" s="14"/>
      <c r="D2" s="15"/>
      <c r="E2" s="15"/>
      <c r="F2" s="15"/>
      <c r="G2" s="15"/>
      <c r="H2" s="15"/>
      <c r="I2" s="15"/>
      <c r="J2" s="14"/>
    </row>
    <row r="3" spans="1:23" x14ac:dyDescent="0.25">
      <c r="A3" s="13" t="s">
        <v>41</v>
      </c>
      <c r="B3" s="14"/>
      <c r="C3" s="14"/>
      <c r="D3" s="15"/>
      <c r="E3" s="15"/>
      <c r="F3" s="15"/>
      <c r="G3" s="15"/>
      <c r="H3" s="15"/>
      <c r="I3" s="15"/>
      <c r="J3" s="14"/>
    </row>
    <row r="4" spans="1:23" x14ac:dyDescent="0.25">
      <c r="A4" s="13" t="s">
        <v>42</v>
      </c>
      <c r="B4" s="14"/>
      <c r="C4" s="14"/>
      <c r="D4" s="15"/>
      <c r="E4" s="15"/>
      <c r="F4" s="15"/>
      <c r="G4" s="15"/>
      <c r="H4" s="15"/>
      <c r="I4" s="15"/>
      <c r="J4" s="14"/>
    </row>
    <row r="5" spans="1:23" x14ac:dyDescent="0.25">
      <c r="A5" s="15"/>
      <c r="B5" s="14"/>
      <c r="C5" s="14"/>
      <c r="D5" s="15"/>
      <c r="E5" s="15"/>
      <c r="F5" s="15"/>
      <c r="G5" s="15"/>
      <c r="H5" s="15"/>
      <c r="I5" s="15"/>
      <c r="J5" s="14"/>
    </row>
    <row r="6" spans="1:23" x14ac:dyDescent="0.25">
      <c r="A6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 x14ac:dyDescent="0.25">
      <c r="A7" s="15"/>
      <c r="B7" s="14"/>
      <c r="C7" s="14"/>
      <c r="D7" s="15"/>
      <c r="E7" s="15"/>
      <c r="F7" s="15"/>
      <c r="G7" s="15"/>
      <c r="H7" s="15"/>
      <c r="I7" s="15"/>
      <c r="J7" s="14"/>
    </row>
    <row r="8" spans="1:23" x14ac:dyDescent="0.25">
      <c r="A8" t="s">
        <v>64</v>
      </c>
      <c r="B8" s="15"/>
      <c r="C8" s="14"/>
      <c r="D8" s="15"/>
      <c r="E8" s="15"/>
      <c r="F8" s="15"/>
      <c r="G8" s="15"/>
      <c r="H8" s="15"/>
      <c r="I8" s="15"/>
      <c r="J8" s="14"/>
    </row>
    <row r="9" spans="1:23" x14ac:dyDescent="0.25">
      <c r="A9" t="s">
        <v>65</v>
      </c>
      <c r="B9" s="15"/>
      <c r="C9" s="16"/>
      <c r="D9" s="15"/>
      <c r="E9" s="15"/>
      <c r="F9" s="15"/>
      <c r="G9" s="15"/>
      <c r="H9" s="15"/>
      <c r="I9" s="15"/>
      <c r="J9" s="14"/>
    </row>
    <row r="11" spans="1:23" ht="15.75" thickBot="1" x14ac:dyDescent="0.3"/>
    <row r="12" spans="1:23" ht="15" customHeight="1" thickTop="1" x14ac:dyDescent="0.25">
      <c r="B12" s="693" t="s">
        <v>406</v>
      </c>
      <c r="C12" s="693"/>
      <c r="D12" s="693"/>
      <c r="E12" s="694"/>
      <c r="F12" s="687" t="s">
        <v>49</v>
      </c>
      <c r="G12" s="689"/>
      <c r="H12" s="690" t="s">
        <v>50</v>
      </c>
      <c r="I12" s="691"/>
      <c r="J12" s="692"/>
      <c r="K12" s="687" t="s">
        <v>51</v>
      </c>
      <c r="L12" s="688"/>
      <c r="M12" s="689"/>
      <c r="N12" s="33"/>
    </row>
    <row r="13" spans="1:23" ht="75" x14ac:dyDescent="0.25">
      <c r="B13" s="268" t="s">
        <v>52</v>
      </c>
      <c r="C13" s="268" t="s">
        <v>53</v>
      </c>
      <c r="D13" s="268" t="s">
        <v>54</v>
      </c>
      <c r="E13" s="267" t="s">
        <v>282</v>
      </c>
      <c r="F13" s="403" t="s">
        <v>55</v>
      </c>
      <c r="G13" s="404" t="s">
        <v>56</v>
      </c>
      <c r="H13" s="393" t="s">
        <v>284</v>
      </c>
      <c r="I13" s="269" t="s">
        <v>285</v>
      </c>
      <c r="J13" s="394" t="s">
        <v>286</v>
      </c>
      <c r="K13" s="403" t="s">
        <v>57</v>
      </c>
      <c r="L13" s="270" t="s">
        <v>58</v>
      </c>
      <c r="M13" s="404" t="s">
        <v>283</v>
      </c>
      <c r="N13" s="33"/>
    </row>
    <row r="14" spans="1:23" ht="15.75" x14ac:dyDescent="0.25">
      <c r="B14" s="526" t="s">
        <v>60</v>
      </c>
      <c r="C14" s="271">
        <v>7080</v>
      </c>
      <c r="D14" s="271">
        <v>1081</v>
      </c>
      <c r="E14" s="392">
        <v>1770</v>
      </c>
      <c r="F14" s="409">
        <v>432.4</v>
      </c>
      <c r="G14" s="410">
        <v>1337.6</v>
      </c>
      <c r="H14" s="395">
        <v>656</v>
      </c>
      <c r="I14" s="271">
        <v>2458</v>
      </c>
      <c r="J14" s="533">
        <f>+H14+I14</f>
        <v>3114</v>
      </c>
      <c r="K14" s="405">
        <f t="shared" ref="K14:K19" si="0">H14/$D14</f>
        <v>0.60684551341350601</v>
      </c>
      <c r="L14" s="527">
        <f t="shared" ref="L14:L19" si="1">$I14/$G14</f>
        <v>1.8376196172248804</v>
      </c>
      <c r="M14" s="536">
        <f t="shared" ref="M14:M19" si="2">($H14+$I14)/$E14</f>
        <v>1.7593220338983051</v>
      </c>
      <c r="N14" s="528"/>
    </row>
    <row r="15" spans="1:23" x14ac:dyDescent="0.25">
      <c r="B15" s="381" t="s">
        <v>61</v>
      </c>
      <c r="C15" s="382">
        <v>1516</v>
      </c>
      <c r="D15" s="383">
        <v>216</v>
      </c>
      <c r="E15" s="406">
        <v>379</v>
      </c>
      <c r="F15" s="396">
        <v>86.4</v>
      </c>
      <c r="G15" s="411">
        <v>292.60000000000002</v>
      </c>
      <c r="H15" s="396">
        <v>93</v>
      </c>
      <c r="I15" s="384">
        <v>386</v>
      </c>
      <c r="J15" s="397">
        <f t="shared" ref="J15:J19" si="3">+H15+I15</f>
        <v>479</v>
      </c>
      <c r="K15" s="537">
        <f t="shared" si="0"/>
        <v>0.43055555555555558</v>
      </c>
      <c r="L15" s="534">
        <f t="shared" si="1"/>
        <v>1.3192071086807928</v>
      </c>
      <c r="M15" s="538">
        <f t="shared" si="2"/>
        <v>1.2638522427440633</v>
      </c>
      <c r="N15" s="528"/>
    </row>
    <row r="16" spans="1:23" x14ac:dyDescent="0.25">
      <c r="B16" s="385" t="s">
        <v>36</v>
      </c>
      <c r="C16" s="386">
        <v>3627</v>
      </c>
      <c r="D16" s="387">
        <v>665</v>
      </c>
      <c r="E16" s="407">
        <v>906.75</v>
      </c>
      <c r="F16" s="398">
        <v>266</v>
      </c>
      <c r="G16" s="412">
        <v>640.75</v>
      </c>
      <c r="H16" s="398">
        <v>378</v>
      </c>
      <c r="I16" s="388">
        <v>1125</v>
      </c>
      <c r="J16" s="399">
        <f t="shared" si="3"/>
        <v>1503</v>
      </c>
      <c r="K16" s="539">
        <f t="shared" si="0"/>
        <v>0.56842105263157894</v>
      </c>
      <c r="L16" s="535">
        <f t="shared" si="1"/>
        <v>1.7557549746390948</v>
      </c>
      <c r="M16" s="540">
        <f t="shared" si="2"/>
        <v>1.6575682382133996</v>
      </c>
      <c r="N16" s="528"/>
    </row>
    <row r="17" spans="2:14" x14ac:dyDescent="0.25">
      <c r="B17" s="385" t="s">
        <v>35</v>
      </c>
      <c r="C17" s="386">
        <v>1468</v>
      </c>
      <c r="D17" s="387">
        <v>190</v>
      </c>
      <c r="E17" s="407">
        <v>367</v>
      </c>
      <c r="F17" s="398">
        <v>76</v>
      </c>
      <c r="G17" s="412">
        <v>291</v>
      </c>
      <c r="H17" s="398">
        <v>180</v>
      </c>
      <c r="I17" s="388">
        <v>652</v>
      </c>
      <c r="J17" s="399">
        <f t="shared" si="3"/>
        <v>832</v>
      </c>
      <c r="K17" s="539">
        <f t="shared" si="0"/>
        <v>0.94736842105263153</v>
      </c>
      <c r="L17" s="535">
        <f t="shared" si="1"/>
        <v>2.2405498281786942</v>
      </c>
      <c r="M17" s="540">
        <f t="shared" si="2"/>
        <v>2.2670299727520438</v>
      </c>
      <c r="N17" s="528"/>
    </row>
    <row r="18" spans="2:14" x14ac:dyDescent="0.25">
      <c r="B18" s="385" t="s">
        <v>34</v>
      </c>
      <c r="C18" s="386">
        <v>443</v>
      </c>
      <c r="D18" s="387">
        <v>9</v>
      </c>
      <c r="E18" s="407">
        <v>110.75</v>
      </c>
      <c r="F18" s="398">
        <v>3.6</v>
      </c>
      <c r="G18" s="412">
        <v>107.15</v>
      </c>
      <c r="H18" s="398">
        <v>5</v>
      </c>
      <c r="I18" s="388">
        <v>290</v>
      </c>
      <c r="J18" s="399">
        <f t="shared" si="3"/>
        <v>295</v>
      </c>
      <c r="K18" s="539">
        <f t="shared" si="0"/>
        <v>0.55555555555555558</v>
      </c>
      <c r="L18" s="535">
        <f t="shared" si="1"/>
        <v>2.7064862342510496</v>
      </c>
      <c r="M18" s="540">
        <f t="shared" si="2"/>
        <v>2.6636568848758464</v>
      </c>
      <c r="N18" s="528"/>
    </row>
    <row r="19" spans="2:14" ht="15.75" thickBot="1" x14ac:dyDescent="0.3">
      <c r="B19" s="389" t="s">
        <v>62</v>
      </c>
      <c r="C19" s="390">
        <v>26</v>
      </c>
      <c r="D19" s="391">
        <v>1</v>
      </c>
      <c r="E19" s="408">
        <v>6.5</v>
      </c>
      <c r="F19" s="400">
        <v>1</v>
      </c>
      <c r="G19" s="413">
        <v>5.5</v>
      </c>
      <c r="H19" s="400">
        <v>1</v>
      </c>
      <c r="I19" s="401">
        <v>5</v>
      </c>
      <c r="J19" s="402">
        <f t="shared" si="3"/>
        <v>6</v>
      </c>
      <c r="K19" s="541">
        <f t="shared" si="0"/>
        <v>1</v>
      </c>
      <c r="L19" s="542">
        <f t="shared" si="1"/>
        <v>0.90909090909090906</v>
      </c>
      <c r="M19" s="543">
        <f t="shared" si="2"/>
        <v>0.92307692307692313</v>
      </c>
      <c r="N19" s="528"/>
    </row>
    <row r="20" spans="2:14" ht="15.75" thickTop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2:14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2:14" ht="15.75" thickBot="1" x14ac:dyDescent="0.3">
      <c r="B22" s="679" t="s">
        <v>396</v>
      </c>
      <c r="C22" s="679"/>
      <c r="D22" s="679"/>
      <c r="E22" s="33"/>
      <c r="F22" s="33"/>
      <c r="G22" s="33"/>
      <c r="H22" s="33"/>
      <c r="I22" s="33"/>
      <c r="J22" s="33"/>
    </row>
    <row r="23" spans="2:14" ht="16.5" thickTop="1" thickBot="1" x14ac:dyDescent="0.3">
      <c r="B23" s="680" t="s">
        <v>397</v>
      </c>
      <c r="C23" s="681"/>
      <c r="D23" s="681"/>
      <c r="E23" s="682" t="s">
        <v>398</v>
      </c>
      <c r="F23" s="683"/>
      <c r="G23" s="684"/>
      <c r="H23" s="685" t="s">
        <v>399</v>
      </c>
      <c r="I23" s="686"/>
      <c r="J23" s="531"/>
    </row>
    <row r="24" spans="2:14" ht="55.5" customHeight="1" thickTop="1" thickBot="1" x14ac:dyDescent="0.3">
      <c r="B24" s="557" t="s">
        <v>52</v>
      </c>
      <c r="C24" s="557" t="s">
        <v>53</v>
      </c>
      <c r="D24" s="558" t="s">
        <v>282</v>
      </c>
      <c r="E24" s="559" t="s">
        <v>400</v>
      </c>
      <c r="F24" s="560" t="s">
        <v>401</v>
      </c>
      <c r="G24" s="545" t="s">
        <v>402</v>
      </c>
      <c r="H24" s="561" t="s">
        <v>403</v>
      </c>
      <c r="I24" s="562" t="s">
        <v>404</v>
      </c>
      <c r="J24" s="563" t="s">
        <v>405</v>
      </c>
    </row>
    <row r="25" spans="2:14" ht="16.5" thickTop="1" thickBot="1" x14ac:dyDescent="0.3">
      <c r="B25" s="573" t="s">
        <v>60</v>
      </c>
      <c r="C25" s="574">
        <v>7080</v>
      </c>
      <c r="D25" s="575">
        <v>1770</v>
      </c>
      <c r="E25" s="576">
        <v>933</v>
      </c>
      <c r="F25" s="577">
        <v>1511</v>
      </c>
      <c r="G25" s="578">
        <f>SUM(E25:F25)</f>
        <v>2444</v>
      </c>
      <c r="H25" s="579">
        <f t="shared" ref="H25:H30" si="4">F25/$D25</f>
        <v>0.85367231638418084</v>
      </c>
      <c r="I25" s="580">
        <f t="shared" ref="I25:I30" si="5">G25/$C25</f>
        <v>0.34519774011299437</v>
      </c>
      <c r="J25" s="581">
        <f t="shared" ref="J25:J30" si="6">$D25-$F25</f>
        <v>259</v>
      </c>
    </row>
    <row r="26" spans="2:14" ht="15.75" thickTop="1" x14ac:dyDescent="0.25">
      <c r="B26" s="564" t="s">
        <v>61</v>
      </c>
      <c r="C26" s="565">
        <v>1516</v>
      </c>
      <c r="D26" s="566">
        <v>379</v>
      </c>
      <c r="E26" s="567">
        <v>163</v>
      </c>
      <c r="F26" s="568">
        <v>257</v>
      </c>
      <c r="G26" s="569">
        <f t="shared" ref="G26:G30" si="7">SUM(E26:F26)</f>
        <v>420</v>
      </c>
      <c r="H26" s="570">
        <f t="shared" si="4"/>
        <v>0.67810026385224276</v>
      </c>
      <c r="I26" s="571">
        <f t="shared" si="5"/>
        <v>0.27704485488126651</v>
      </c>
      <c r="J26" s="572">
        <f t="shared" si="6"/>
        <v>122</v>
      </c>
    </row>
    <row r="27" spans="2:14" x14ac:dyDescent="0.25">
      <c r="B27" s="532" t="s">
        <v>36</v>
      </c>
      <c r="C27" s="529">
        <v>3627</v>
      </c>
      <c r="D27" s="544">
        <v>906.75</v>
      </c>
      <c r="E27" s="546">
        <v>491</v>
      </c>
      <c r="F27" s="530">
        <v>663</v>
      </c>
      <c r="G27" s="547">
        <f t="shared" si="7"/>
        <v>1154</v>
      </c>
      <c r="H27" s="551">
        <f t="shared" si="4"/>
        <v>0.73118279569892475</v>
      </c>
      <c r="I27" s="552">
        <f t="shared" si="5"/>
        <v>0.3181692859112214</v>
      </c>
      <c r="J27" s="555">
        <f t="shared" si="6"/>
        <v>243.75</v>
      </c>
    </row>
    <row r="28" spans="2:14" x14ac:dyDescent="0.25">
      <c r="B28" s="532" t="s">
        <v>35</v>
      </c>
      <c r="C28" s="529">
        <v>1468</v>
      </c>
      <c r="D28" s="544">
        <v>367</v>
      </c>
      <c r="E28" s="546">
        <v>195</v>
      </c>
      <c r="F28" s="530">
        <v>455</v>
      </c>
      <c r="G28" s="547">
        <f t="shared" si="7"/>
        <v>650</v>
      </c>
      <c r="H28" s="551">
        <f t="shared" si="4"/>
        <v>1.2397820163487738</v>
      </c>
      <c r="I28" s="552">
        <f t="shared" si="5"/>
        <v>0.4427792915531335</v>
      </c>
      <c r="J28" s="555">
        <f t="shared" si="6"/>
        <v>-88</v>
      </c>
    </row>
    <row r="29" spans="2:14" x14ac:dyDescent="0.25">
      <c r="B29" s="532" t="s">
        <v>34</v>
      </c>
      <c r="C29" s="529">
        <v>443</v>
      </c>
      <c r="D29" s="544">
        <v>110.75</v>
      </c>
      <c r="E29" s="546">
        <v>83</v>
      </c>
      <c r="F29" s="530">
        <v>132</v>
      </c>
      <c r="G29" s="547">
        <f t="shared" si="7"/>
        <v>215</v>
      </c>
      <c r="H29" s="551">
        <f t="shared" si="4"/>
        <v>1.1918735891647856</v>
      </c>
      <c r="I29" s="552">
        <f t="shared" si="5"/>
        <v>0.48532731376975169</v>
      </c>
      <c r="J29" s="555">
        <f t="shared" si="6"/>
        <v>-21.25</v>
      </c>
    </row>
    <row r="30" spans="2:14" ht="15.75" thickBot="1" x14ac:dyDescent="0.3">
      <c r="B30" s="532" t="s">
        <v>62</v>
      </c>
      <c r="C30" s="529">
        <v>26</v>
      </c>
      <c r="D30" s="544">
        <v>6.5</v>
      </c>
      <c r="E30" s="548">
        <v>1</v>
      </c>
      <c r="F30" s="549">
        <v>4</v>
      </c>
      <c r="G30" s="550">
        <f t="shared" si="7"/>
        <v>5</v>
      </c>
      <c r="H30" s="553">
        <f t="shared" si="4"/>
        <v>0.61538461538461542</v>
      </c>
      <c r="I30" s="554">
        <f t="shared" si="5"/>
        <v>0.19230769230769232</v>
      </c>
      <c r="J30" s="556">
        <f t="shared" si="6"/>
        <v>2.5</v>
      </c>
    </row>
    <row r="31" spans="2:14" ht="15.75" thickTop="1" x14ac:dyDescent="0.25"/>
  </sheetData>
  <mergeCells count="8">
    <mergeCell ref="B22:D22"/>
    <mergeCell ref="B23:D23"/>
    <mergeCell ref="E23:G23"/>
    <mergeCell ref="H23:I23"/>
    <mergeCell ref="K12:M12"/>
    <mergeCell ref="H12:J12"/>
    <mergeCell ref="B12:E12"/>
    <mergeCell ref="F12:G12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T58"/>
  <sheetViews>
    <sheetView zoomScale="60" zoomScaleNormal="60" workbookViewId="0">
      <selection activeCell="B32" sqref="B32"/>
    </sheetView>
  </sheetViews>
  <sheetFormatPr baseColWidth="10" defaultRowHeight="15" x14ac:dyDescent="0.25"/>
  <cols>
    <col min="2" max="2" width="41" customWidth="1"/>
    <col min="3" max="3" width="7.42578125" bestFit="1" customWidth="1"/>
    <col min="4" max="4" width="9.85546875" bestFit="1" customWidth="1"/>
    <col min="5" max="5" width="9.7109375" bestFit="1" customWidth="1"/>
    <col min="6" max="7" width="8.7109375" bestFit="1" customWidth="1"/>
    <col min="8" max="8" width="8.5703125" bestFit="1" customWidth="1"/>
    <col min="9" max="9" width="16.7109375" bestFit="1" customWidth="1"/>
    <col min="11" max="11" width="9.28515625" customWidth="1"/>
    <col min="12" max="12" width="43.85546875" customWidth="1"/>
    <col min="13" max="18" width="7.42578125" bestFit="1" customWidth="1"/>
    <col min="19" max="19" width="16.7109375" bestFit="1" customWidth="1"/>
  </cols>
  <sheetData>
    <row r="1" spans="1:20" x14ac:dyDescent="0.25">
      <c r="A1" s="13" t="s">
        <v>39</v>
      </c>
    </row>
    <row r="2" spans="1:20" x14ac:dyDescent="0.25">
      <c r="A2" s="13" t="s">
        <v>40</v>
      </c>
    </row>
    <row r="3" spans="1:20" x14ac:dyDescent="0.25">
      <c r="A3" s="13" t="s">
        <v>41</v>
      </c>
    </row>
    <row r="4" spans="1:20" x14ac:dyDescent="0.25">
      <c r="A4" s="13" t="s">
        <v>42</v>
      </c>
    </row>
    <row r="5" spans="1:20" ht="15.75" thickBot="1" x14ac:dyDescent="0.3"/>
    <row r="6" spans="1:20" ht="22.5" thickTop="1" thickBot="1" x14ac:dyDescent="0.4">
      <c r="B6" s="698" t="s">
        <v>177</v>
      </c>
      <c r="C6" s="699"/>
      <c r="D6" s="699"/>
      <c r="E6" s="699"/>
      <c r="F6" s="699"/>
      <c r="G6" s="699"/>
      <c r="H6" s="699"/>
      <c r="I6" s="699"/>
      <c r="J6" s="700"/>
      <c r="L6" s="698" t="s">
        <v>178</v>
      </c>
      <c r="M6" s="699"/>
      <c r="N6" s="699"/>
      <c r="O6" s="699"/>
      <c r="P6" s="699"/>
      <c r="Q6" s="699"/>
      <c r="R6" s="699"/>
      <c r="S6" s="699"/>
      <c r="T6" s="700"/>
    </row>
    <row r="7" spans="1:20" ht="16.5" thickTop="1" thickBot="1" x14ac:dyDescent="0.3"/>
    <row r="8" spans="1:20" ht="16.5" thickTop="1" thickBot="1" x14ac:dyDescent="0.3">
      <c r="B8" s="450" t="s">
        <v>148</v>
      </c>
      <c r="C8" s="451">
        <v>2013</v>
      </c>
      <c r="D8" s="452">
        <v>2014</v>
      </c>
      <c r="E8" s="452">
        <v>2015</v>
      </c>
      <c r="F8" s="452">
        <v>2016</v>
      </c>
      <c r="G8" s="452">
        <v>2017</v>
      </c>
      <c r="H8" s="453">
        <v>2018</v>
      </c>
      <c r="I8" s="454" t="s">
        <v>121</v>
      </c>
      <c r="J8" s="455" t="s">
        <v>179</v>
      </c>
      <c r="L8" s="459" t="s">
        <v>176</v>
      </c>
      <c r="M8" s="460">
        <v>2013</v>
      </c>
      <c r="N8" s="460">
        <v>2014</v>
      </c>
      <c r="O8" s="460">
        <v>2015</v>
      </c>
      <c r="P8" s="460">
        <v>2016</v>
      </c>
      <c r="Q8" s="460">
        <v>2017</v>
      </c>
      <c r="R8" s="460">
        <v>2018</v>
      </c>
      <c r="S8" s="461" t="s">
        <v>121</v>
      </c>
    </row>
    <row r="9" spans="1:20" ht="16.5" thickTop="1" thickBot="1" x14ac:dyDescent="0.3">
      <c r="B9" s="272" t="s">
        <v>123</v>
      </c>
      <c r="C9" s="275"/>
      <c r="D9" s="76">
        <v>2</v>
      </c>
      <c r="E9" s="76">
        <v>98</v>
      </c>
      <c r="F9" s="76">
        <v>471</v>
      </c>
      <c r="G9" s="76">
        <v>729</v>
      </c>
      <c r="H9" s="77">
        <v>526</v>
      </c>
      <c r="I9" s="278">
        <v>1826</v>
      </c>
      <c r="J9" s="456">
        <f>I9/$I$20</f>
        <v>0.26801702627330104</v>
      </c>
      <c r="K9" s="100"/>
      <c r="L9" s="462" t="s">
        <v>36</v>
      </c>
      <c r="M9" s="463"/>
      <c r="N9" s="463">
        <v>2</v>
      </c>
      <c r="O9" s="463">
        <v>199</v>
      </c>
      <c r="P9" s="463">
        <v>696</v>
      </c>
      <c r="Q9" s="463">
        <v>1244</v>
      </c>
      <c r="R9" s="463">
        <v>1442</v>
      </c>
      <c r="S9" s="464">
        <v>3583</v>
      </c>
    </row>
    <row r="10" spans="1:20" ht="15.75" thickTop="1" x14ac:dyDescent="0.25">
      <c r="B10" s="273" t="s">
        <v>125</v>
      </c>
      <c r="C10" s="276">
        <v>1</v>
      </c>
      <c r="D10" s="74">
        <v>2</v>
      </c>
      <c r="E10" s="74">
        <v>64</v>
      </c>
      <c r="F10" s="74">
        <v>243</v>
      </c>
      <c r="G10" s="74">
        <v>627</v>
      </c>
      <c r="H10" s="75">
        <v>634</v>
      </c>
      <c r="I10" s="279">
        <v>1571</v>
      </c>
      <c r="J10" s="457">
        <f t="shared" ref="J10:J20" si="0">I10/$I$20</f>
        <v>0.23058858065463086</v>
      </c>
      <c r="K10" s="100"/>
      <c r="L10" s="79" t="s">
        <v>123</v>
      </c>
      <c r="M10" s="80"/>
      <c r="N10" s="80">
        <v>2</v>
      </c>
      <c r="O10" s="80">
        <v>90</v>
      </c>
      <c r="P10" s="80">
        <v>419</v>
      </c>
      <c r="Q10" s="80">
        <v>683</v>
      </c>
      <c r="R10" s="80">
        <v>463</v>
      </c>
      <c r="S10" s="81">
        <v>1657</v>
      </c>
      <c r="T10" s="695">
        <f>S9/I20</f>
        <v>0.52590635549684428</v>
      </c>
    </row>
    <row r="11" spans="1:20" x14ac:dyDescent="0.25">
      <c r="B11" s="273" t="s">
        <v>138</v>
      </c>
      <c r="C11" s="276"/>
      <c r="D11" s="74"/>
      <c r="E11" s="74">
        <v>87</v>
      </c>
      <c r="F11" s="74">
        <v>187</v>
      </c>
      <c r="G11" s="74">
        <v>496</v>
      </c>
      <c r="H11" s="75">
        <v>247</v>
      </c>
      <c r="I11" s="279">
        <v>1017</v>
      </c>
      <c r="J11" s="457">
        <f t="shared" si="0"/>
        <v>0.14927344782034346</v>
      </c>
      <c r="K11" s="100"/>
      <c r="L11" s="82" t="s">
        <v>125</v>
      </c>
      <c r="M11" s="78"/>
      <c r="N11" s="78"/>
      <c r="O11" s="78">
        <v>22</v>
      </c>
      <c r="P11" s="78">
        <v>90</v>
      </c>
      <c r="Q11" s="78">
        <v>133</v>
      </c>
      <c r="R11" s="78">
        <v>260</v>
      </c>
      <c r="S11" s="83">
        <v>505</v>
      </c>
      <c r="T11" s="696"/>
    </row>
    <row r="12" spans="1:20" x14ac:dyDescent="0.25">
      <c r="B12" s="273" t="s">
        <v>140</v>
      </c>
      <c r="C12" s="276"/>
      <c r="D12" s="74"/>
      <c r="E12" s="74">
        <v>18</v>
      </c>
      <c r="F12" s="74">
        <v>96</v>
      </c>
      <c r="G12" s="74">
        <v>197</v>
      </c>
      <c r="H12" s="75">
        <v>184</v>
      </c>
      <c r="I12" s="279">
        <v>495</v>
      </c>
      <c r="J12" s="457">
        <f t="shared" si="0"/>
        <v>7.2655217965653898E-2</v>
      </c>
      <c r="K12" s="100"/>
      <c r="L12" s="82" t="s">
        <v>143</v>
      </c>
      <c r="M12" s="78"/>
      <c r="N12" s="78"/>
      <c r="O12" s="78">
        <v>4</v>
      </c>
      <c r="P12" s="78">
        <v>19</v>
      </c>
      <c r="Q12" s="78">
        <v>104</v>
      </c>
      <c r="R12" s="78">
        <v>199</v>
      </c>
      <c r="S12" s="83">
        <v>326</v>
      </c>
      <c r="T12" s="696"/>
    </row>
    <row r="13" spans="1:20" x14ac:dyDescent="0.25">
      <c r="B13" s="273" t="s">
        <v>139</v>
      </c>
      <c r="C13" s="276"/>
      <c r="D13" s="74"/>
      <c r="E13" s="74">
        <v>16</v>
      </c>
      <c r="F13" s="74">
        <v>64</v>
      </c>
      <c r="G13" s="74">
        <v>142</v>
      </c>
      <c r="H13" s="75">
        <v>264</v>
      </c>
      <c r="I13" s="279">
        <v>486</v>
      </c>
      <c r="J13" s="457">
        <f>I13/$I$20</f>
        <v>7.1334214002642005E-2</v>
      </c>
      <c r="K13" s="100"/>
      <c r="L13" s="82" t="s">
        <v>140</v>
      </c>
      <c r="M13" s="78"/>
      <c r="N13" s="78"/>
      <c r="O13" s="78">
        <v>16</v>
      </c>
      <c r="P13" s="78">
        <v>67</v>
      </c>
      <c r="Q13" s="78">
        <v>120</v>
      </c>
      <c r="R13" s="78">
        <v>117</v>
      </c>
      <c r="S13" s="83">
        <v>320</v>
      </c>
      <c r="T13" s="696"/>
    </row>
    <row r="14" spans="1:20" x14ac:dyDescent="0.25">
      <c r="B14" s="273" t="s">
        <v>143</v>
      </c>
      <c r="C14" s="276"/>
      <c r="D14" s="74"/>
      <c r="E14" s="74">
        <v>4</v>
      </c>
      <c r="F14" s="74">
        <v>19</v>
      </c>
      <c r="G14" s="74">
        <v>105</v>
      </c>
      <c r="H14" s="75">
        <v>202</v>
      </c>
      <c r="I14" s="279">
        <v>330</v>
      </c>
      <c r="J14" s="457">
        <f t="shared" si="0"/>
        <v>4.8436811977102597E-2</v>
      </c>
      <c r="K14" s="100"/>
      <c r="L14" s="82" t="s">
        <v>144</v>
      </c>
      <c r="M14" s="78"/>
      <c r="N14" s="78"/>
      <c r="O14" s="78">
        <v>29</v>
      </c>
      <c r="P14" s="78">
        <v>40</v>
      </c>
      <c r="Q14" s="78">
        <v>66</v>
      </c>
      <c r="R14" s="78">
        <v>84</v>
      </c>
      <c r="S14" s="83">
        <v>219</v>
      </c>
      <c r="T14" s="696"/>
    </row>
    <row r="15" spans="1:20" x14ac:dyDescent="0.25">
      <c r="B15" s="273" t="s">
        <v>141</v>
      </c>
      <c r="C15" s="276"/>
      <c r="D15" s="74"/>
      <c r="E15" s="74">
        <v>6</v>
      </c>
      <c r="F15" s="74">
        <v>88</v>
      </c>
      <c r="G15" s="74">
        <v>94</v>
      </c>
      <c r="H15" s="75">
        <v>137</v>
      </c>
      <c r="I15" s="279">
        <v>325</v>
      </c>
      <c r="J15" s="457">
        <f t="shared" si="0"/>
        <v>4.7702920886540434E-2</v>
      </c>
      <c r="K15" s="100"/>
      <c r="L15" s="82" t="s">
        <v>139</v>
      </c>
      <c r="M15" s="78"/>
      <c r="N15" s="78"/>
      <c r="O15" s="78"/>
      <c r="P15" s="78">
        <v>8</v>
      </c>
      <c r="Q15" s="78">
        <v>34</v>
      </c>
      <c r="R15" s="78">
        <v>149</v>
      </c>
      <c r="S15" s="83">
        <v>191</v>
      </c>
      <c r="T15" s="696"/>
    </row>
    <row r="16" spans="1:20" x14ac:dyDescent="0.25">
      <c r="B16" s="273" t="s">
        <v>144</v>
      </c>
      <c r="C16" s="276"/>
      <c r="D16" s="74"/>
      <c r="E16" s="74">
        <v>38</v>
      </c>
      <c r="F16" s="74">
        <v>57</v>
      </c>
      <c r="G16" s="74">
        <v>103</v>
      </c>
      <c r="H16" s="75">
        <v>127</v>
      </c>
      <c r="I16" s="279">
        <v>325</v>
      </c>
      <c r="J16" s="457">
        <f t="shared" si="0"/>
        <v>4.7702920886540434E-2</v>
      </c>
      <c r="L16" s="82" t="s">
        <v>142</v>
      </c>
      <c r="M16" s="78"/>
      <c r="N16" s="78"/>
      <c r="O16" s="78">
        <v>13</v>
      </c>
      <c r="P16" s="78">
        <v>17</v>
      </c>
      <c r="Q16" s="78">
        <v>51</v>
      </c>
      <c r="R16" s="78">
        <v>105</v>
      </c>
      <c r="S16" s="83">
        <v>186</v>
      </c>
      <c r="T16" s="696"/>
    </row>
    <row r="17" spans="2:20" x14ac:dyDescent="0.25">
      <c r="B17" s="273" t="s">
        <v>142</v>
      </c>
      <c r="C17" s="276"/>
      <c r="D17" s="74"/>
      <c r="E17" s="74">
        <v>16</v>
      </c>
      <c r="F17" s="74">
        <v>24</v>
      </c>
      <c r="G17" s="74">
        <v>95</v>
      </c>
      <c r="H17" s="75">
        <v>128</v>
      </c>
      <c r="I17" s="279">
        <v>263</v>
      </c>
      <c r="J17" s="457">
        <f t="shared" si="0"/>
        <v>3.8602671363569645E-2</v>
      </c>
      <c r="L17" s="82" t="s">
        <v>145</v>
      </c>
      <c r="M17" s="78"/>
      <c r="N17" s="78"/>
      <c r="O17" s="78">
        <v>14</v>
      </c>
      <c r="P17" s="78">
        <v>16</v>
      </c>
      <c r="Q17" s="78">
        <v>23</v>
      </c>
      <c r="R17" s="78">
        <v>31</v>
      </c>
      <c r="S17" s="83">
        <v>84</v>
      </c>
      <c r="T17" s="696"/>
    </row>
    <row r="18" spans="2:20" x14ac:dyDescent="0.25">
      <c r="B18" s="273" t="s">
        <v>145</v>
      </c>
      <c r="C18" s="276"/>
      <c r="D18" s="74"/>
      <c r="E18" s="74">
        <v>15</v>
      </c>
      <c r="F18" s="74">
        <v>20</v>
      </c>
      <c r="G18" s="74">
        <v>32</v>
      </c>
      <c r="H18" s="75">
        <v>33</v>
      </c>
      <c r="I18" s="279">
        <v>100</v>
      </c>
      <c r="J18" s="457">
        <f t="shared" si="0"/>
        <v>1.4677821811243212E-2</v>
      </c>
      <c r="L18" s="82" t="s">
        <v>146</v>
      </c>
      <c r="M18" s="78"/>
      <c r="N18" s="78"/>
      <c r="O18" s="78">
        <v>10</v>
      </c>
      <c r="P18" s="78">
        <v>12</v>
      </c>
      <c r="Q18" s="78">
        <v>13</v>
      </c>
      <c r="R18" s="78">
        <v>21</v>
      </c>
      <c r="S18" s="83">
        <v>56</v>
      </c>
      <c r="T18" s="696"/>
    </row>
    <row r="19" spans="2:20" ht="15.75" thickBot="1" x14ac:dyDescent="0.3">
      <c r="B19" s="274" t="s">
        <v>146</v>
      </c>
      <c r="C19" s="277"/>
      <c r="D19" s="102"/>
      <c r="E19" s="102">
        <v>20</v>
      </c>
      <c r="F19" s="102">
        <v>19</v>
      </c>
      <c r="G19" s="102">
        <v>15</v>
      </c>
      <c r="H19" s="103">
        <v>21</v>
      </c>
      <c r="I19" s="280">
        <v>75</v>
      </c>
      <c r="J19" s="458">
        <f t="shared" si="0"/>
        <v>1.1008366358432409E-2</v>
      </c>
      <c r="L19" s="82" t="s">
        <v>138</v>
      </c>
      <c r="M19" s="78"/>
      <c r="N19" s="78"/>
      <c r="O19" s="78">
        <v>1</v>
      </c>
      <c r="P19" s="78">
        <v>7</v>
      </c>
      <c r="Q19" s="78">
        <v>15</v>
      </c>
      <c r="R19" s="78">
        <v>12</v>
      </c>
      <c r="S19" s="83">
        <v>35</v>
      </c>
      <c r="T19" s="696"/>
    </row>
    <row r="20" spans="2:20" ht="16.5" thickTop="1" thickBot="1" x14ac:dyDescent="0.3">
      <c r="B20" s="444" t="s">
        <v>121</v>
      </c>
      <c r="C20" s="445">
        <v>1</v>
      </c>
      <c r="D20" s="446">
        <v>4</v>
      </c>
      <c r="E20" s="446">
        <v>382</v>
      </c>
      <c r="F20" s="446">
        <v>1288</v>
      </c>
      <c r="G20" s="446">
        <v>2635</v>
      </c>
      <c r="H20" s="447">
        <v>2503</v>
      </c>
      <c r="I20" s="448">
        <v>6813</v>
      </c>
      <c r="J20" s="449">
        <f t="shared" si="0"/>
        <v>1</v>
      </c>
      <c r="L20" s="84" t="s">
        <v>141</v>
      </c>
      <c r="M20" s="85"/>
      <c r="N20" s="85"/>
      <c r="O20" s="85"/>
      <c r="P20" s="85">
        <v>1</v>
      </c>
      <c r="Q20" s="85">
        <v>2</v>
      </c>
      <c r="R20" s="85">
        <v>1</v>
      </c>
      <c r="S20" s="86">
        <v>4</v>
      </c>
      <c r="T20" s="697"/>
    </row>
    <row r="21" spans="2:20" ht="16.5" thickTop="1" thickBot="1" x14ac:dyDescent="0.3">
      <c r="B21" s="173" t="s">
        <v>407</v>
      </c>
      <c r="L21" s="465" t="s">
        <v>35</v>
      </c>
      <c r="M21" s="466"/>
      <c r="N21" s="466"/>
      <c r="O21" s="466">
        <v>65</v>
      </c>
      <c r="P21" s="466">
        <v>196</v>
      </c>
      <c r="Q21" s="466">
        <v>639</v>
      </c>
      <c r="R21" s="466">
        <v>590</v>
      </c>
      <c r="S21" s="467">
        <v>1490</v>
      </c>
    </row>
    <row r="22" spans="2:20" ht="16.5" thickTop="1" thickBot="1" x14ac:dyDescent="0.3">
      <c r="L22" s="56" t="s">
        <v>125</v>
      </c>
      <c r="M22" s="78"/>
      <c r="N22" s="78"/>
      <c r="O22" s="78">
        <v>25</v>
      </c>
      <c r="P22" s="78">
        <v>27</v>
      </c>
      <c r="Q22" s="78">
        <v>268</v>
      </c>
      <c r="R22" s="78">
        <v>157</v>
      </c>
      <c r="S22" s="83">
        <v>477</v>
      </c>
      <c r="T22" s="695">
        <f>S21/I20</f>
        <v>0.21869954498752386</v>
      </c>
    </row>
    <row r="23" spans="2:20" ht="16.5" thickTop="1" thickBot="1" x14ac:dyDescent="0.3">
      <c r="B23" s="444" t="s">
        <v>411</v>
      </c>
      <c r="C23" s="445">
        <v>1</v>
      </c>
      <c r="D23" s="446">
        <v>5</v>
      </c>
      <c r="E23" s="446">
        <v>462</v>
      </c>
      <c r="F23" s="446">
        <v>1406</v>
      </c>
      <c r="G23" s="446">
        <v>2896</v>
      </c>
      <c r="H23" s="447">
        <v>2345</v>
      </c>
      <c r="I23" s="448">
        <v>7115</v>
      </c>
      <c r="L23" s="56" t="s">
        <v>141</v>
      </c>
      <c r="M23" s="78"/>
      <c r="N23" s="78"/>
      <c r="O23" s="78">
        <v>3</v>
      </c>
      <c r="P23" s="78">
        <v>63</v>
      </c>
      <c r="Q23" s="78">
        <v>92</v>
      </c>
      <c r="R23" s="78">
        <v>135</v>
      </c>
      <c r="S23" s="83">
        <v>293</v>
      </c>
      <c r="T23" s="696"/>
    </row>
    <row r="24" spans="2:20" ht="16.5" thickTop="1" thickBot="1" x14ac:dyDescent="0.3">
      <c r="B24" s="444" t="s">
        <v>409</v>
      </c>
      <c r="C24" s="445">
        <v>1</v>
      </c>
      <c r="D24" s="446">
        <v>5</v>
      </c>
      <c r="E24" s="446">
        <v>473</v>
      </c>
      <c r="F24" s="446">
        <v>1425</v>
      </c>
      <c r="G24" s="446">
        <v>2933</v>
      </c>
      <c r="H24" s="447">
        <v>2200</v>
      </c>
      <c r="I24" s="448">
        <v>7037</v>
      </c>
      <c r="L24" s="56" t="s">
        <v>138</v>
      </c>
      <c r="M24" s="78"/>
      <c r="N24" s="78"/>
      <c r="O24" s="78">
        <v>11</v>
      </c>
      <c r="P24" s="78">
        <v>13</v>
      </c>
      <c r="Q24" s="78">
        <v>100</v>
      </c>
      <c r="R24" s="78">
        <v>163</v>
      </c>
      <c r="S24" s="83">
        <v>287</v>
      </c>
      <c r="T24" s="696"/>
    </row>
    <row r="25" spans="2:20" ht="16.5" thickTop="1" thickBot="1" x14ac:dyDescent="0.3">
      <c r="B25" s="444" t="s">
        <v>412</v>
      </c>
      <c r="C25" s="445">
        <v>1</v>
      </c>
      <c r="D25" s="446">
        <v>5</v>
      </c>
      <c r="E25" s="446">
        <v>538</v>
      </c>
      <c r="F25" s="446">
        <v>1510</v>
      </c>
      <c r="G25" s="446">
        <v>3159</v>
      </c>
      <c r="H25" s="447">
        <v>1983</v>
      </c>
      <c r="I25" s="448">
        <v>7196</v>
      </c>
      <c r="L25" s="56" t="s">
        <v>139</v>
      </c>
      <c r="M25" s="78"/>
      <c r="N25" s="78"/>
      <c r="O25" s="78">
        <v>11</v>
      </c>
      <c r="P25" s="78">
        <v>34</v>
      </c>
      <c r="Q25" s="78">
        <v>88</v>
      </c>
      <c r="R25" s="78">
        <v>62</v>
      </c>
      <c r="S25" s="83">
        <v>195</v>
      </c>
      <c r="T25" s="696"/>
    </row>
    <row r="26" spans="2:20" ht="16.5" thickTop="1" thickBot="1" x14ac:dyDescent="0.3">
      <c r="B26" s="444" t="s">
        <v>413</v>
      </c>
      <c r="C26" s="445">
        <v>1</v>
      </c>
      <c r="D26" s="446">
        <v>5</v>
      </c>
      <c r="E26" s="446">
        <v>495</v>
      </c>
      <c r="F26" s="446">
        <v>1471</v>
      </c>
      <c r="G26" s="446">
        <v>3051</v>
      </c>
      <c r="H26" s="447">
        <v>2182</v>
      </c>
      <c r="I26" s="448">
        <v>7205</v>
      </c>
      <c r="L26" s="56" t="s">
        <v>123</v>
      </c>
      <c r="M26" s="78"/>
      <c r="N26" s="78"/>
      <c r="O26" s="78">
        <v>8</v>
      </c>
      <c r="P26" s="78">
        <v>52</v>
      </c>
      <c r="Q26" s="78">
        <v>38</v>
      </c>
      <c r="R26" s="78">
        <v>47</v>
      </c>
      <c r="S26" s="83">
        <v>145</v>
      </c>
      <c r="T26" s="696"/>
    </row>
    <row r="27" spans="2:20" ht="16.5" thickTop="1" thickBot="1" x14ac:dyDescent="0.3">
      <c r="B27" s="444" t="s">
        <v>408</v>
      </c>
      <c r="C27" s="445">
        <v>1</v>
      </c>
      <c r="D27" s="446">
        <v>6</v>
      </c>
      <c r="E27" s="446">
        <v>636</v>
      </c>
      <c r="F27" s="446">
        <v>1742</v>
      </c>
      <c r="G27" s="446">
        <v>3438</v>
      </c>
      <c r="H27" s="447">
        <v>1831</v>
      </c>
      <c r="I27" s="448">
        <v>7654</v>
      </c>
      <c r="L27" s="56" t="s">
        <v>144</v>
      </c>
      <c r="M27" s="78"/>
      <c r="N27" s="78"/>
      <c r="O27" s="78">
        <v>7</v>
      </c>
      <c r="P27" s="78">
        <v>1</v>
      </c>
      <c r="Q27" s="78">
        <v>25</v>
      </c>
      <c r="R27" s="78">
        <v>8</v>
      </c>
      <c r="S27" s="83">
        <v>41</v>
      </c>
      <c r="T27" s="696"/>
    </row>
    <row r="28" spans="2:20" ht="16.5" thickTop="1" thickBot="1" x14ac:dyDescent="0.3">
      <c r="B28" s="444" t="s">
        <v>410</v>
      </c>
      <c r="C28" s="445">
        <v>1</v>
      </c>
      <c r="D28" s="446">
        <v>6</v>
      </c>
      <c r="E28" s="446">
        <v>708</v>
      </c>
      <c r="F28" s="446">
        <v>1783</v>
      </c>
      <c r="G28" s="446">
        <v>3482</v>
      </c>
      <c r="H28" s="447">
        <v>1548</v>
      </c>
      <c r="I28" s="448">
        <v>7528</v>
      </c>
      <c r="L28" s="56" t="s">
        <v>142</v>
      </c>
      <c r="M28" s="78"/>
      <c r="N28" s="78"/>
      <c r="O28" s="78"/>
      <c r="P28" s="78">
        <v>2</v>
      </c>
      <c r="Q28" s="78">
        <v>10</v>
      </c>
      <c r="R28" s="78">
        <v>9</v>
      </c>
      <c r="S28" s="83">
        <v>21</v>
      </c>
      <c r="T28" s="696"/>
    </row>
    <row r="29" spans="2:20" ht="16.5" thickTop="1" thickBot="1" x14ac:dyDescent="0.3">
      <c r="L29" s="56" t="s">
        <v>140</v>
      </c>
      <c r="M29" s="78"/>
      <c r="N29" s="78"/>
      <c r="O29" s="78"/>
      <c r="P29" s="78">
        <v>2</v>
      </c>
      <c r="Q29" s="78">
        <v>8</v>
      </c>
      <c r="R29" s="78">
        <v>7</v>
      </c>
      <c r="S29" s="83">
        <v>17</v>
      </c>
      <c r="T29" s="696"/>
    </row>
    <row r="30" spans="2:20" ht="16.5" thickTop="1" thickBot="1" x14ac:dyDescent="0.3">
      <c r="B30" s="444" t="s">
        <v>288</v>
      </c>
      <c r="C30" s="582">
        <f t="shared" ref="C30:I30" si="1">(C20-C23)/C20</f>
        <v>0</v>
      </c>
      <c r="D30" s="583">
        <f t="shared" si="1"/>
        <v>-0.25</v>
      </c>
      <c r="E30" s="583">
        <f t="shared" si="1"/>
        <v>-0.20942408376963351</v>
      </c>
      <c r="F30" s="583">
        <f t="shared" si="1"/>
        <v>-9.1614906832298143E-2</v>
      </c>
      <c r="G30" s="583">
        <f t="shared" si="1"/>
        <v>-9.9051233396584434E-2</v>
      </c>
      <c r="H30" s="584">
        <f t="shared" si="1"/>
        <v>6.3124250898921291E-2</v>
      </c>
      <c r="I30" s="583">
        <f t="shared" si="1"/>
        <v>-4.4327021869954499E-2</v>
      </c>
      <c r="L30" s="56" t="s">
        <v>145</v>
      </c>
      <c r="M30" s="78"/>
      <c r="N30" s="78"/>
      <c r="O30" s="78"/>
      <c r="P30" s="78">
        <v>2</v>
      </c>
      <c r="Q30" s="78">
        <v>9</v>
      </c>
      <c r="R30" s="78">
        <v>2</v>
      </c>
      <c r="S30" s="83">
        <v>13</v>
      </c>
      <c r="T30" s="696"/>
    </row>
    <row r="31" spans="2:20" ht="15.75" thickTop="1" x14ac:dyDescent="0.25">
      <c r="L31" s="56" t="s">
        <v>146</v>
      </c>
      <c r="M31" s="78"/>
      <c r="N31" s="78"/>
      <c r="O31" s="78"/>
      <c r="P31" s="78"/>
      <c r="Q31" s="78">
        <v>1</v>
      </c>
      <c r="R31" s="78"/>
      <c r="S31" s="83">
        <v>1</v>
      </c>
      <c r="T31" s="696"/>
    </row>
    <row r="32" spans="2:20" ht="15.75" thickBot="1" x14ac:dyDescent="0.3">
      <c r="L32" s="59"/>
      <c r="M32" s="85"/>
      <c r="N32" s="85"/>
      <c r="O32" s="85"/>
      <c r="P32" s="85"/>
      <c r="Q32" s="85"/>
      <c r="R32" s="85"/>
      <c r="S32" s="86"/>
      <c r="T32" s="697"/>
    </row>
    <row r="33" spans="12:20" ht="16.5" thickTop="1" thickBot="1" x14ac:dyDescent="0.3">
      <c r="L33" s="465" t="s">
        <v>37</v>
      </c>
      <c r="M33" s="466"/>
      <c r="N33" s="466"/>
      <c r="O33" s="466">
        <v>116</v>
      </c>
      <c r="P33" s="466">
        <v>338</v>
      </c>
      <c r="Q33" s="466">
        <v>577</v>
      </c>
      <c r="R33" s="466">
        <v>255</v>
      </c>
      <c r="S33" s="467">
        <v>1286</v>
      </c>
    </row>
    <row r="34" spans="12:20" ht="15.75" thickTop="1" x14ac:dyDescent="0.25">
      <c r="L34" s="56" t="s">
        <v>138</v>
      </c>
      <c r="M34" s="78"/>
      <c r="N34" s="78"/>
      <c r="O34" s="78">
        <v>75</v>
      </c>
      <c r="P34" s="78">
        <v>167</v>
      </c>
      <c r="Q34" s="78">
        <v>380</v>
      </c>
      <c r="R34" s="78">
        <v>71</v>
      </c>
      <c r="S34" s="83">
        <v>693</v>
      </c>
      <c r="T34" s="695">
        <f>S33/I20</f>
        <v>0.1887567884925877</v>
      </c>
    </row>
    <row r="35" spans="12:20" x14ac:dyDescent="0.25">
      <c r="L35" s="56" t="s">
        <v>125</v>
      </c>
      <c r="M35" s="78"/>
      <c r="N35" s="78"/>
      <c r="O35" s="78">
        <v>17</v>
      </c>
      <c r="P35" s="78">
        <v>94</v>
      </c>
      <c r="Q35" s="78">
        <v>118</v>
      </c>
      <c r="R35" s="78">
        <v>107</v>
      </c>
      <c r="S35" s="83">
        <v>336</v>
      </c>
      <c r="T35" s="696"/>
    </row>
    <row r="36" spans="12:20" x14ac:dyDescent="0.25">
      <c r="L36" s="56" t="s">
        <v>140</v>
      </c>
      <c r="M36" s="78"/>
      <c r="N36" s="78"/>
      <c r="O36" s="78">
        <v>1</v>
      </c>
      <c r="P36" s="78">
        <v>14</v>
      </c>
      <c r="Q36" s="78">
        <v>39</v>
      </c>
      <c r="R36" s="78">
        <v>35</v>
      </c>
      <c r="S36" s="83">
        <v>89</v>
      </c>
      <c r="T36" s="696"/>
    </row>
    <row r="37" spans="12:20" x14ac:dyDescent="0.25">
      <c r="L37" s="56" t="s">
        <v>142</v>
      </c>
      <c r="M37" s="78"/>
      <c r="N37" s="78"/>
      <c r="O37" s="78">
        <v>3</v>
      </c>
      <c r="P37" s="78">
        <v>5</v>
      </c>
      <c r="Q37" s="78">
        <v>34</v>
      </c>
      <c r="R37" s="78">
        <v>14</v>
      </c>
      <c r="S37" s="83">
        <v>56</v>
      </c>
      <c r="T37" s="696"/>
    </row>
    <row r="38" spans="12:20" x14ac:dyDescent="0.25">
      <c r="L38" s="56" t="s">
        <v>139</v>
      </c>
      <c r="M38" s="78"/>
      <c r="N38" s="78"/>
      <c r="O38" s="78">
        <v>4</v>
      </c>
      <c r="P38" s="78">
        <v>19</v>
      </c>
      <c r="Q38" s="78">
        <v>5</v>
      </c>
      <c r="R38" s="78">
        <v>28</v>
      </c>
      <c r="S38" s="83">
        <v>56</v>
      </c>
      <c r="T38" s="696"/>
    </row>
    <row r="39" spans="12:20" x14ac:dyDescent="0.25">
      <c r="L39" s="56" t="s">
        <v>141</v>
      </c>
      <c r="M39" s="78"/>
      <c r="N39" s="78"/>
      <c r="O39" s="78">
        <v>3</v>
      </c>
      <c r="P39" s="78">
        <v>21</v>
      </c>
      <c r="Q39" s="78"/>
      <c r="R39" s="78"/>
      <c r="S39" s="83">
        <v>24</v>
      </c>
      <c r="T39" s="696"/>
    </row>
    <row r="40" spans="12:20" x14ac:dyDescent="0.25">
      <c r="L40" s="56" t="s">
        <v>146</v>
      </c>
      <c r="M40" s="78"/>
      <c r="N40" s="78"/>
      <c r="O40" s="78">
        <v>10</v>
      </c>
      <c r="P40" s="78">
        <v>7</v>
      </c>
      <c r="Q40" s="78">
        <v>1</v>
      </c>
      <c r="R40" s="78"/>
      <c r="S40" s="83">
        <v>18</v>
      </c>
      <c r="T40" s="696"/>
    </row>
    <row r="41" spans="12:20" x14ac:dyDescent="0.25">
      <c r="L41" s="56" t="s">
        <v>144</v>
      </c>
      <c r="M41" s="78"/>
      <c r="N41" s="78"/>
      <c r="O41" s="78">
        <v>2</v>
      </c>
      <c r="P41" s="78">
        <v>11</v>
      </c>
      <c r="Q41" s="78"/>
      <c r="R41" s="78"/>
      <c r="S41" s="83">
        <v>13</v>
      </c>
      <c r="T41" s="696"/>
    </row>
    <row r="42" spans="12:20" ht="15.75" thickBot="1" x14ac:dyDescent="0.3">
      <c r="L42" s="59" t="s">
        <v>145</v>
      </c>
      <c r="M42" s="85"/>
      <c r="N42" s="85"/>
      <c r="O42" s="85">
        <v>1</v>
      </c>
      <c r="P42" s="85"/>
      <c r="Q42" s="85"/>
      <c r="R42" s="85"/>
      <c r="S42" s="86">
        <v>1</v>
      </c>
      <c r="T42" s="697"/>
    </row>
    <row r="43" spans="12:20" ht="16.5" thickTop="1" thickBot="1" x14ac:dyDescent="0.3">
      <c r="L43" s="465" t="s">
        <v>34</v>
      </c>
      <c r="M43" s="466">
        <v>1</v>
      </c>
      <c r="N43" s="466">
        <v>2</v>
      </c>
      <c r="O43" s="466">
        <v>2</v>
      </c>
      <c r="P43" s="466">
        <v>48</v>
      </c>
      <c r="Q43" s="466">
        <v>165</v>
      </c>
      <c r="R43" s="466">
        <v>191</v>
      </c>
      <c r="S43" s="467">
        <v>409</v>
      </c>
    </row>
    <row r="44" spans="12:20" ht="15.75" thickTop="1" x14ac:dyDescent="0.25">
      <c r="L44" s="56" t="s">
        <v>125</v>
      </c>
      <c r="M44" s="78">
        <v>1</v>
      </c>
      <c r="N44" s="78">
        <v>2</v>
      </c>
      <c r="O44" s="78"/>
      <c r="P44" s="78">
        <v>32</v>
      </c>
      <c r="Q44" s="78">
        <v>108</v>
      </c>
      <c r="R44" s="78">
        <v>110</v>
      </c>
      <c r="S44" s="83">
        <v>253</v>
      </c>
      <c r="T44" s="695">
        <f>S43/I20</f>
        <v>6.0032291207984735E-2</v>
      </c>
    </row>
    <row r="45" spans="12:20" x14ac:dyDescent="0.25">
      <c r="L45" s="56" t="s">
        <v>140</v>
      </c>
      <c r="M45" s="78"/>
      <c r="N45" s="78"/>
      <c r="O45" s="78">
        <v>1</v>
      </c>
      <c r="P45" s="78">
        <v>3</v>
      </c>
      <c r="Q45" s="78">
        <v>20</v>
      </c>
      <c r="R45" s="78">
        <v>25</v>
      </c>
      <c r="S45" s="83">
        <v>49</v>
      </c>
      <c r="T45" s="696"/>
    </row>
    <row r="46" spans="12:20" x14ac:dyDescent="0.25">
      <c r="L46" s="56" t="s">
        <v>139</v>
      </c>
      <c r="M46" s="78"/>
      <c r="N46" s="78"/>
      <c r="O46" s="78">
        <v>1</v>
      </c>
      <c r="P46" s="78">
        <v>3</v>
      </c>
      <c r="Q46" s="78">
        <v>15</v>
      </c>
      <c r="R46" s="78">
        <v>25</v>
      </c>
      <c r="S46" s="83">
        <v>44</v>
      </c>
      <c r="T46" s="696"/>
    </row>
    <row r="47" spans="12:20" x14ac:dyDescent="0.25">
      <c r="L47" s="56" t="s">
        <v>144</v>
      </c>
      <c r="M47" s="78"/>
      <c r="N47" s="78"/>
      <c r="O47" s="78"/>
      <c r="P47" s="78">
        <v>5</v>
      </c>
      <c r="Q47" s="78">
        <v>12</v>
      </c>
      <c r="R47" s="78">
        <v>10</v>
      </c>
      <c r="S47" s="83">
        <v>27</v>
      </c>
      <c r="T47" s="696"/>
    </row>
    <row r="48" spans="12:20" x14ac:dyDescent="0.25">
      <c r="L48" s="56" t="s">
        <v>123</v>
      </c>
      <c r="M48" s="78"/>
      <c r="N48" s="78"/>
      <c r="O48" s="78"/>
      <c r="P48" s="78"/>
      <c r="Q48" s="78">
        <v>8</v>
      </c>
      <c r="R48" s="78">
        <v>16</v>
      </c>
      <c r="S48" s="83">
        <v>24</v>
      </c>
      <c r="T48" s="696"/>
    </row>
    <row r="49" spans="12:20" x14ac:dyDescent="0.25">
      <c r="L49" s="56" t="s">
        <v>143</v>
      </c>
      <c r="M49" s="78"/>
      <c r="N49" s="78"/>
      <c r="O49" s="78"/>
      <c r="P49" s="78"/>
      <c r="Q49" s="78">
        <v>1</v>
      </c>
      <c r="R49" s="78">
        <v>3</v>
      </c>
      <c r="S49" s="83">
        <v>4</v>
      </c>
      <c r="T49" s="696"/>
    </row>
    <row r="50" spans="12:20" x14ac:dyDescent="0.25">
      <c r="L50" s="56" t="s">
        <v>141</v>
      </c>
      <c r="M50" s="78"/>
      <c r="N50" s="78"/>
      <c r="O50" s="78"/>
      <c r="P50" s="78">
        <v>3</v>
      </c>
      <c r="Q50" s="78"/>
      <c r="R50" s="78">
        <v>1</v>
      </c>
      <c r="S50" s="83">
        <v>4</v>
      </c>
      <c r="T50" s="696"/>
    </row>
    <row r="51" spans="12:20" x14ac:dyDescent="0.25">
      <c r="L51" s="56" t="s">
        <v>138</v>
      </c>
      <c r="M51" s="78"/>
      <c r="N51" s="78"/>
      <c r="O51" s="78"/>
      <c r="P51" s="78"/>
      <c r="Q51" s="78">
        <v>1</v>
      </c>
      <c r="R51" s="78">
        <v>1</v>
      </c>
      <c r="S51" s="83">
        <v>2</v>
      </c>
      <c r="T51" s="696"/>
    </row>
    <row r="52" spans="12:20" ht="15.75" thickBot="1" x14ac:dyDescent="0.3">
      <c r="L52" s="59" t="s">
        <v>145</v>
      </c>
      <c r="M52" s="85"/>
      <c r="N52" s="85"/>
      <c r="O52" s="85"/>
      <c r="P52" s="85">
        <v>2</v>
      </c>
      <c r="Q52" s="85"/>
      <c r="R52" s="85"/>
      <c r="S52" s="86">
        <v>2</v>
      </c>
      <c r="T52" s="697"/>
    </row>
    <row r="53" spans="12:20" ht="16.5" thickTop="1" thickBot="1" x14ac:dyDescent="0.3">
      <c r="L53" s="465" t="s">
        <v>147</v>
      </c>
      <c r="M53" s="466"/>
      <c r="N53" s="466"/>
      <c r="O53" s="466"/>
      <c r="P53" s="466"/>
      <c r="Q53" s="466"/>
      <c r="R53" s="466">
        <v>25</v>
      </c>
      <c r="S53" s="467">
        <v>25</v>
      </c>
    </row>
    <row r="54" spans="12:20" ht="16.5" thickTop="1" thickBot="1" x14ac:dyDescent="0.3">
      <c r="L54" s="59" t="s">
        <v>144</v>
      </c>
      <c r="M54" s="85"/>
      <c r="N54" s="85"/>
      <c r="O54" s="85"/>
      <c r="P54" s="85"/>
      <c r="Q54" s="85"/>
      <c r="R54" s="85">
        <v>25</v>
      </c>
      <c r="S54" s="86">
        <v>25</v>
      </c>
      <c r="T54" s="468">
        <f>S53/I20</f>
        <v>3.669455452810803E-3</v>
      </c>
    </row>
    <row r="55" spans="12:20" ht="16.5" thickTop="1" thickBot="1" x14ac:dyDescent="0.3">
      <c r="L55" s="465" t="s">
        <v>62</v>
      </c>
      <c r="M55" s="466"/>
      <c r="N55" s="466"/>
      <c r="O55" s="466"/>
      <c r="P55" s="466">
        <v>10</v>
      </c>
      <c r="Q55" s="466">
        <v>10</v>
      </c>
      <c r="R55" s="466"/>
      <c r="S55" s="467">
        <v>20</v>
      </c>
    </row>
    <row r="56" spans="12:20" ht="16.5" thickTop="1" thickBot="1" x14ac:dyDescent="0.3">
      <c r="L56" s="59" t="s">
        <v>140</v>
      </c>
      <c r="M56" s="85"/>
      <c r="N56" s="85"/>
      <c r="O56" s="85"/>
      <c r="P56" s="85">
        <v>10</v>
      </c>
      <c r="Q56" s="85">
        <v>10</v>
      </c>
      <c r="R56" s="85"/>
      <c r="S56" s="86">
        <v>20</v>
      </c>
      <c r="T56" s="469">
        <f>S55/I20</f>
        <v>2.9355643622486424E-3</v>
      </c>
    </row>
    <row r="57" spans="12:20" ht="16.5" thickTop="1" thickBot="1" x14ac:dyDescent="0.3">
      <c r="L57" s="462" t="s">
        <v>121</v>
      </c>
      <c r="M57" s="463">
        <v>1</v>
      </c>
      <c r="N57" s="463">
        <v>4</v>
      </c>
      <c r="O57" s="463">
        <v>382</v>
      </c>
      <c r="P57" s="463">
        <v>1288</v>
      </c>
      <c r="Q57" s="463">
        <v>2635</v>
      </c>
      <c r="R57" s="463">
        <v>2503</v>
      </c>
      <c r="S57" s="464">
        <v>6813</v>
      </c>
      <c r="T57" s="173"/>
    </row>
    <row r="58" spans="12:20" ht="15.75" thickTop="1" x14ac:dyDescent="0.25"/>
  </sheetData>
  <mergeCells count="6">
    <mergeCell ref="T44:T52"/>
    <mergeCell ref="B6:J6"/>
    <mergeCell ref="L6:T6"/>
    <mergeCell ref="T10:T20"/>
    <mergeCell ref="T22:T32"/>
    <mergeCell ref="T34:T4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010F5"/>
  </sheetPr>
  <dimension ref="A1:AE65"/>
  <sheetViews>
    <sheetView tabSelected="1" topLeftCell="A9" zoomScale="60" zoomScaleNormal="60" workbookViewId="0">
      <selection activeCell="M54" sqref="M54"/>
    </sheetView>
  </sheetViews>
  <sheetFormatPr baseColWidth="10" defaultRowHeight="15" x14ac:dyDescent="0.25"/>
  <cols>
    <col min="1" max="1" width="11.85546875" customWidth="1"/>
    <col min="2" max="2" width="57.28515625" customWidth="1"/>
    <col min="3" max="3" width="9.140625" customWidth="1"/>
    <col min="4" max="4" width="7.7109375" bestFit="1" customWidth="1"/>
    <col min="5" max="5" width="8" bestFit="1" customWidth="1"/>
    <col min="6" max="6" width="7.7109375" bestFit="1" customWidth="1"/>
    <col min="7" max="7" width="11.28515625" bestFit="1" customWidth="1"/>
    <col min="8" max="8" width="7.28515625" bestFit="1" customWidth="1"/>
    <col min="9" max="9" width="7.28515625" customWidth="1"/>
    <col min="10" max="10" width="11.28515625" bestFit="1" customWidth="1"/>
    <col min="11" max="13" width="7.28515625" bestFit="1" customWidth="1"/>
    <col min="14" max="14" width="7.28515625" style="173" customWidth="1"/>
    <col min="15" max="15" width="7.28515625" bestFit="1" customWidth="1"/>
    <col min="16" max="16" width="17.28515625" style="21" bestFit="1" customWidth="1"/>
    <col min="17" max="17" width="4.7109375" customWidth="1"/>
    <col min="18" max="18" width="7.7109375" bestFit="1" customWidth="1"/>
    <col min="19" max="32" width="6.7109375" customWidth="1"/>
  </cols>
  <sheetData>
    <row r="1" spans="1:31" x14ac:dyDescent="0.25">
      <c r="A1" s="13" t="s">
        <v>39</v>
      </c>
      <c r="B1" s="14"/>
      <c r="C1" s="15"/>
      <c r="D1" s="15"/>
      <c r="E1" s="15"/>
      <c r="F1" s="15"/>
    </row>
    <row r="2" spans="1:31" x14ac:dyDescent="0.25">
      <c r="A2" s="13" t="s">
        <v>40</v>
      </c>
      <c r="B2" s="14"/>
      <c r="C2" s="15"/>
      <c r="D2" s="15"/>
      <c r="E2" s="15"/>
      <c r="F2" s="15"/>
    </row>
    <row r="3" spans="1:31" x14ac:dyDescent="0.25">
      <c r="A3" s="13" t="s">
        <v>41</v>
      </c>
      <c r="B3" s="14"/>
      <c r="C3" s="15"/>
      <c r="D3" s="15"/>
      <c r="E3" s="15"/>
      <c r="F3" s="15"/>
    </row>
    <row r="4" spans="1:31" x14ac:dyDescent="0.25">
      <c r="A4" s="13" t="s">
        <v>42</v>
      </c>
      <c r="B4" s="14"/>
      <c r="C4" s="15"/>
      <c r="D4" s="15"/>
      <c r="E4" s="15"/>
      <c r="F4" s="15"/>
      <c r="AE4" s="173"/>
    </row>
    <row r="5" spans="1:31" x14ac:dyDescent="0.25">
      <c r="A5" s="15"/>
      <c r="B5" s="14"/>
      <c r="C5" s="15"/>
      <c r="D5" s="15"/>
      <c r="E5" s="15"/>
      <c r="F5" s="15"/>
    </row>
    <row r="6" spans="1:31" ht="15" customHeight="1" x14ac:dyDescent="0.25">
      <c r="B6" s="650" t="s">
        <v>149</v>
      </c>
      <c r="C6" s="650"/>
      <c r="D6" s="650"/>
      <c r="E6" s="650"/>
      <c r="F6" s="650"/>
      <c r="G6" s="650"/>
      <c r="H6" s="650"/>
      <c r="I6" s="650"/>
      <c r="J6" s="650"/>
      <c r="K6" s="650"/>
      <c r="L6" s="650"/>
      <c r="M6" s="650"/>
      <c r="N6" s="650"/>
      <c r="O6" s="650"/>
    </row>
    <row r="7" spans="1:31" x14ac:dyDescent="0.25">
      <c r="B7" s="15"/>
      <c r="C7" s="14"/>
      <c r="D7" s="14"/>
      <c r="E7" s="15"/>
      <c r="F7" s="15"/>
      <c r="G7" s="15"/>
      <c r="H7" s="15"/>
    </row>
    <row r="8" spans="1:31" x14ac:dyDescent="0.25">
      <c r="B8" s="13" t="s">
        <v>150</v>
      </c>
      <c r="C8" s="14"/>
      <c r="D8" s="14"/>
      <c r="E8" s="15"/>
      <c r="F8" s="15"/>
      <c r="G8" s="15"/>
      <c r="H8" s="15"/>
    </row>
    <row r="9" spans="1:31" x14ac:dyDescent="0.25">
      <c r="B9" s="15">
        <v>1</v>
      </c>
      <c r="C9" s="15"/>
      <c r="D9" s="16"/>
      <c r="E9" s="15"/>
      <c r="F9" s="15"/>
      <c r="G9" s="15"/>
      <c r="H9" s="15"/>
    </row>
    <row r="10" spans="1:31" x14ac:dyDescent="0.25">
      <c r="B10" s="17" t="s">
        <v>46</v>
      </c>
      <c r="C10" s="17"/>
      <c r="D10" s="18"/>
      <c r="E10" s="15"/>
      <c r="F10" s="15"/>
      <c r="G10" s="15"/>
      <c r="H10" s="15"/>
    </row>
    <row r="11" spans="1:31" x14ac:dyDescent="0.25">
      <c r="B11" s="19"/>
      <c r="C11" s="19"/>
      <c r="D11" s="19"/>
      <c r="E11" s="19"/>
      <c r="F11" s="19"/>
      <c r="G11" s="19"/>
      <c r="H11" s="19"/>
    </row>
    <row r="12" spans="1:31" ht="15" customHeight="1" thickBot="1" x14ac:dyDescent="0.3">
      <c r="B12" s="19"/>
      <c r="C12" s="703" t="s">
        <v>82</v>
      </c>
      <c r="D12" s="703"/>
      <c r="E12" s="703"/>
      <c r="F12" s="703"/>
      <c r="G12" s="703"/>
      <c r="H12" s="703"/>
      <c r="I12" s="703"/>
      <c r="J12" s="703"/>
      <c r="K12" s="703"/>
      <c r="L12" s="703"/>
      <c r="M12" s="703"/>
      <c r="N12" s="703"/>
      <c r="O12" s="703"/>
    </row>
    <row r="13" spans="1:31" ht="16.5" thickTop="1" thickBot="1" x14ac:dyDescent="0.3">
      <c r="A13" s="19"/>
      <c r="B13" s="19"/>
      <c r="C13" s="647" t="s">
        <v>278</v>
      </c>
      <c r="D13" s="648"/>
      <c r="E13" s="648"/>
      <c r="F13" s="648"/>
      <c r="G13" s="648"/>
      <c r="H13" s="649"/>
      <c r="I13" s="647" t="s">
        <v>279</v>
      </c>
      <c r="J13" s="648"/>
      <c r="K13" s="648"/>
      <c r="L13" s="648"/>
      <c r="M13" s="648"/>
      <c r="N13" s="648"/>
      <c r="O13" s="649"/>
      <c r="Q13" s="173"/>
      <c r="R13" s="173"/>
      <c r="S13" s="173"/>
      <c r="T13" s="173"/>
      <c r="U13" s="173"/>
      <c r="V13" s="173"/>
      <c r="W13" s="173"/>
    </row>
    <row r="14" spans="1:31" ht="91.5" customHeight="1" thickTop="1" thickBot="1" x14ac:dyDescent="0.3">
      <c r="A14" s="19"/>
      <c r="B14" s="281" t="s">
        <v>66</v>
      </c>
      <c r="C14" s="414" t="s">
        <v>61</v>
      </c>
      <c r="D14" s="415" t="s">
        <v>67</v>
      </c>
      <c r="E14" s="415" t="s">
        <v>68</v>
      </c>
      <c r="F14" s="415" t="s">
        <v>69</v>
      </c>
      <c r="G14" s="415" t="s">
        <v>80</v>
      </c>
      <c r="H14" s="416" t="s">
        <v>81</v>
      </c>
      <c r="I14" s="414" t="s">
        <v>28</v>
      </c>
      <c r="J14" s="415" t="s">
        <v>26</v>
      </c>
      <c r="K14" s="415" t="s">
        <v>23</v>
      </c>
      <c r="L14" s="415" t="s">
        <v>24</v>
      </c>
      <c r="M14" s="415" t="s">
        <v>21</v>
      </c>
      <c r="N14" s="587" t="s">
        <v>20</v>
      </c>
      <c r="O14" s="417" t="s">
        <v>29</v>
      </c>
      <c r="P14" s="300" t="s">
        <v>70</v>
      </c>
    </row>
    <row r="15" spans="1:31" ht="15.75" thickTop="1" x14ac:dyDescent="0.25">
      <c r="A15" s="19"/>
      <c r="B15" s="288">
        <v>2013</v>
      </c>
      <c r="C15" s="293"/>
      <c r="D15" s="282"/>
      <c r="E15" s="282"/>
      <c r="F15" s="282"/>
      <c r="G15" s="282"/>
      <c r="H15" s="294"/>
      <c r="I15" s="304">
        <v>1</v>
      </c>
      <c r="J15" s="283">
        <v>0</v>
      </c>
      <c r="K15" s="283">
        <v>0</v>
      </c>
      <c r="L15" s="283">
        <v>0</v>
      </c>
      <c r="M15" s="283">
        <v>0</v>
      </c>
      <c r="N15" s="588"/>
      <c r="O15" s="305">
        <v>0</v>
      </c>
      <c r="P15" s="301">
        <f>SUM(C15:O15)</f>
        <v>1</v>
      </c>
    </row>
    <row r="16" spans="1:31" x14ac:dyDescent="0.25">
      <c r="A16" s="19"/>
      <c r="B16" s="289">
        <v>2014</v>
      </c>
      <c r="C16" s="295">
        <v>881</v>
      </c>
      <c r="D16" s="185">
        <v>168</v>
      </c>
      <c r="E16" s="185">
        <v>116</v>
      </c>
      <c r="F16" s="185">
        <v>127</v>
      </c>
      <c r="G16" s="185"/>
      <c r="H16" s="204">
        <v>3</v>
      </c>
      <c r="I16" s="295">
        <v>33</v>
      </c>
      <c r="J16" s="185">
        <v>0</v>
      </c>
      <c r="K16" s="185">
        <v>7</v>
      </c>
      <c r="L16" s="185">
        <v>4</v>
      </c>
      <c r="M16" s="185">
        <v>11</v>
      </c>
      <c r="N16" s="589"/>
      <c r="O16" s="204">
        <v>7</v>
      </c>
      <c r="P16" s="302">
        <f t="shared" ref="P16:P40" si="0">SUM(C16:O16)</f>
        <v>1357</v>
      </c>
    </row>
    <row r="17" spans="1:16" x14ac:dyDescent="0.25">
      <c r="A17" s="19"/>
      <c r="B17" s="290">
        <v>2015</v>
      </c>
      <c r="C17" s="296">
        <v>1503</v>
      </c>
      <c r="D17" s="284">
        <v>779</v>
      </c>
      <c r="E17" s="284">
        <v>230</v>
      </c>
      <c r="F17" s="284">
        <v>159</v>
      </c>
      <c r="G17" s="285"/>
      <c r="H17" s="297">
        <v>2</v>
      </c>
      <c r="I17" s="306">
        <v>38</v>
      </c>
      <c r="J17" s="284">
        <v>5</v>
      </c>
      <c r="K17" s="284">
        <v>99</v>
      </c>
      <c r="L17" s="284">
        <v>2</v>
      </c>
      <c r="M17" s="284">
        <v>1</v>
      </c>
      <c r="N17" s="590"/>
      <c r="O17" s="297">
        <v>2</v>
      </c>
      <c r="P17" s="302">
        <f t="shared" si="0"/>
        <v>2820</v>
      </c>
    </row>
    <row r="18" spans="1:16" x14ac:dyDescent="0.25">
      <c r="A18" s="19"/>
      <c r="B18" s="290">
        <v>2016</v>
      </c>
      <c r="C18" s="296">
        <v>2510</v>
      </c>
      <c r="D18" s="284">
        <v>829</v>
      </c>
      <c r="E18" s="284">
        <v>986</v>
      </c>
      <c r="F18" s="284">
        <v>235</v>
      </c>
      <c r="G18" s="285"/>
      <c r="H18" s="297">
        <v>33</v>
      </c>
      <c r="I18" s="306">
        <v>120</v>
      </c>
      <c r="J18" s="284">
        <v>1</v>
      </c>
      <c r="K18" s="284">
        <v>192</v>
      </c>
      <c r="L18" s="284">
        <v>8</v>
      </c>
      <c r="M18" s="284">
        <v>1</v>
      </c>
      <c r="N18" s="590"/>
      <c r="O18" s="297">
        <v>28</v>
      </c>
      <c r="P18" s="302">
        <f t="shared" si="0"/>
        <v>4943</v>
      </c>
    </row>
    <row r="19" spans="1:16" ht="15" customHeight="1" x14ac:dyDescent="0.25">
      <c r="A19" s="19"/>
      <c r="B19" s="290">
        <v>2017</v>
      </c>
      <c r="C19" s="296">
        <v>3314</v>
      </c>
      <c r="D19" s="284">
        <v>1329</v>
      </c>
      <c r="E19" s="284">
        <v>2435</v>
      </c>
      <c r="F19" s="284">
        <v>526</v>
      </c>
      <c r="G19" s="285">
        <v>1</v>
      </c>
      <c r="H19" s="297">
        <v>66</v>
      </c>
      <c r="I19" s="306">
        <v>221</v>
      </c>
      <c r="J19" s="284">
        <v>8</v>
      </c>
      <c r="K19" s="284">
        <v>630</v>
      </c>
      <c r="L19" s="284"/>
      <c r="M19" s="284"/>
      <c r="N19" s="590"/>
      <c r="O19" s="297"/>
      <c r="P19" s="302">
        <f t="shared" si="0"/>
        <v>8530</v>
      </c>
    </row>
    <row r="20" spans="1:16" ht="15" customHeight="1" thickBot="1" x14ac:dyDescent="0.3">
      <c r="A20" s="19"/>
      <c r="B20" s="291">
        <v>2018</v>
      </c>
      <c r="C20" s="298">
        <v>194</v>
      </c>
      <c r="D20" s="286">
        <v>112</v>
      </c>
      <c r="E20" s="286">
        <v>110</v>
      </c>
      <c r="F20" s="286">
        <v>0</v>
      </c>
      <c r="G20" s="287"/>
      <c r="H20" s="299">
        <v>2</v>
      </c>
      <c r="I20" s="307">
        <v>6</v>
      </c>
      <c r="J20" s="286"/>
      <c r="K20" s="286">
        <v>23</v>
      </c>
      <c r="L20" s="286"/>
      <c r="M20" s="286"/>
      <c r="N20" s="591"/>
      <c r="O20" s="299"/>
      <c r="P20" s="303">
        <f t="shared" si="0"/>
        <v>447</v>
      </c>
    </row>
    <row r="21" spans="1:16" ht="15" customHeight="1" thickTop="1" x14ac:dyDescent="0.25">
      <c r="A21" s="19"/>
      <c r="B21" s="310" t="s">
        <v>71</v>
      </c>
      <c r="C21" s="311">
        <f>SUM(C16:C20)</f>
        <v>8402</v>
      </c>
      <c r="D21" s="312">
        <f t="shared" ref="D21:F21" si="1">SUM(D16:D20)</f>
        <v>3217</v>
      </c>
      <c r="E21" s="312">
        <f t="shared" si="1"/>
        <v>3877</v>
      </c>
      <c r="F21" s="312">
        <f t="shared" si="1"/>
        <v>1047</v>
      </c>
      <c r="G21" s="312">
        <f>SUM(G16:G20)</f>
        <v>1</v>
      </c>
      <c r="H21" s="313">
        <f>SUM(H16:H20)</f>
        <v>106</v>
      </c>
      <c r="I21" s="311">
        <f>SUM(I15:I20)</f>
        <v>419</v>
      </c>
      <c r="J21" s="312">
        <f t="shared" ref="J21:M21" si="2">SUM(J15:J20)</f>
        <v>14</v>
      </c>
      <c r="K21" s="312">
        <f t="shared" si="2"/>
        <v>951</v>
      </c>
      <c r="L21" s="312">
        <f t="shared" si="2"/>
        <v>14</v>
      </c>
      <c r="M21" s="312">
        <f t="shared" si="2"/>
        <v>13</v>
      </c>
      <c r="N21" s="592"/>
      <c r="O21" s="313">
        <f>SUM(O15:O20)</f>
        <v>37</v>
      </c>
      <c r="P21" s="301">
        <f t="shared" si="0"/>
        <v>18098</v>
      </c>
    </row>
    <row r="22" spans="1:16" ht="31.5" customHeight="1" thickBot="1" x14ac:dyDescent="0.3">
      <c r="A22" s="19"/>
      <c r="B22" s="314" t="s">
        <v>72</v>
      </c>
      <c r="C22" s="315">
        <f>C15+C16</f>
        <v>881</v>
      </c>
      <c r="D22" s="316">
        <f t="shared" ref="D22:P22" si="3">D15+D16</f>
        <v>168</v>
      </c>
      <c r="E22" s="316">
        <f t="shared" si="3"/>
        <v>116</v>
      </c>
      <c r="F22" s="316">
        <f t="shared" si="3"/>
        <v>127</v>
      </c>
      <c r="G22" s="316">
        <f t="shared" si="3"/>
        <v>0</v>
      </c>
      <c r="H22" s="317">
        <f t="shared" si="3"/>
        <v>3</v>
      </c>
      <c r="I22" s="315">
        <f t="shared" si="3"/>
        <v>34</v>
      </c>
      <c r="J22" s="316">
        <f t="shared" si="3"/>
        <v>0</v>
      </c>
      <c r="K22" s="316">
        <f t="shared" si="3"/>
        <v>7</v>
      </c>
      <c r="L22" s="316">
        <f t="shared" si="3"/>
        <v>4</v>
      </c>
      <c r="M22" s="316">
        <f t="shared" si="3"/>
        <v>11</v>
      </c>
      <c r="N22" s="593"/>
      <c r="O22" s="317">
        <f t="shared" si="3"/>
        <v>7</v>
      </c>
      <c r="P22" s="318">
        <f t="shared" si="3"/>
        <v>1358</v>
      </c>
    </row>
    <row r="23" spans="1:16" ht="15" hidden="1" customHeight="1" x14ac:dyDescent="0.25">
      <c r="A23" s="19"/>
      <c r="B23" s="308" t="s">
        <v>73</v>
      </c>
      <c r="C23" s="292">
        <v>0</v>
      </c>
      <c r="D23" s="292">
        <v>0</v>
      </c>
      <c r="E23" s="292">
        <v>0</v>
      </c>
      <c r="F23" s="292">
        <v>0</v>
      </c>
      <c r="G23" s="292">
        <v>0</v>
      </c>
      <c r="H23" s="292">
        <v>0</v>
      </c>
      <c r="I23" s="292">
        <v>0</v>
      </c>
      <c r="J23" s="292">
        <v>0</v>
      </c>
      <c r="K23" s="292">
        <v>0</v>
      </c>
      <c r="L23" s="292">
        <v>0</v>
      </c>
      <c r="M23" s="292">
        <v>0</v>
      </c>
      <c r="N23" s="292"/>
      <c r="O23" s="292">
        <v>0</v>
      </c>
      <c r="P23" s="309">
        <f t="shared" si="0"/>
        <v>0</v>
      </c>
    </row>
    <row r="24" spans="1:16" ht="15" hidden="1" customHeight="1" x14ac:dyDescent="0.25">
      <c r="A24" s="19"/>
      <c r="B24" s="22" t="s">
        <v>74</v>
      </c>
      <c r="C24" s="10">
        <f>(C$4*10)/100</f>
        <v>0</v>
      </c>
      <c r="D24" s="10">
        <f t="shared" ref="D24:F24" si="4">(D$4*10)/100</f>
        <v>0</v>
      </c>
      <c r="E24" s="10">
        <f t="shared" si="4"/>
        <v>0</v>
      </c>
      <c r="F24" s="10">
        <f t="shared" si="4"/>
        <v>0</v>
      </c>
      <c r="G24" s="10">
        <f>(G$16*10)/100</f>
        <v>0</v>
      </c>
      <c r="H24" s="10">
        <v>1</v>
      </c>
      <c r="I24" s="10">
        <f>(I$16*10)/100</f>
        <v>3.3</v>
      </c>
      <c r="J24" s="10">
        <f t="shared" ref="J24:O24" si="5">(J$16*10)/100</f>
        <v>0</v>
      </c>
      <c r="K24" s="10">
        <f t="shared" si="5"/>
        <v>0.7</v>
      </c>
      <c r="L24" s="10">
        <f t="shared" si="5"/>
        <v>0.4</v>
      </c>
      <c r="M24" s="10">
        <f t="shared" si="5"/>
        <v>1.1000000000000001</v>
      </c>
      <c r="N24" s="10"/>
      <c r="O24" s="10">
        <f t="shared" si="5"/>
        <v>0.7</v>
      </c>
      <c r="P24" s="37">
        <f t="shared" si="0"/>
        <v>7.2</v>
      </c>
    </row>
    <row r="25" spans="1:16" ht="38.25" hidden="1" customHeight="1" x14ac:dyDescent="0.25">
      <c r="A25" s="19"/>
      <c r="B25" s="22" t="s">
        <v>2</v>
      </c>
      <c r="C25" s="38">
        <v>0</v>
      </c>
      <c r="D25" s="38">
        <v>0</v>
      </c>
      <c r="E25" s="38">
        <v>0</v>
      </c>
      <c r="F25" s="38">
        <v>1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/>
      <c r="O25" s="38">
        <v>0</v>
      </c>
      <c r="P25" s="37">
        <f t="shared" si="0"/>
        <v>1</v>
      </c>
    </row>
    <row r="26" spans="1:16" ht="25.5" hidden="1" customHeight="1" x14ac:dyDescent="0.25">
      <c r="A26" s="19"/>
      <c r="B26" s="22" t="s">
        <v>1</v>
      </c>
      <c r="C26" s="38">
        <v>2</v>
      </c>
      <c r="D26" s="38"/>
      <c r="E26" s="38"/>
      <c r="F26" s="38"/>
      <c r="G26" s="38">
        <v>0</v>
      </c>
      <c r="H26" s="38">
        <v>0</v>
      </c>
      <c r="I26" s="38">
        <v>1</v>
      </c>
      <c r="J26" s="38">
        <v>0</v>
      </c>
      <c r="K26" s="38">
        <v>0</v>
      </c>
      <c r="L26" s="38">
        <v>0</v>
      </c>
      <c r="M26" s="38">
        <v>0</v>
      </c>
      <c r="N26" s="38"/>
      <c r="O26" s="38">
        <v>0</v>
      </c>
      <c r="P26" s="37">
        <f t="shared" si="0"/>
        <v>3</v>
      </c>
    </row>
    <row r="27" spans="1:16" ht="25.5" hidden="1" customHeight="1" x14ac:dyDescent="0.25">
      <c r="A27" s="19"/>
      <c r="B27" s="174"/>
      <c r="C27" s="9">
        <f>SUM(C23:C26)</f>
        <v>2</v>
      </c>
      <c r="D27" s="9">
        <f t="shared" ref="D27:F27" si="6">SUM(D23:D26)</f>
        <v>0</v>
      </c>
      <c r="E27" s="9">
        <f t="shared" si="6"/>
        <v>0</v>
      </c>
      <c r="F27" s="9">
        <f t="shared" si="6"/>
        <v>1</v>
      </c>
      <c r="G27" s="9">
        <f>SUM(G23:G26)</f>
        <v>0</v>
      </c>
      <c r="H27" s="9">
        <f t="shared" ref="H27" si="7">SUM(H23:H26)</f>
        <v>1</v>
      </c>
      <c r="I27" s="9">
        <f>SUM(I23:I26)</f>
        <v>4.3</v>
      </c>
      <c r="J27" s="9">
        <f t="shared" ref="J27:O27" si="8">SUM(J23:J26)</f>
        <v>0</v>
      </c>
      <c r="K27" s="9">
        <f t="shared" si="8"/>
        <v>0.7</v>
      </c>
      <c r="L27" s="9">
        <f t="shared" si="8"/>
        <v>0.4</v>
      </c>
      <c r="M27" s="9">
        <f t="shared" si="8"/>
        <v>1.1000000000000001</v>
      </c>
      <c r="N27" s="9"/>
      <c r="O27" s="9">
        <f t="shared" si="8"/>
        <v>0.7</v>
      </c>
      <c r="P27" s="36">
        <f t="shared" si="0"/>
        <v>11.2</v>
      </c>
    </row>
    <row r="28" spans="1:16" ht="15" hidden="1" customHeight="1" x14ac:dyDescent="0.25">
      <c r="A28" s="19"/>
      <c r="B28" s="25" t="s">
        <v>75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/>
      <c r="O28" s="7">
        <v>0</v>
      </c>
      <c r="P28" s="36">
        <f t="shared" si="0"/>
        <v>0</v>
      </c>
    </row>
    <row r="29" spans="1:16" ht="15" hidden="1" customHeight="1" x14ac:dyDescent="0.25">
      <c r="A29" s="19"/>
      <c r="B29" s="25" t="s">
        <v>76</v>
      </c>
      <c r="C29" s="4">
        <f>(C$4*40)/100</f>
        <v>0</v>
      </c>
      <c r="D29" s="4">
        <f t="shared" ref="D29:F29" si="9">(D$4*40)/100</f>
        <v>0</v>
      </c>
      <c r="E29" s="4">
        <f t="shared" si="9"/>
        <v>0</v>
      </c>
      <c r="F29" s="4">
        <f t="shared" si="9"/>
        <v>0</v>
      </c>
      <c r="G29" s="4">
        <v>0</v>
      </c>
      <c r="H29" s="4">
        <v>2</v>
      </c>
      <c r="I29" s="4">
        <f>(I$16*40)/100</f>
        <v>13.2</v>
      </c>
      <c r="J29" s="4">
        <f t="shared" ref="J29:M29" si="10">(J$16*40)/100</f>
        <v>0</v>
      </c>
      <c r="K29" s="4">
        <f t="shared" si="10"/>
        <v>2.8</v>
      </c>
      <c r="L29" s="4">
        <f t="shared" si="10"/>
        <v>1.6</v>
      </c>
      <c r="M29" s="4">
        <f t="shared" si="10"/>
        <v>4.4000000000000004</v>
      </c>
      <c r="N29" s="4"/>
      <c r="O29" s="4">
        <f>(O$16*40)/100</f>
        <v>2.8</v>
      </c>
      <c r="P29" s="36">
        <f t="shared" si="0"/>
        <v>26.8</v>
      </c>
    </row>
    <row r="30" spans="1:16" ht="38.25" hidden="1" customHeight="1" x14ac:dyDescent="0.25">
      <c r="A30" s="19"/>
      <c r="B30" s="25" t="s">
        <v>2</v>
      </c>
      <c r="C30" s="4">
        <v>2</v>
      </c>
      <c r="D30" s="4">
        <v>0</v>
      </c>
      <c r="E30" s="4">
        <v>0</v>
      </c>
      <c r="F30" s="4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/>
      <c r="O30" s="3">
        <v>0</v>
      </c>
      <c r="P30" s="36">
        <f t="shared" si="0"/>
        <v>2</v>
      </c>
    </row>
    <row r="31" spans="1:16" ht="38.25" hidden="1" customHeight="1" x14ac:dyDescent="0.25">
      <c r="A31" s="19"/>
      <c r="B31" s="25" t="s">
        <v>1</v>
      </c>
      <c r="C31" s="4">
        <v>2</v>
      </c>
      <c r="D31" s="4">
        <v>2</v>
      </c>
      <c r="E31" s="4">
        <v>0</v>
      </c>
      <c r="F31" s="4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/>
      <c r="O31" s="3">
        <v>0</v>
      </c>
      <c r="P31" s="36">
        <f t="shared" si="0"/>
        <v>4</v>
      </c>
    </row>
    <row r="32" spans="1:16" ht="38.25" hidden="1" customHeight="1" x14ac:dyDescent="0.25">
      <c r="A32" s="19"/>
      <c r="B32" s="174"/>
      <c r="C32" s="9">
        <f>SUM(C28:C31)</f>
        <v>4</v>
      </c>
      <c r="D32" s="9">
        <f t="shared" ref="D32:F32" si="11">SUM(D28:D31)</f>
        <v>2</v>
      </c>
      <c r="E32" s="9">
        <f t="shared" si="11"/>
        <v>0</v>
      </c>
      <c r="F32" s="9">
        <f t="shared" si="11"/>
        <v>0</v>
      </c>
      <c r="G32" s="8">
        <f>SUM(G29:G29)</f>
        <v>0</v>
      </c>
      <c r="H32" s="8">
        <f t="shared" ref="H32" si="12">SUM(H29:H29)</f>
        <v>2</v>
      </c>
      <c r="I32" s="8">
        <f>SUM(I29:I29)</f>
        <v>13.2</v>
      </c>
      <c r="J32" s="8">
        <f t="shared" ref="J32:O32" si="13">SUM(J29:J29)</f>
        <v>0</v>
      </c>
      <c r="K32" s="8">
        <f t="shared" si="13"/>
        <v>2.8</v>
      </c>
      <c r="L32" s="8">
        <f t="shared" si="13"/>
        <v>1.6</v>
      </c>
      <c r="M32" s="8">
        <f t="shared" si="13"/>
        <v>4.4000000000000004</v>
      </c>
      <c r="N32" s="8"/>
      <c r="O32" s="8">
        <f t="shared" si="13"/>
        <v>2.8</v>
      </c>
      <c r="P32" s="36">
        <f t="shared" si="0"/>
        <v>32.799999999999997</v>
      </c>
    </row>
    <row r="33" spans="1:18" ht="15" hidden="1" customHeight="1" x14ac:dyDescent="0.25">
      <c r="A33" s="19"/>
      <c r="B33" s="25" t="s">
        <v>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/>
      <c r="O33" s="7">
        <v>0</v>
      </c>
      <c r="P33" s="36">
        <f t="shared" si="0"/>
        <v>0</v>
      </c>
    </row>
    <row r="34" spans="1:18" ht="15" hidden="1" customHeight="1" x14ac:dyDescent="0.25">
      <c r="A34" s="19"/>
      <c r="B34" s="28" t="s">
        <v>78</v>
      </c>
      <c r="C34" s="4">
        <f>(C$4*70)/100</f>
        <v>0</v>
      </c>
      <c r="D34" s="4">
        <f t="shared" ref="D34:F34" si="14">(D$4*70)/100</f>
        <v>0</v>
      </c>
      <c r="E34" s="4">
        <f t="shared" si="14"/>
        <v>0</v>
      </c>
      <c r="F34" s="4">
        <f t="shared" si="14"/>
        <v>0</v>
      </c>
      <c r="G34" s="4">
        <v>0</v>
      </c>
      <c r="H34" s="4">
        <v>0</v>
      </c>
      <c r="I34" s="4">
        <f>(I$16*70)/100</f>
        <v>23.1</v>
      </c>
      <c r="J34" s="4">
        <f t="shared" ref="J34:O34" si="15">(J$16*70)/100</f>
        <v>0</v>
      </c>
      <c r="K34" s="4">
        <f t="shared" si="15"/>
        <v>4.9000000000000004</v>
      </c>
      <c r="L34" s="4">
        <f t="shared" si="15"/>
        <v>2.8</v>
      </c>
      <c r="M34" s="4">
        <f t="shared" si="15"/>
        <v>7.7</v>
      </c>
      <c r="N34" s="4"/>
      <c r="O34" s="4">
        <f t="shared" si="15"/>
        <v>4.9000000000000004</v>
      </c>
      <c r="P34" s="36">
        <f t="shared" si="0"/>
        <v>43.4</v>
      </c>
    </row>
    <row r="35" spans="1:18" ht="38.25" hidden="1" customHeight="1" x14ac:dyDescent="0.25">
      <c r="A35" s="19"/>
      <c r="B35" s="25" t="s">
        <v>2</v>
      </c>
      <c r="C35" s="4">
        <v>1</v>
      </c>
      <c r="D35" s="4">
        <v>0</v>
      </c>
      <c r="E35" s="4">
        <v>1</v>
      </c>
      <c r="F35" s="4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/>
      <c r="O35" s="3">
        <v>0</v>
      </c>
      <c r="P35" s="36">
        <f t="shared" si="0"/>
        <v>2</v>
      </c>
    </row>
    <row r="36" spans="1:18" ht="25.5" hidden="1" customHeight="1" x14ac:dyDescent="0.25">
      <c r="A36" s="19"/>
      <c r="B36" s="25" t="s">
        <v>1</v>
      </c>
      <c r="C36" s="4">
        <v>5</v>
      </c>
      <c r="D36" s="4">
        <v>4</v>
      </c>
      <c r="E36" s="4">
        <v>0</v>
      </c>
      <c r="F36" s="4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/>
      <c r="O36" s="3">
        <v>0</v>
      </c>
      <c r="P36" s="36">
        <f t="shared" si="0"/>
        <v>9</v>
      </c>
    </row>
    <row r="37" spans="1:18" ht="25.5" hidden="1" customHeight="1" x14ac:dyDescent="0.25">
      <c r="A37" s="19"/>
      <c r="B37" s="174"/>
      <c r="C37" s="5">
        <f>SUM(C33:C36)</f>
        <v>6</v>
      </c>
      <c r="D37" s="5">
        <f t="shared" ref="D37:F37" si="16">SUM(D33:D36)</f>
        <v>4</v>
      </c>
      <c r="E37" s="5">
        <f t="shared" si="16"/>
        <v>1</v>
      </c>
      <c r="F37" s="5">
        <f t="shared" si="16"/>
        <v>0</v>
      </c>
      <c r="G37" s="5">
        <f t="shared" ref="G37:L37" si="17">SUM(G34:G34)</f>
        <v>0</v>
      </c>
      <c r="H37" s="5">
        <f t="shared" si="17"/>
        <v>0</v>
      </c>
      <c r="I37" s="5">
        <f t="shared" si="17"/>
        <v>23.1</v>
      </c>
      <c r="J37" s="5">
        <f t="shared" si="17"/>
        <v>0</v>
      </c>
      <c r="K37" s="5">
        <f t="shared" si="17"/>
        <v>4.9000000000000004</v>
      </c>
      <c r="L37" s="5">
        <f t="shared" si="17"/>
        <v>2.8</v>
      </c>
      <c r="M37" s="35"/>
      <c r="N37" s="35"/>
      <c r="O37" s="35"/>
      <c r="P37" s="36">
        <f t="shared" si="0"/>
        <v>41.8</v>
      </c>
    </row>
    <row r="38" spans="1:18" ht="15" hidden="1" customHeight="1" x14ac:dyDescent="0.25">
      <c r="A38" s="19"/>
      <c r="B38" s="28" t="s">
        <v>79</v>
      </c>
      <c r="C38" s="4">
        <f>(C$4*100)/100</f>
        <v>0</v>
      </c>
      <c r="D38" s="4">
        <f t="shared" ref="D38:F38" si="18">(D$4*100)/100</f>
        <v>0</v>
      </c>
      <c r="E38" s="4">
        <f t="shared" si="18"/>
        <v>0</v>
      </c>
      <c r="F38" s="4">
        <f t="shared" si="18"/>
        <v>0</v>
      </c>
      <c r="G38" s="4">
        <f>(G$22*100)/100</f>
        <v>0</v>
      </c>
      <c r="H38" s="4">
        <f>(H$22*100)/100</f>
        <v>3</v>
      </c>
      <c r="I38" s="4">
        <f>(I$22*100)/100</f>
        <v>34</v>
      </c>
      <c r="J38" s="4">
        <f t="shared" ref="J38:O38" si="19">(J$22*100)/100</f>
        <v>0</v>
      </c>
      <c r="K38" s="4">
        <f t="shared" si="19"/>
        <v>7</v>
      </c>
      <c r="L38" s="4">
        <f t="shared" si="19"/>
        <v>4</v>
      </c>
      <c r="M38" s="4">
        <f t="shared" si="19"/>
        <v>11</v>
      </c>
      <c r="N38" s="4"/>
      <c r="O38" s="4">
        <f t="shared" si="19"/>
        <v>7</v>
      </c>
      <c r="P38" s="36">
        <f t="shared" si="0"/>
        <v>66</v>
      </c>
    </row>
    <row r="39" spans="1:18" ht="34.5" hidden="1" customHeight="1" x14ac:dyDescent="0.25">
      <c r="A39" s="19"/>
      <c r="B39" s="28" t="s">
        <v>2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/>
      <c r="O39" s="3">
        <v>0</v>
      </c>
      <c r="P39" s="36">
        <f t="shared" si="0"/>
        <v>1</v>
      </c>
    </row>
    <row r="40" spans="1:18" ht="31.5" hidden="1" customHeight="1" x14ac:dyDescent="0.25">
      <c r="A40" s="19"/>
      <c r="B40" s="28" t="s">
        <v>1</v>
      </c>
      <c r="C40" s="3">
        <v>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/>
      <c r="O40" s="3">
        <v>0</v>
      </c>
      <c r="P40" s="36">
        <f t="shared" si="0"/>
        <v>1</v>
      </c>
    </row>
    <row r="41" spans="1:18" ht="15" hidden="1" customHeight="1" x14ac:dyDescent="0.25">
      <c r="A41" s="19"/>
      <c r="B41" s="175"/>
      <c r="C41" s="2">
        <f>SUM(C38:C40)</f>
        <v>2</v>
      </c>
      <c r="D41" s="2">
        <f t="shared" ref="D41:F41" si="20">SUM(D38:D40)</f>
        <v>0</v>
      </c>
      <c r="E41" s="2">
        <f t="shared" si="20"/>
        <v>0</v>
      </c>
      <c r="F41" s="2">
        <f t="shared" si="20"/>
        <v>0</v>
      </c>
      <c r="G41" s="2">
        <f>SUM(G38:G40)</f>
        <v>0</v>
      </c>
      <c r="H41" s="2">
        <f t="shared" ref="H41" si="21">SUM(H38:H40)</f>
        <v>3</v>
      </c>
      <c r="I41" s="2">
        <f>SUM(I38:I40)</f>
        <v>34</v>
      </c>
      <c r="J41" s="2">
        <f t="shared" ref="J41:O41" si="22">SUM(J38:J40)</f>
        <v>0</v>
      </c>
      <c r="K41" s="2">
        <f t="shared" si="22"/>
        <v>7</v>
      </c>
      <c r="L41" s="2">
        <f t="shared" si="22"/>
        <v>4</v>
      </c>
      <c r="M41" s="2">
        <f t="shared" si="22"/>
        <v>11</v>
      </c>
      <c r="N41" s="2"/>
      <c r="O41" s="2">
        <f t="shared" si="22"/>
        <v>7</v>
      </c>
      <c r="P41" s="2">
        <f>SUM(I41:L41)</f>
        <v>45</v>
      </c>
    </row>
    <row r="42" spans="1:18" ht="16.5" thickTop="1" thickBot="1" x14ac:dyDescent="0.3"/>
    <row r="43" spans="1:18" ht="15.75" thickTop="1" x14ac:dyDescent="0.25">
      <c r="B43" s="419" t="s">
        <v>280</v>
      </c>
      <c r="C43" s="420">
        <v>839</v>
      </c>
      <c r="D43" s="420">
        <v>93</v>
      </c>
      <c r="E43" s="420">
        <v>93</v>
      </c>
      <c r="F43" s="420">
        <v>72</v>
      </c>
      <c r="G43" s="420">
        <v>0</v>
      </c>
      <c r="H43" s="420">
        <v>3</v>
      </c>
      <c r="I43" s="420">
        <v>29</v>
      </c>
      <c r="J43" s="420">
        <v>0</v>
      </c>
      <c r="K43" s="420">
        <v>7</v>
      </c>
      <c r="L43" s="420">
        <v>4</v>
      </c>
      <c r="M43" s="420">
        <v>11</v>
      </c>
      <c r="N43" s="430"/>
      <c r="O43" s="430">
        <v>7</v>
      </c>
      <c r="P43" s="585">
        <f t="shared" ref="P43:P48" si="23">SUM(C43:O43)</f>
        <v>1158</v>
      </c>
    </row>
    <row r="44" spans="1:18" s="173" customFormat="1" ht="16.5" thickBot="1" x14ac:dyDescent="0.3">
      <c r="B44" s="421" t="s">
        <v>281</v>
      </c>
      <c r="C44" s="422">
        <v>71</v>
      </c>
      <c r="D44" s="422">
        <v>88</v>
      </c>
      <c r="E44" s="422">
        <v>29</v>
      </c>
      <c r="F44" s="422">
        <v>76</v>
      </c>
      <c r="G44" s="423">
        <v>0</v>
      </c>
      <c r="H44" s="423">
        <v>2</v>
      </c>
      <c r="I44" s="422">
        <v>5</v>
      </c>
      <c r="J44" s="423">
        <v>0</v>
      </c>
      <c r="K44" s="423">
        <v>0</v>
      </c>
      <c r="L44" s="423">
        <v>0</v>
      </c>
      <c r="M44" s="423">
        <v>0</v>
      </c>
      <c r="N44" s="431"/>
      <c r="O44" s="431">
        <v>0</v>
      </c>
      <c r="P44" s="586">
        <f t="shared" si="23"/>
        <v>271</v>
      </c>
      <c r="R44" s="618">
        <f>P44/P22</f>
        <v>0.19955817378497792</v>
      </c>
    </row>
    <row r="45" spans="1:18" s="173" customFormat="1" ht="16.5" thickTop="1" x14ac:dyDescent="0.25">
      <c r="B45" s="502" t="s">
        <v>392</v>
      </c>
      <c r="C45" s="503">
        <v>818</v>
      </c>
      <c r="D45" s="503">
        <v>80</v>
      </c>
      <c r="E45" s="503">
        <v>93</v>
      </c>
      <c r="F45" s="503">
        <v>72</v>
      </c>
      <c r="G45" s="504"/>
      <c r="H45" s="504">
        <v>3</v>
      </c>
      <c r="I45" s="503">
        <v>28</v>
      </c>
      <c r="J45" s="504"/>
      <c r="K45" s="504">
        <f>3+4</f>
        <v>7</v>
      </c>
      <c r="L45" s="504">
        <v>4</v>
      </c>
      <c r="M45" s="504">
        <v>11</v>
      </c>
      <c r="N45" s="505"/>
      <c r="O45" s="505">
        <v>7</v>
      </c>
      <c r="P45" s="506">
        <f t="shared" si="23"/>
        <v>1123</v>
      </c>
      <c r="R45" s="619"/>
    </row>
    <row r="46" spans="1:18" s="173" customFormat="1" ht="16.5" thickBot="1" x14ac:dyDescent="0.3">
      <c r="B46" s="507" t="s">
        <v>393</v>
      </c>
      <c r="C46" s="508">
        <v>91</v>
      </c>
      <c r="D46" s="508">
        <v>92</v>
      </c>
      <c r="E46" s="508">
        <v>29</v>
      </c>
      <c r="F46" s="508">
        <v>76</v>
      </c>
      <c r="G46" s="509"/>
      <c r="H46" s="509">
        <v>2</v>
      </c>
      <c r="I46" s="508">
        <v>5</v>
      </c>
      <c r="J46" s="509"/>
      <c r="K46" s="509"/>
      <c r="L46" s="509"/>
      <c r="M46" s="509"/>
      <c r="N46" s="510"/>
      <c r="O46" s="510"/>
      <c r="P46" s="511">
        <f t="shared" si="23"/>
        <v>295</v>
      </c>
      <c r="R46" s="618">
        <f>P46/P22</f>
        <v>0.21723122238586157</v>
      </c>
    </row>
    <row r="47" spans="1:18" s="173" customFormat="1" ht="16.5" thickTop="1" x14ac:dyDescent="0.25">
      <c r="B47" s="727" t="s">
        <v>394</v>
      </c>
      <c r="C47" s="728">
        <v>808</v>
      </c>
      <c r="D47" s="728">
        <v>78</v>
      </c>
      <c r="E47" s="728">
        <v>82</v>
      </c>
      <c r="F47" s="728">
        <v>64</v>
      </c>
      <c r="G47" s="728"/>
      <c r="H47" s="728"/>
      <c r="I47" s="728">
        <v>27</v>
      </c>
      <c r="J47" s="728"/>
      <c r="K47" s="728">
        <v>7</v>
      </c>
      <c r="L47" s="728">
        <v>4</v>
      </c>
      <c r="M47" s="728">
        <v>11</v>
      </c>
      <c r="N47" s="729"/>
      <c r="O47" s="729">
        <v>7</v>
      </c>
      <c r="P47" s="730">
        <f t="shared" si="23"/>
        <v>1088</v>
      </c>
      <c r="R47" s="619"/>
    </row>
    <row r="48" spans="1:18" s="173" customFormat="1" ht="16.5" thickBot="1" x14ac:dyDescent="0.3">
      <c r="B48" s="731" t="s">
        <v>395</v>
      </c>
      <c r="C48" s="732">
        <v>97</v>
      </c>
      <c r="D48" s="732">
        <v>94</v>
      </c>
      <c r="E48" s="732">
        <v>40</v>
      </c>
      <c r="F48" s="732">
        <v>84</v>
      </c>
      <c r="G48" s="733"/>
      <c r="H48" s="733"/>
      <c r="I48" s="732">
        <v>7</v>
      </c>
      <c r="J48" s="733"/>
      <c r="K48" s="733"/>
      <c r="L48" s="733"/>
      <c r="M48" s="733"/>
      <c r="N48" s="734">
        <v>5</v>
      </c>
      <c r="O48" s="734"/>
      <c r="P48" s="735">
        <f t="shared" si="23"/>
        <v>327</v>
      </c>
      <c r="R48" s="618">
        <f>P48/P22</f>
        <v>0.24079528718703977</v>
      </c>
    </row>
    <row r="49" spans="2:16" ht="15" customHeight="1" thickTop="1" x14ac:dyDescent="0.25">
      <c r="B49" s="424" t="s">
        <v>75</v>
      </c>
      <c r="C49" s="425">
        <v>0</v>
      </c>
      <c r="D49" s="425">
        <v>0</v>
      </c>
      <c r="E49" s="425">
        <v>0</v>
      </c>
      <c r="F49" s="425">
        <v>0</v>
      </c>
      <c r="G49" s="425">
        <v>0</v>
      </c>
      <c r="H49" s="425">
        <v>0</v>
      </c>
      <c r="I49" s="425">
        <v>0</v>
      </c>
      <c r="J49" s="425">
        <v>0</v>
      </c>
      <c r="K49" s="425">
        <v>0</v>
      </c>
      <c r="L49" s="425">
        <v>0</v>
      </c>
      <c r="M49" s="425">
        <v>0</v>
      </c>
      <c r="N49" s="432"/>
      <c r="O49" s="432">
        <v>0</v>
      </c>
      <c r="P49" s="639">
        <v>0</v>
      </c>
    </row>
    <row r="50" spans="2:16" s="173" customFormat="1" ht="15" customHeight="1" thickBot="1" x14ac:dyDescent="0.3">
      <c r="B50" s="426" t="s">
        <v>179</v>
      </c>
      <c r="C50" s="427">
        <v>1</v>
      </c>
      <c r="D50" s="427">
        <v>1</v>
      </c>
      <c r="E50" s="427">
        <v>1</v>
      </c>
      <c r="F50" s="427">
        <v>1</v>
      </c>
      <c r="G50" s="427">
        <v>1</v>
      </c>
      <c r="H50" s="427">
        <v>1</v>
      </c>
      <c r="I50" s="427">
        <v>1</v>
      </c>
      <c r="J50" s="427">
        <v>1</v>
      </c>
      <c r="K50" s="427">
        <v>1</v>
      </c>
      <c r="L50" s="427">
        <v>1</v>
      </c>
      <c r="M50" s="427">
        <v>1</v>
      </c>
      <c r="N50" s="433"/>
      <c r="O50" s="433">
        <v>1</v>
      </c>
      <c r="P50" s="640">
        <v>1</v>
      </c>
    </row>
    <row r="51" spans="2:16" ht="17.25" thickTop="1" thickBot="1" x14ac:dyDescent="0.3">
      <c r="B51" s="436" t="s">
        <v>76</v>
      </c>
      <c r="C51" s="437">
        <f>C48/C22</f>
        <v>0.11010215664018161</v>
      </c>
      <c r="D51" s="438">
        <f t="shared" ref="D51:O51" si="24">D48/D22</f>
        <v>0.55952380952380953</v>
      </c>
      <c r="E51" s="437">
        <f t="shared" si="24"/>
        <v>0.34482758620689657</v>
      </c>
      <c r="F51" s="438">
        <f t="shared" si="24"/>
        <v>0.66141732283464572</v>
      </c>
      <c r="G51" s="437" t="e">
        <f t="shared" si="24"/>
        <v>#DIV/0!</v>
      </c>
      <c r="H51" s="437">
        <f t="shared" si="24"/>
        <v>0</v>
      </c>
      <c r="I51" s="437">
        <f t="shared" si="24"/>
        <v>0.20588235294117646</v>
      </c>
      <c r="J51" s="437" t="e">
        <f t="shared" si="24"/>
        <v>#DIV/0!</v>
      </c>
      <c r="K51" s="437">
        <f t="shared" si="24"/>
        <v>0</v>
      </c>
      <c r="L51" s="437">
        <f t="shared" si="24"/>
        <v>0</v>
      </c>
      <c r="M51" s="437">
        <f t="shared" si="24"/>
        <v>0</v>
      </c>
      <c r="N51" s="437" t="e">
        <f t="shared" si="24"/>
        <v>#DIV/0!</v>
      </c>
      <c r="O51" s="437">
        <f t="shared" si="24"/>
        <v>0</v>
      </c>
      <c r="P51" s="623">
        <f>P48/P22</f>
        <v>0.24079528718703977</v>
      </c>
    </row>
    <row r="52" spans="2:16" ht="26.25" thickTop="1" x14ac:dyDescent="0.25">
      <c r="B52" s="428" t="s">
        <v>2</v>
      </c>
      <c r="C52" s="704" t="s">
        <v>0</v>
      </c>
      <c r="D52" s="704"/>
      <c r="E52" s="704"/>
      <c r="F52" s="704"/>
      <c r="G52" s="704"/>
      <c r="H52" s="704"/>
      <c r="I52" s="704"/>
      <c r="J52" s="704"/>
      <c r="K52" s="704"/>
      <c r="L52" s="704"/>
      <c r="M52" s="704"/>
      <c r="N52" s="705"/>
      <c r="O52" s="705"/>
      <c r="P52" s="434"/>
    </row>
    <row r="53" spans="2:16" ht="26.25" thickBot="1" x14ac:dyDescent="0.3">
      <c r="B53" s="429" t="s">
        <v>1</v>
      </c>
      <c r="C53" s="701" t="s">
        <v>0</v>
      </c>
      <c r="D53" s="701"/>
      <c r="E53" s="701"/>
      <c r="F53" s="701"/>
      <c r="G53" s="701"/>
      <c r="H53" s="701"/>
      <c r="I53" s="701"/>
      <c r="J53" s="701"/>
      <c r="K53" s="701"/>
      <c r="L53" s="701"/>
      <c r="M53" s="701"/>
      <c r="N53" s="702"/>
      <c r="O53" s="702"/>
      <c r="P53" s="435"/>
    </row>
    <row r="54" spans="2:16" ht="15.75" thickTop="1" x14ac:dyDescent="0.25"/>
    <row r="55" spans="2:16" x14ac:dyDescent="0.25">
      <c r="B55" s="39"/>
      <c r="C55" s="173"/>
    </row>
    <row r="56" spans="2:16" x14ac:dyDescent="0.25">
      <c r="B56" s="173"/>
      <c r="C56" s="173"/>
    </row>
    <row r="57" spans="2:16" x14ac:dyDescent="0.25">
      <c r="B57" s="39"/>
    </row>
    <row r="60" spans="2:16" x14ac:dyDescent="0.25">
      <c r="B60" s="39"/>
    </row>
    <row r="63" spans="2:16" x14ac:dyDescent="0.25">
      <c r="B63" s="39"/>
    </row>
    <row r="65" spans="2:2" x14ac:dyDescent="0.25">
      <c r="B65" s="39"/>
    </row>
  </sheetData>
  <mergeCells count="6">
    <mergeCell ref="C53:O53"/>
    <mergeCell ref="C13:H13"/>
    <mergeCell ref="I13:O13"/>
    <mergeCell ref="B6:O6"/>
    <mergeCell ref="C12:O12"/>
    <mergeCell ref="C52:O5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010F5"/>
  </sheetPr>
  <dimension ref="A1:AO70"/>
  <sheetViews>
    <sheetView zoomScale="60" zoomScaleNormal="60" workbookViewId="0">
      <selection activeCell="J8" sqref="J8"/>
    </sheetView>
  </sheetViews>
  <sheetFormatPr baseColWidth="10" defaultRowHeight="15" x14ac:dyDescent="0.25"/>
  <cols>
    <col min="2" max="2" width="66.85546875" bestFit="1" customWidth="1"/>
    <col min="3" max="8" width="7.42578125" bestFit="1" customWidth="1"/>
    <col min="9" max="10" width="12.7109375" customWidth="1"/>
    <col min="12" max="12" width="63.42578125" customWidth="1"/>
    <col min="13" max="17" width="8.140625" bestFit="1" customWidth="1"/>
    <col min="20" max="20" width="58.140625" bestFit="1" customWidth="1"/>
    <col min="21" max="25" width="8.140625" bestFit="1" customWidth="1"/>
    <col min="26" max="26" width="13.28515625" customWidth="1"/>
    <col min="28" max="28" width="46.7109375" customWidth="1"/>
    <col min="29" max="33" width="8.140625" bestFit="1" customWidth="1"/>
    <col min="35" max="35" width="59.7109375" customWidth="1"/>
    <col min="36" max="41" width="8.140625" bestFit="1" customWidth="1"/>
  </cols>
  <sheetData>
    <row r="1" spans="1:41" x14ac:dyDescent="0.25">
      <c r="A1" s="13" t="s">
        <v>39</v>
      </c>
    </row>
    <row r="2" spans="1:41" x14ac:dyDescent="0.25">
      <c r="A2" s="13" t="s">
        <v>40</v>
      </c>
    </row>
    <row r="3" spans="1:41" x14ac:dyDescent="0.25">
      <c r="A3" s="13" t="s">
        <v>41</v>
      </c>
    </row>
    <row r="4" spans="1:41" x14ac:dyDescent="0.25">
      <c r="A4" s="13" t="s">
        <v>42</v>
      </c>
    </row>
    <row r="5" spans="1:41" ht="15.75" thickBot="1" x14ac:dyDescent="0.3"/>
    <row r="6" spans="1:41" ht="20.25" thickTop="1" thickBot="1" x14ac:dyDescent="0.35">
      <c r="B6" s="709" t="s">
        <v>155</v>
      </c>
      <c r="C6" s="710"/>
      <c r="D6" s="710"/>
      <c r="E6" s="710"/>
      <c r="F6" s="710"/>
      <c r="G6" s="710"/>
      <c r="H6" s="710"/>
      <c r="I6" s="710"/>
      <c r="J6" s="711"/>
      <c r="L6" s="667" t="s">
        <v>172</v>
      </c>
      <c r="M6" s="668"/>
      <c r="N6" s="668"/>
      <c r="O6" s="668"/>
      <c r="P6" s="668"/>
      <c r="Q6" s="668"/>
      <c r="R6" s="669"/>
      <c r="T6" s="708" t="s">
        <v>173</v>
      </c>
      <c r="U6" s="708"/>
      <c r="V6" s="708"/>
      <c r="W6" s="708"/>
      <c r="X6" s="708"/>
      <c r="Y6" s="708"/>
      <c r="Z6" s="708"/>
      <c r="AB6" s="708" t="s">
        <v>174</v>
      </c>
      <c r="AC6" s="708"/>
      <c r="AD6" s="708"/>
      <c r="AE6" s="708"/>
      <c r="AF6" s="708"/>
      <c r="AG6" s="708"/>
      <c r="AI6" s="708" t="s">
        <v>175</v>
      </c>
      <c r="AJ6" s="708"/>
      <c r="AK6" s="708"/>
      <c r="AL6" s="708"/>
      <c r="AM6" s="708"/>
      <c r="AN6" s="708"/>
      <c r="AO6" s="708"/>
    </row>
    <row r="7" spans="1:41" ht="16.5" thickTop="1" thickBot="1" x14ac:dyDescent="0.3"/>
    <row r="8" spans="1:41" ht="31.5" thickTop="1" thickBot="1" x14ac:dyDescent="0.3">
      <c r="B8" s="90" t="s">
        <v>155</v>
      </c>
      <c r="C8" s="91">
        <v>2013</v>
      </c>
      <c r="D8" s="91">
        <v>2014</v>
      </c>
      <c r="E8" s="91">
        <v>2015</v>
      </c>
      <c r="F8" s="91">
        <v>2016</v>
      </c>
      <c r="G8" s="91">
        <v>2017</v>
      </c>
      <c r="H8" s="91">
        <v>2018</v>
      </c>
      <c r="I8" s="92" t="s">
        <v>121</v>
      </c>
      <c r="L8" s="54" t="s">
        <v>309</v>
      </c>
      <c r="M8" s="55">
        <v>2014</v>
      </c>
      <c r="N8" s="55">
        <v>2015</v>
      </c>
      <c r="O8" s="55">
        <v>2016</v>
      </c>
      <c r="P8" s="55">
        <v>2017</v>
      </c>
      <c r="Q8" s="55">
        <v>2018</v>
      </c>
      <c r="R8" s="89" t="s">
        <v>121</v>
      </c>
      <c r="T8" s="68" t="s">
        <v>309</v>
      </c>
      <c r="U8" s="69">
        <v>2014</v>
      </c>
      <c r="V8" s="69">
        <v>2015</v>
      </c>
      <c r="W8" s="69">
        <v>2016</v>
      </c>
      <c r="X8" s="69">
        <v>2017</v>
      </c>
      <c r="Y8" s="69">
        <v>2018</v>
      </c>
      <c r="Z8" s="88" t="s">
        <v>121</v>
      </c>
      <c r="AB8" s="68" t="s">
        <v>309</v>
      </c>
      <c r="AC8" s="69">
        <v>2015</v>
      </c>
      <c r="AD8" s="69">
        <v>2016</v>
      </c>
      <c r="AE8" s="69">
        <v>2017</v>
      </c>
      <c r="AF8" s="69">
        <v>2018</v>
      </c>
      <c r="AG8" s="69" t="s">
        <v>121</v>
      </c>
      <c r="AI8" s="54" t="s">
        <v>309</v>
      </c>
      <c r="AJ8" s="55">
        <v>2014</v>
      </c>
      <c r="AK8" s="55">
        <v>2015</v>
      </c>
      <c r="AL8" s="55">
        <v>2016</v>
      </c>
      <c r="AM8" s="55">
        <v>2017</v>
      </c>
      <c r="AN8" s="55">
        <v>2018</v>
      </c>
      <c r="AO8" s="609" t="s">
        <v>121</v>
      </c>
    </row>
    <row r="9" spans="1:41" ht="15.75" thickTop="1" x14ac:dyDescent="0.25">
      <c r="B9" s="93" t="s">
        <v>122</v>
      </c>
      <c r="C9" s="94"/>
      <c r="D9" s="94">
        <v>968</v>
      </c>
      <c r="E9" s="94">
        <v>1761</v>
      </c>
      <c r="F9" s="94">
        <v>3392</v>
      </c>
      <c r="G9" s="94">
        <v>5333</v>
      </c>
      <c r="H9" s="94">
        <v>3995</v>
      </c>
      <c r="I9" s="95">
        <v>15449</v>
      </c>
      <c r="J9" s="712">
        <f>I9/I32</f>
        <v>0.84067040322141806</v>
      </c>
      <c r="L9" s="70" t="s">
        <v>151</v>
      </c>
      <c r="M9" s="71">
        <v>808</v>
      </c>
      <c r="N9" s="71">
        <v>1293</v>
      </c>
      <c r="O9" s="71">
        <v>2181</v>
      </c>
      <c r="P9" s="71">
        <v>2712</v>
      </c>
      <c r="Q9" s="71">
        <v>1839</v>
      </c>
      <c r="R9" s="87">
        <v>8833</v>
      </c>
      <c r="T9" s="70" t="s">
        <v>156</v>
      </c>
      <c r="U9" s="71">
        <v>64</v>
      </c>
      <c r="V9" s="71">
        <v>101</v>
      </c>
      <c r="W9" s="71">
        <v>175</v>
      </c>
      <c r="X9" s="71">
        <v>372</v>
      </c>
      <c r="Y9" s="71">
        <v>257</v>
      </c>
      <c r="Z9" s="87">
        <v>969</v>
      </c>
      <c r="AB9" s="70" t="s">
        <v>157</v>
      </c>
      <c r="AC9" s="485">
        <v>1</v>
      </c>
      <c r="AD9" s="485">
        <v>25</v>
      </c>
      <c r="AE9" s="485">
        <v>31</v>
      </c>
      <c r="AF9" s="485">
        <v>15</v>
      </c>
      <c r="AG9" s="485">
        <v>72</v>
      </c>
      <c r="AI9" s="62" t="s">
        <v>316</v>
      </c>
      <c r="AJ9" s="63">
        <v>1</v>
      </c>
      <c r="AK9" s="63">
        <v>65</v>
      </c>
      <c r="AL9" s="63">
        <v>132</v>
      </c>
      <c r="AM9" s="63">
        <v>481</v>
      </c>
      <c r="AN9" s="63">
        <v>355</v>
      </c>
      <c r="AO9" s="64">
        <v>1034</v>
      </c>
    </row>
    <row r="10" spans="1:41" ht="15.75" thickBot="1" x14ac:dyDescent="0.3">
      <c r="B10" s="56" t="s">
        <v>315</v>
      </c>
      <c r="C10" s="57"/>
      <c r="D10" s="57">
        <v>319</v>
      </c>
      <c r="E10" s="57">
        <v>603</v>
      </c>
      <c r="F10" s="57">
        <v>943</v>
      </c>
      <c r="G10" s="57">
        <v>1548</v>
      </c>
      <c r="H10" s="57">
        <v>1185</v>
      </c>
      <c r="I10" s="58">
        <v>4598</v>
      </c>
      <c r="J10" s="713"/>
      <c r="L10" s="56" t="s">
        <v>316</v>
      </c>
      <c r="M10" s="57">
        <v>1</v>
      </c>
      <c r="N10" s="57">
        <v>309</v>
      </c>
      <c r="O10" s="57">
        <v>1025</v>
      </c>
      <c r="P10" s="57">
        <v>1293</v>
      </c>
      <c r="Q10" s="57">
        <v>692</v>
      </c>
      <c r="R10" s="58">
        <v>3320</v>
      </c>
      <c r="T10" s="56" t="s">
        <v>316</v>
      </c>
      <c r="U10" s="57">
        <v>54</v>
      </c>
      <c r="V10" s="57">
        <v>99</v>
      </c>
      <c r="W10" s="57">
        <v>156</v>
      </c>
      <c r="X10" s="57">
        <v>208</v>
      </c>
      <c r="Y10" s="57">
        <v>179</v>
      </c>
      <c r="Z10" s="58">
        <v>696</v>
      </c>
      <c r="AB10" s="56" t="s">
        <v>315</v>
      </c>
      <c r="AC10" s="486">
        <v>1</v>
      </c>
      <c r="AD10" s="486">
        <v>25</v>
      </c>
      <c r="AE10" s="486">
        <v>31</v>
      </c>
      <c r="AF10" s="486">
        <v>15</v>
      </c>
      <c r="AG10" s="486">
        <v>72</v>
      </c>
      <c r="AI10" s="56" t="s">
        <v>160</v>
      </c>
      <c r="AJ10" s="57"/>
      <c r="AK10" s="57">
        <v>24</v>
      </c>
      <c r="AL10" s="57">
        <v>46</v>
      </c>
      <c r="AM10" s="57">
        <v>220</v>
      </c>
      <c r="AN10" s="57">
        <v>146</v>
      </c>
      <c r="AO10" s="58">
        <v>436</v>
      </c>
    </row>
    <row r="11" spans="1:41" ht="15.75" thickTop="1" x14ac:dyDescent="0.25">
      <c r="B11" s="56" t="s">
        <v>316</v>
      </c>
      <c r="C11" s="57"/>
      <c r="D11" s="57">
        <v>7</v>
      </c>
      <c r="E11" s="57">
        <v>321</v>
      </c>
      <c r="F11" s="57">
        <v>1095</v>
      </c>
      <c r="G11" s="57">
        <v>1717</v>
      </c>
      <c r="H11" s="57">
        <v>1313</v>
      </c>
      <c r="I11" s="58">
        <v>4453</v>
      </c>
      <c r="J11" s="713"/>
      <c r="L11" s="56" t="s">
        <v>315</v>
      </c>
      <c r="M11" s="57">
        <v>222</v>
      </c>
      <c r="N11" s="57">
        <v>426</v>
      </c>
      <c r="O11" s="57">
        <v>541</v>
      </c>
      <c r="P11" s="57">
        <v>705</v>
      </c>
      <c r="Q11" s="57">
        <v>570</v>
      </c>
      <c r="R11" s="58">
        <v>2464</v>
      </c>
      <c r="T11" s="56" t="s">
        <v>320</v>
      </c>
      <c r="U11" s="57">
        <v>7</v>
      </c>
      <c r="V11" s="57"/>
      <c r="W11" s="57">
        <v>19</v>
      </c>
      <c r="X11" s="57">
        <v>164</v>
      </c>
      <c r="Y11" s="57">
        <v>65</v>
      </c>
      <c r="Z11" s="58">
        <v>255</v>
      </c>
      <c r="AB11" s="70" t="s">
        <v>290</v>
      </c>
      <c r="AC11" s="485"/>
      <c r="AD11" s="485"/>
      <c r="AE11" s="485">
        <v>1</v>
      </c>
      <c r="AF11" s="485"/>
      <c r="AG11" s="485">
        <v>1</v>
      </c>
      <c r="AI11" s="56" t="s">
        <v>161</v>
      </c>
      <c r="AJ11" s="57">
        <v>1</v>
      </c>
      <c r="AK11" s="57">
        <v>37</v>
      </c>
      <c r="AL11" s="57">
        <v>27</v>
      </c>
      <c r="AM11" s="57">
        <v>170</v>
      </c>
      <c r="AN11" s="57">
        <v>120</v>
      </c>
      <c r="AO11" s="58">
        <v>355</v>
      </c>
    </row>
    <row r="12" spans="1:41" ht="15.75" thickBot="1" x14ac:dyDescent="0.3">
      <c r="B12" s="56" t="s">
        <v>320</v>
      </c>
      <c r="C12" s="57"/>
      <c r="D12" s="57">
        <v>149</v>
      </c>
      <c r="E12" s="57">
        <v>496</v>
      </c>
      <c r="F12" s="57">
        <v>680</v>
      </c>
      <c r="G12" s="57">
        <v>763</v>
      </c>
      <c r="H12" s="57">
        <v>441</v>
      </c>
      <c r="I12" s="58">
        <v>2529</v>
      </c>
      <c r="J12" s="713"/>
      <c r="L12" s="56" t="s">
        <v>320</v>
      </c>
      <c r="M12" s="57">
        <v>135</v>
      </c>
      <c r="N12" s="57">
        <v>386</v>
      </c>
      <c r="O12" s="57">
        <v>442</v>
      </c>
      <c r="P12" s="57">
        <v>436</v>
      </c>
      <c r="Q12" s="57">
        <v>236</v>
      </c>
      <c r="R12" s="58">
        <v>1635</v>
      </c>
      <c r="T12" s="56" t="s">
        <v>315</v>
      </c>
      <c r="U12" s="57"/>
      <c r="V12" s="57"/>
      <c r="W12" s="57"/>
      <c r="X12" s="57"/>
      <c r="Y12" s="57">
        <v>13</v>
      </c>
      <c r="Z12" s="58">
        <v>13</v>
      </c>
      <c r="AB12" s="59" t="s">
        <v>316</v>
      </c>
      <c r="AC12" s="487"/>
      <c r="AD12" s="487"/>
      <c r="AE12" s="487">
        <v>1</v>
      </c>
      <c r="AF12" s="487"/>
      <c r="AG12" s="487">
        <v>1</v>
      </c>
      <c r="AI12" s="56" t="s">
        <v>164</v>
      </c>
      <c r="AJ12" s="57"/>
      <c r="AK12" s="57"/>
      <c r="AL12" s="57">
        <v>22</v>
      </c>
      <c r="AM12" s="57">
        <v>35</v>
      </c>
      <c r="AN12" s="57">
        <v>20</v>
      </c>
      <c r="AO12" s="58">
        <v>77</v>
      </c>
    </row>
    <row r="13" spans="1:41" ht="16.5" thickTop="1" thickBot="1" x14ac:dyDescent="0.3">
      <c r="B13" s="56" t="s">
        <v>321</v>
      </c>
      <c r="C13" s="57"/>
      <c r="D13" s="57">
        <v>470</v>
      </c>
      <c r="E13" s="57">
        <v>210</v>
      </c>
      <c r="F13" s="57">
        <v>353</v>
      </c>
      <c r="G13" s="57">
        <v>804</v>
      </c>
      <c r="H13" s="57">
        <v>600</v>
      </c>
      <c r="I13" s="58">
        <v>2437</v>
      </c>
      <c r="J13" s="713"/>
      <c r="L13" s="56" t="s">
        <v>321</v>
      </c>
      <c r="M13" s="57">
        <v>450</v>
      </c>
      <c r="N13" s="57">
        <v>168</v>
      </c>
      <c r="O13" s="57">
        <v>159</v>
      </c>
      <c r="P13" s="57">
        <v>253</v>
      </c>
      <c r="Q13" s="57">
        <v>232</v>
      </c>
      <c r="R13" s="58">
        <v>1262</v>
      </c>
      <c r="T13" s="56" t="s">
        <v>329</v>
      </c>
      <c r="U13" s="57">
        <v>3</v>
      </c>
      <c r="V13" s="57">
        <v>2</v>
      </c>
      <c r="W13" s="57"/>
      <c r="X13" s="57"/>
      <c r="Y13" s="57"/>
      <c r="Z13" s="58">
        <v>5</v>
      </c>
      <c r="AB13" s="73" t="s">
        <v>121</v>
      </c>
      <c r="AC13" s="488">
        <v>1</v>
      </c>
      <c r="AD13" s="488">
        <v>25</v>
      </c>
      <c r="AE13" s="488">
        <v>32</v>
      </c>
      <c r="AF13" s="488">
        <v>15</v>
      </c>
      <c r="AG13" s="488">
        <v>73</v>
      </c>
      <c r="AI13" s="56" t="s">
        <v>158</v>
      </c>
      <c r="AJ13" s="57"/>
      <c r="AK13" s="57"/>
      <c r="AL13" s="57"/>
      <c r="AM13" s="57">
        <v>23</v>
      </c>
      <c r="AN13" s="57">
        <v>37</v>
      </c>
      <c r="AO13" s="58">
        <v>60</v>
      </c>
    </row>
    <row r="14" spans="1:41" ht="16.5" thickTop="1" thickBot="1" x14ac:dyDescent="0.3">
      <c r="B14" s="56" t="s">
        <v>329</v>
      </c>
      <c r="C14" s="57"/>
      <c r="D14" s="57">
        <v>23</v>
      </c>
      <c r="E14" s="57">
        <v>127</v>
      </c>
      <c r="F14" s="57">
        <v>310</v>
      </c>
      <c r="G14" s="57">
        <v>467</v>
      </c>
      <c r="H14" s="57">
        <v>355</v>
      </c>
      <c r="I14" s="58">
        <v>1282</v>
      </c>
      <c r="J14" s="713"/>
      <c r="L14" s="59" t="s">
        <v>329</v>
      </c>
      <c r="M14" s="60"/>
      <c r="N14" s="60">
        <v>4</v>
      </c>
      <c r="O14" s="60">
        <v>14</v>
      </c>
      <c r="P14" s="60">
        <v>25</v>
      </c>
      <c r="Q14" s="60">
        <v>109</v>
      </c>
      <c r="R14" s="61">
        <v>152</v>
      </c>
      <c r="T14" s="65" t="s">
        <v>121</v>
      </c>
      <c r="U14" s="66">
        <v>64</v>
      </c>
      <c r="V14" s="66">
        <v>101</v>
      </c>
      <c r="W14" s="66">
        <v>175</v>
      </c>
      <c r="X14" s="66">
        <v>372</v>
      </c>
      <c r="Y14" s="66">
        <v>257</v>
      </c>
      <c r="Z14" s="67">
        <v>969</v>
      </c>
      <c r="AB14" s="173"/>
      <c r="AC14" s="173"/>
      <c r="AD14" s="173"/>
      <c r="AE14" s="173"/>
      <c r="AF14" s="173"/>
      <c r="AG14" s="173"/>
      <c r="AI14" s="56" t="s">
        <v>163</v>
      </c>
      <c r="AJ14" s="57"/>
      <c r="AK14" s="57">
        <v>1</v>
      </c>
      <c r="AL14" s="57">
        <v>1</v>
      </c>
      <c r="AM14" s="57">
        <v>32</v>
      </c>
      <c r="AN14" s="57">
        <v>13</v>
      </c>
      <c r="AO14" s="58">
        <v>47</v>
      </c>
    </row>
    <row r="15" spans="1:41" ht="15.75" thickTop="1" x14ac:dyDescent="0.25">
      <c r="B15" s="56" t="s">
        <v>127</v>
      </c>
      <c r="C15" s="57"/>
      <c r="D15" s="57"/>
      <c r="E15" s="57">
        <v>4</v>
      </c>
      <c r="F15" s="57">
        <v>9</v>
      </c>
      <c r="G15" s="57">
        <v>21</v>
      </c>
      <c r="H15" s="57">
        <v>87</v>
      </c>
      <c r="I15" s="58">
        <v>121</v>
      </c>
      <c r="J15" s="713"/>
      <c r="L15" s="70" t="s">
        <v>153</v>
      </c>
      <c r="M15" s="71">
        <v>82</v>
      </c>
      <c r="N15" s="71">
        <v>151</v>
      </c>
      <c r="O15" s="71">
        <v>547</v>
      </c>
      <c r="P15" s="71">
        <v>1692</v>
      </c>
      <c r="Q15" s="71">
        <v>1348</v>
      </c>
      <c r="R15" s="87">
        <v>3820</v>
      </c>
      <c r="AI15" s="56" t="s">
        <v>170</v>
      </c>
      <c r="AJ15" s="57"/>
      <c r="AK15" s="57"/>
      <c r="AL15" s="57">
        <v>28</v>
      </c>
      <c r="AM15" s="57"/>
      <c r="AN15" s="57"/>
      <c r="AO15" s="58">
        <v>28</v>
      </c>
    </row>
    <row r="16" spans="1:41" ht="15.75" thickBot="1" x14ac:dyDescent="0.3">
      <c r="B16" s="56" t="s">
        <v>357</v>
      </c>
      <c r="C16" s="57"/>
      <c r="D16" s="57"/>
      <c r="E16" s="57"/>
      <c r="F16" s="57"/>
      <c r="G16" s="57">
        <v>11</v>
      </c>
      <c r="H16" s="57"/>
      <c r="I16" s="58">
        <v>11</v>
      </c>
      <c r="J16" s="713"/>
      <c r="L16" s="56" t="s">
        <v>321</v>
      </c>
      <c r="M16" s="57">
        <v>20</v>
      </c>
      <c r="N16" s="57">
        <v>39</v>
      </c>
      <c r="O16" s="57">
        <v>187</v>
      </c>
      <c r="P16" s="57">
        <v>532</v>
      </c>
      <c r="Q16" s="57">
        <v>325</v>
      </c>
      <c r="R16" s="58">
        <v>1103</v>
      </c>
      <c r="AI16" s="56" t="s">
        <v>159</v>
      </c>
      <c r="AJ16" s="57"/>
      <c r="AK16" s="57">
        <v>3</v>
      </c>
      <c r="AL16" s="57">
        <v>1</v>
      </c>
      <c r="AM16" s="57"/>
      <c r="AN16" s="57">
        <v>19</v>
      </c>
      <c r="AO16" s="58">
        <v>23</v>
      </c>
    </row>
    <row r="17" spans="2:41" ht="19.5" customHeight="1" thickTop="1" thickBot="1" x14ac:dyDescent="0.3">
      <c r="B17" s="56" t="s">
        <v>418</v>
      </c>
      <c r="C17" s="57"/>
      <c r="D17" s="57"/>
      <c r="E17" s="57"/>
      <c r="F17" s="57">
        <v>2</v>
      </c>
      <c r="G17" s="57">
        <v>2</v>
      </c>
      <c r="H17" s="57">
        <v>5</v>
      </c>
      <c r="I17" s="58">
        <v>9</v>
      </c>
      <c r="J17" s="713"/>
      <c r="L17" s="56" t="s">
        <v>315</v>
      </c>
      <c r="M17" s="57">
        <v>30</v>
      </c>
      <c r="N17" s="57">
        <v>15</v>
      </c>
      <c r="O17" s="57">
        <v>140</v>
      </c>
      <c r="P17" s="57">
        <v>449</v>
      </c>
      <c r="Q17" s="57">
        <v>333</v>
      </c>
      <c r="R17" s="58">
        <v>967</v>
      </c>
      <c r="AB17" s="380" t="s">
        <v>309</v>
      </c>
      <c r="AC17" s="68">
        <v>2014</v>
      </c>
      <c r="AD17" s="69">
        <v>2015</v>
      </c>
      <c r="AE17" s="69">
        <v>2016</v>
      </c>
      <c r="AF17" s="69">
        <v>2017</v>
      </c>
      <c r="AG17" s="498">
        <v>2018</v>
      </c>
      <c r="AI17" s="56" t="s">
        <v>165</v>
      </c>
      <c r="AJ17" s="57"/>
      <c r="AK17" s="57"/>
      <c r="AL17" s="57">
        <v>7</v>
      </c>
      <c r="AM17" s="57"/>
      <c r="AN17" s="57"/>
      <c r="AO17" s="58">
        <v>7</v>
      </c>
    </row>
    <row r="18" spans="2:41" ht="16.5" thickTop="1" thickBot="1" x14ac:dyDescent="0.3">
      <c r="B18" s="56" t="s">
        <v>154</v>
      </c>
      <c r="C18" s="57"/>
      <c r="D18" s="57"/>
      <c r="E18" s="57"/>
      <c r="F18" s="57"/>
      <c r="G18" s="57"/>
      <c r="H18" s="57">
        <v>9</v>
      </c>
      <c r="I18" s="58">
        <v>9</v>
      </c>
      <c r="J18" s="714"/>
      <c r="L18" s="56" t="s">
        <v>316</v>
      </c>
      <c r="M18" s="57">
        <v>6</v>
      </c>
      <c r="N18" s="57">
        <v>10</v>
      </c>
      <c r="O18" s="57">
        <v>64</v>
      </c>
      <c r="P18" s="57">
        <v>367</v>
      </c>
      <c r="Q18" s="57">
        <v>442</v>
      </c>
      <c r="R18" s="58">
        <v>889</v>
      </c>
      <c r="T18" s="612" t="s">
        <v>287</v>
      </c>
      <c r="U18" s="334">
        <v>72</v>
      </c>
      <c r="V18" s="334">
        <v>101</v>
      </c>
      <c r="W18" s="334">
        <v>179</v>
      </c>
      <c r="X18" s="334">
        <v>382</v>
      </c>
      <c r="Y18" s="334">
        <v>204</v>
      </c>
      <c r="Z18" s="335">
        <v>938</v>
      </c>
      <c r="AI18" s="59" t="s">
        <v>162</v>
      </c>
      <c r="AJ18" s="60"/>
      <c r="AK18" s="60"/>
      <c r="AL18" s="60"/>
      <c r="AM18" s="60">
        <v>1</v>
      </c>
      <c r="AN18" s="60"/>
      <c r="AO18" s="61">
        <v>1</v>
      </c>
    </row>
    <row r="19" spans="2:41" ht="16.5" thickTop="1" thickBot="1" x14ac:dyDescent="0.3">
      <c r="B19" s="93" t="s">
        <v>128</v>
      </c>
      <c r="C19" s="94"/>
      <c r="D19" s="94">
        <v>56</v>
      </c>
      <c r="E19" s="94">
        <v>132</v>
      </c>
      <c r="F19" s="94">
        <v>305</v>
      </c>
      <c r="G19" s="94">
        <v>778</v>
      </c>
      <c r="H19" s="94">
        <v>615</v>
      </c>
      <c r="I19" s="95">
        <v>1886</v>
      </c>
      <c r="J19" s="173"/>
      <c r="L19" s="56" t="s">
        <v>329</v>
      </c>
      <c r="M19" s="57">
        <v>21</v>
      </c>
      <c r="N19" s="57">
        <v>63</v>
      </c>
      <c r="O19" s="57">
        <v>103</v>
      </c>
      <c r="P19" s="57">
        <v>161</v>
      </c>
      <c r="Q19" s="57">
        <v>115</v>
      </c>
      <c r="R19" s="58">
        <v>463</v>
      </c>
      <c r="T19" s="613" t="s">
        <v>386</v>
      </c>
      <c r="U19" s="614">
        <v>10</v>
      </c>
      <c r="V19" s="614">
        <v>2</v>
      </c>
      <c r="W19" s="614">
        <v>19</v>
      </c>
      <c r="X19" s="614">
        <v>173</v>
      </c>
      <c r="Y19" s="614">
        <v>45</v>
      </c>
      <c r="Z19" s="615">
        <v>249</v>
      </c>
      <c r="AB19" s="489" t="s">
        <v>387</v>
      </c>
      <c r="AC19" s="490">
        <v>1</v>
      </c>
      <c r="AD19" s="491">
        <v>1</v>
      </c>
      <c r="AE19" s="491">
        <v>26</v>
      </c>
      <c r="AF19" s="491">
        <v>36</v>
      </c>
      <c r="AG19" s="492">
        <v>15</v>
      </c>
      <c r="AI19" s="62" t="s">
        <v>315</v>
      </c>
      <c r="AJ19" s="63">
        <v>41</v>
      </c>
      <c r="AK19" s="63">
        <v>65</v>
      </c>
      <c r="AL19" s="63">
        <v>172</v>
      </c>
      <c r="AM19" s="63">
        <v>297</v>
      </c>
      <c r="AN19" s="63">
        <v>260</v>
      </c>
      <c r="AO19" s="64">
        <v>835</v>
      </c>
    </row>
    <row r="20" spans="2:41" ht="16.5" thickTop="1" thickBot="1" x14ac:dyDescent="0.3">
      <c r="B20" s="56" t="s">
        <v>316</v>
      </c>
      <c r="C20" s="57"/>
      <c r="D20" s="57">
        <v>1</v>
      </c>
      <c r="E20" s="57">
        <v>65</v>
      </c>
      <c r="F20" s="57">
        <v>132</v>
      </c>
      <c r="G20" s="57">
        <v>481</v>
      </c>
      <c r="H20" s="57">
        <v>355</v>
      </c>
      <c r="I20" s="58">
        <v>1034</v>
      </c>
      <c r="J20" s="712">
        <f>I20/I32</f>
        <v>5.6265984654731455E-2</v>
      </c>
      <c r="L20" s="56" t="s">
        <v>320</v>
      </c>
      <c r="M20" s="57">
        <v>5</v>
      </c>
      <c r="N20" s="57">
        <v>20</v>
      </c>
      <c r="O20" s="57">
        <v>43</v>
      </c>
      <c r="P20" s="57">
        <v>159</v>
      </c>
      <c r="Q20" s="57">
        <v>104</v>
      </c>
      <c r="R20" s="58">
        <v>331</v>
      </c>
      <c r="T20" s="611" t="s">
        <v>363</v>
      </c>
      <c r="U20" s="494">
        <f t="shared" ref="U20:Z20" si="0">U14-U19</f>
        <v>54</v>
      </c>
      <c r="V20" s="495">
        <f t="shared" si="0"/>
        <v>99</v>
      </c>
      <c r="W20" s="495">
        <f t="shared" si="0"/>
        <v>156</v>
      </c>
      <c r="X20" s="495">
        <f t="shared" si="0"/>
        <v>199</v>
      </c>
      <c r="Y20" s="496">
        <f t="shared" si="0"/>
        <v>212</v>
      </c>
      <c r="Z20" s="497">
        <f t="shared" si="0"/>
        <v>720</v>
      </c>
      <c r="AB20" s="493" t="s">
        <v>363</v>
      </c>
      <c r="AC20" s="494">
        <f>AC9-AC19</f>
        <v>0</v>
      </c>
      <c r="AD20" s="495">
        <f>AD9-AD19</f>
        <v>24</v>
      </c>
      <c r="AE20" s="495">
        <f>AE9-AE19</f>
        <v>5</v>
      </c>
      <c r="AF20" s="495">
        <f>AF9-AF19</f>
        <v>-21</v>
      </c>
      <c r="AG20" s="496">
        <f>AG9-AG19</f>
        <v>57</v>
      </c>
      <c r="AI20" s="56" t="s">
        <v>158</v>
      </c>
      <c r="AJ20" s="57">
        <v>27</v>
      </c>
      <c r="AK20" s="57">
        <v>17</v>
      </c>
      <c r="AL20" s="57">
        <v>41</v>
      </c>
      <c r="AM20" s="57">
        <v>86</v>
      </c>
      <c r="AN20" s="57">
        <v>97</v>
      </c>
      <c r="AO20" s="58">
        <v>268</v>
      </c>
    </row>
    <row r="21" spans="2:41" ht="15.75" thickTop="1" x14ac:dyDescent="0.25">
      <c r="B21" s="56" t="s">
        <v>315</v>
      </c>
      <c r="C21" s="57"/>
      <c r="D21" s="57">
        <v>41</v>
      </c>
      <c r="E21" s="57">
        <v>65</v>
      </c>
      <c r="F21" s="57">
        <v>172</v>
      </c>
      <c r="G21" s="57">
        <v>297</v>
      </c>
      <c r="H21" s="57">
        <v>260</v>
      </c>
      <c r="I21" s="58">
        <v>835</v>
      </c>
      <c r="J21" s="713"/>
      <c r="L21" s="56" t="s">
        <v>127</v>
      </c>
      <c r="M21" s="57"/>
      <c r="N21" s="57">
        <v>4</v>
      </c>
      <c r="O21" s="57">
        <v>9</v>
      </c>
      <c r="P21" s="57">
        <v>13</v>
      </c>
      <c r="Q21" s="57">
        <v>17</v>
      </c>
      <c r="R21" s="58">
        <v>43</v>
      </c>
      <c r="AI21" s="56" t="s">
        <v>161</v>
      </c>
      <c r="AJ21" s="57">
        <v>1</v>
      </c>
      <c r="AK21" s="57">
        <v>19</v>
      </c>
      <c r="AL21" s="57">
        <v>23</v>
      </c>
      <c r="AM21" s="57">
        <v>51</v>
      </c>
      <c r="AN21" s="57">
        <v>30</v>
      </c>
      <c r="AO21" s="58">
        <v>124</v>
      </c>
    </row>
    <row r="22" spans="2:41" x14ac:dyDescent="0.25">
      <c r="B22" s="56" t="s">
        <v>320</v>
      </c>
      <c r="C22" s="57"/>
      <c r="D22" s="57">
        <v>8</v>
      </c>
      <c r="E22" s="57">
        <v>2</v>
      </c>
      <c r="F22" s="57">
        <v>1</v>
      </c>
      <c r="G22" s="57"/>
      <c r="H22" s="57"/>
      <c r="I22" s="58">
        <v>11</v>
      </c>
      <c r="J22" s="713"/>
      <c r="L22" s="56" t="s">
        <v>357</v>
      </c>
      <c r="M22" s="57"/>
      <c r="N22" s="57"/>
      <c r="O22" s="57"/>
      <c r="P22" s="57">
        <v>11</v>
      </c>
      <c r="Q22" s="57"/>
      <c r="R22" s="58">
        <v>11</v>
      </c>
      <c r="AI22" s="56" t="s">
        <v>160</v>
      </c>
      <c r="AJ22" s="57"/>
      <c r="AK22" s="57">
        <v>8</v>
      </c>
      <c r="AL22" s="57">
        <v>32</v>
      </c>
      <c r="AM22" s="57">
        <v>72</v>
      </c>
      <c r="AN22" s="57">
        <v>12</v>
      </c>
      <c r="AO22" s="58">
        <v>124</v>
      </c>
    </row>
    <row r="23" spans="2:41" ht="15.75" thickBot="1" x14ac:dyDescent="0.3">
      <c r="B23" s="56" t="s">
        <v>329</v>
      </c>
      <c r="C23" s="57"/>
      <c r="D23" s="57">
        <v>6</v>
      </c>
      <c r="E23" s="57"/>
      <c r="F23" s="57"/>
      <c r="G23" s="57"/>
      <c r="H23" s="57"/>
      <c r="I23" s="58">
        <v>6</v>
      </c>
      <c r="J23" s="714"/>
      <c r="L23" s="56" t="s">
        <v>154</v>
      </c>
      <c r="M23" s="57"/>
      <c r="N23" s="57"/>
      <c r="O23" s="57"/>
      <c r="P23" s="57"/>
      <c r="Q23" s="57">
        <v>9</v>
      </c>
      <c r="R23" s="58">
        <v>9</v>
      </c>
      <c r="AI23" s="56" t="s">
        <v>159</v>
      </c>
      <c r="AJ23" s="57"/>
      <c r="AK23" s="57">
        <v>1</v>
      </c>
      <c r="AL23" s="57">
        <v>7</v>
      </c>
      <c r="AM23" s="57"/>
      <c r="AN23" s="57">
        <v>67</v>
      </c>
      <c r="AO23" s="58">
        <v>75</v>
      </c>
    </row>
    <row r="24" spans="2:41" ht="16.5" thickTop="1" thickBot="1" x14ac:dyDescent="0.3">
      <c r="B24" s="93" t="s">
        <v>130</v>
      </c>
      <c r="C24" s="94"/>
      <c r="D24" s="94">
        <v>64</v>
      </c>
      <c r="E24" s="94">
        <v>101</v>
      </c>
      <c r="F24" s="94">
        <v>175</v>
      </c>
      <c r="G24" s="94">
        <v>372</v>
      </c>
      <c r="H24" s="94">
        <v>257</v>
      </c>
      <c r="I24" s="95">
        <v>969</v>
      </c>
      <c r="J24" s="173"/>
      <c r="L24" s="59" t="s">
        <v>418</v>
      </c>
      <c r="M24" s="60"/>
      <c r="N24" s="60"/>
      <c r="O24" s="60">
        <v>1</v>
      </c>
      <c r="P24" s="60"/>
      <c r="Q24" s="60">
        <v>3</v>
      </c>
      <c r="R24" s="61">
        <v>4</v>
      </c>
      <c r="AI24" s="56" t="s">
        <v>162</v>
      </c>
      <c r="AJ24" s="57"/>
      <c r="AK24" s="57"/>
      <c r="AL24" s="57">
        <v>14</v>
      </c>
      <c r="AM24" s="57">
        <v>19</v>
      </c>
      <c r="AN24" s="57">
        <v>27</v>
      </c>
      <c r="AO24" s="58">
        <v>60</v>
      </c>
    </row>
    <row r="25" spans="2:41" ht="15.75" thickTop="1" x14ac:dyDescent="0.25">
      <c r="B25" s="56" t="s">
        <v>316</v>
      </c>
      <c r="C25" s="57"/>
      <c r="D25" s="57">
        <v>54</v>
      </c>
      <c r="E25" s="57">
        <v>99</v>
      </c>
      <c r="F25" s="57">
        <v>156</v>
      </c>
      <c r="G25" s="57">
        <v>208</v>
      </c>
      <c r="H25" s="57">
        <v>179</v>
      </c>
      <c r="I25" s="58">
        <v>696</v>
      </c>
      <c r="J25" s="712">
        <f>I25/I32</f>
        <v>3.7873428742449804E-2</v>
      </c>
      <c r="L25" s="70" t="s">
        <v>152</v>
      </c>
      <c r="M25" s="71">
        <v>78</v>
      </c>
      <c r="N25" s="71">
        <v>317</v>
      </c>
      <c r="O25" s="71">
        <v>664</v>
      </c>
      <c r="P25" s="71">
        <v>929</v>
      </c>
      <c r="Q25" s="71">
        <v>808</v>
      </c>
      <c r="R25" s="87">
        <v>2796</v>
      </c>
      <c r="AI25" s="56" t="s">
        <v>163</v>
      </c>
      <c r="AJ25" s="57"/>
      <c r="AK25" s="57">
        <v>5</v>
      </c>
      <c r="AL25" s="57">
        <v>29</v>
      </c>
      <c r="AM25" s="57">
        <v>22</v>
      </c>
      <c r="AN25" s="57">
        <v>1</v>
      </c>
      <c r="AO25" s="58">
        <v>57</v>
      </c>
    </row>
    <row r="26" spans="2:41" x14ac:dyDescent="0.25">
      <c r="B26" s="56" t="s">
        <v>320</v>
      </c>
      <c r="C26" s="57"/>
      <c r="D26" s="57">
        <v>7</v>
      </c>
      <c r="E26" s="57"/>
      <c r="F26" s="57">
        <v>19</v>
      </c>
      <c r="G26" s="57">
        <v>164</v>
      </c>
      <c r="H26" s="57">
        <v>65</v>
      </c>
      <c r="I26" s="58">
        <v>255</v>
      </c>
      <c r="J26" s="713"/>
      <c r="L26" s="56" t="s">
        <v>315</v>
      </c>
      <c r="M26" s="57">
        <v>67</v>
      </c>
      <c r="N26" s="57">
        <v>162</v>
      </c>
      <c r="O26" s="57">
        <v>262</v>
      </c>
      <c r="P26" s="57">
        <v>394</v>
      </c>
      <c r="Q26" s="57">
        <v>282</v>
      </c>
      <c r="R26" s="58">
        <v>1167</v>
      </c>
      <c r="AI26" s="56" t="s">
        <v>164</v>
      </c>
      <c r="AJ26" s="57"/>
      <c r="AK26" s="57">
        <v>5</v>
      </c>
      <c r="AL26" s="57">
        <v>11</v>
      </c>
      <c r="AM26" s="57">
        <v>25</v>
      </c>
      <c r="AN26" s="57">
        <v>8</v>
      </c>
      <c r="AO26" s="58">
        <v>49</v>
      </c>
    </row>
    <row r="27" spans="2:41" x14ac:dyDescent="0.25">
      <c r="B27" s="56" t="s">
        <v>315</v>
      </c>
      <c r="C27" s="57"/>
      <c r="D27" s="57"/>
      <c r="E27" s="57"/>
      <c r="F27" s="57"/>
      <c r="G27" s="57"/>
      <c r="H27" s="57">
        <v>13</v>
      </c>
      <c r="I27" s="58">
        <v>13</v>
      </c>
      <c r="J27" s="713"/>
      <c r="L27" s="56" t="s">
        <v>329</v>
      </c>
      <c r="M27" s="57">
        <v>2</v>
      </c>
      <c r="N27" s="57">
        <v>60</v>
      </c>
      <c r="O27" s="57">
        <v>193</v>
      </c>
      <c r="P27" s="57">
        <v>281</v>
      </c>
      <c r="Q27" s="57">
        <v>131</v>
      </c>
      <c r="R27" s="58">
        <v>667</v>
      </c>
      <c r="AI27" s="56" t="s">
        <v>165</v>
      </c>
      <c r="AJ27" s="57"/>
      <c r="AK27" s="57">
        <v>2</v>
      </c>
      <c r="AL27" s="57">
        <v>9</v>
      </c>
      <c r="AM27" s="57">
        <v>14</v>
      </c>
      <c r="AN27" s="57">
        <v>18</v>
      </c>
      <c r="AO27" s="58">
        <v>43</v>
      </c>
    </row>
    <row r="28" spans="2:41" ht="15.75" thickBot="1" x14ac:dyDescent="0.3">
      <c r="B28" s="56" t="s">
        <v>329</v>
      </c>
      <c r="C28" s="57"/>
      <c r="D28" s="57">
        <v>3</v>
      </c>
      <c r="E28" s="57">
        <v>2</v>
      </c>
      <c r="F28" s="57"/>
      <c r="G28" s="57"/>
      <c r="H28" s="57"/>
      <c r="I28" s="58">
        <v>5</v>
      </c>
      <c r="J28" s="714"/>
      <c r="L28" s="56" t="s">
        <v>320</v>
      </c>
      <c r="M28" s="57">
        <v>9</v>
      </c>
      <c r="N28" s="57">
        <v>90</v>
      </c>
      <c r="O28" s="57">
        <v>195</v>
      </c>
      <c r="P28" s="57">
        <v>168</v>
      </c>
      <c r="Q28" s="57">
        <v>101</v>
      </c>
      <c r="R28" s="58">
        <v>563</v>
      </c>
      <c r="AI28" s="56" t="s">
        <v>167</v>
      </c>
      <c r="AJ28" s="57"/>
      <c r="AK28" s="57">
        <v>5</v>
      </c>
      <c r="AL28" s="57">
        <v>1</v>
      </c>
      <c r="AM28" s="57">
        <v>8</v>
      </c>
      <c r="AN28" s="57"/>
      <c r="AO28" s="58">
        <v>14</v>
      </c>
    </row>
    <row r="29" spans="2:41" ht="16.5" thickTop="1" thickBot="1" x14ac:dyDescent="0.3">
      <c r="B29" s="93" t="s">
        <v>131</v>
      </c>
      <c r="C29" s="94"/>
      <c r="D29" s="94"/>
      <c r="E29" s="94">
        <v>1</v>
      </c>
      <c r="F29" s="94">
        <v>25</v>
      </c>
      <c r="G29" s="94">
        <v>32</v>
      </c>
      <c r="H29" s="94">
        <v>15</v>
      </c>
      <c r="I29" s="95">
        <v>73</v>
      </c>
      <c r="J29" s="173"/>
      <c r="L29" s="56" t="s">
        <v>316</v>
      </c>
      <c r="M29" s="57"/>
      <c r="N29" s="57">
        <v>2</v>
      </c>
      <c r="O29" s="57">
        <v>6</v>
      </c>
      <c r="P29" s="57">
        <v>57</v>
      </c>
      <c r="Q29" s="57">
        <v>179</v>
      </c>
      <c r="R29" s="58">
        <v>244</v>
      </c>
      <c r="AI29" s="56" t="s">
        <v>166</v>
      </c>
      <c r="AJ29" s="57">
        <v>11</v>
      </c>
      <c r="AK29" s="57">
        <v>1</v>
      </c>
      <c r="AL29" s="57">
        <v>1</v>
      </c>
      <c r="AM29" s="57"/>
      <c r="AN29" s="57"/>
      <c r="AO29" s="58">
        <v>13</v>
      </c>
    </row>
    <row r="30" spans="2:41" ht="16.5" thickTop="1" thickBot="1" x14ac:dyDescent="0.3">
      <c r="B30" s="56" t="s">
        <v>315</v>
      </c>
      <c r="C30" s="57"/>
      <c r="D30" s="57"/>
      <c r="E30" s="57">
        <v>1</v>
      </c>
      <c r="F30" s="57">
        <v>25</v>
      </c>
      <c r="G30" s="57">
        <v>31</v>
      </c>
      <c r="H30" s="57">
        <v>15</v>
      </c>
      <c r="I30" s="58">
        <v>72</v>
      </c>
      <c r="J30" s="706">
        <f>I30/I32</f>
        <v>3.9179409043913586E-3</v>
      </c>
      <c r="L30" s="56" t="s">
        <v>127</v>
      </c>
      <c r="M30" s="57"/>
      <c r="N30" s="57"/>
      <c r="O30" s="57"/>
      <c r="P30" s="57">
        <v>8</v>
      </c>
      <c r="Q30" s="57">
        <v>70</v>
      </c>
      <c r="R30" s="58">
        <v>78</v>
      </c>
      <c r="AI30" s="59" t="s">
        <v>168</v>
      </c>
      <c r="AJ30" s="60">
        <v>2</v>
      </c>
      <c r="AK30" s="60">
        <v>2</v>
      </c>
      <c r="AL30" s="60">
        <v>4</v>
      </c>
      <c r="AM30" s="60"/>
      <c r="AN30" s="60"/>
      <c r="AO30" s="61">
        <v>8</v>
      </c>
    </row>
    <row r="31" spans="2:41" ht="16.5" thickTop="1" thickBot="1" x14ac:dyDescent="0.3">
      <c r="B31" s="56" t="s">
        <v>316</v>
      </c>
      <c r="C31" s="57"/>
      <c r="D31" s="57"/>
      <c r="E31" s="57"/>
      <c r="F31" s="57"/>
      <c r="G31" s="57">
        <v>1</v>
      </c>
      <c r="H31" s="57"/>
      <c r="I31" s="58">
        <v>1</v>
      </c>
      <c r="J31" s="707"/>
      <c r="L31" s="56" t="s">
        <v>321</v>
      </c>
      <c r="M31" s="57"/>
      <c r="N31" s="57">
        <v>3</v>
      </c>
      <c r="O31" s="57">
        <v>7</v>
      </c>
      <c r="P31" s="57">
        <v>19</v>
      </c>
      <c r="Q31" s="57">
        <v>43</v>
      </c>
      <c r="R31" s="58">
        <v>72</v>
      </c>
      <c r="AI31" s="62" t="s">
        <v>320</v>
      </c>
      <c r="AJ31" s="63">
        <v>8</v>
      </c>
      <c r="AK31" s="63">
        <v>2</v>
      </c>
      <c r="AL31" s="63">
        <v>1</v>
      </c>
      <c r="AM31" s="63"/>
      <c r="AN31" s="63"/>
      <c r="AO31" s="64">
        <v>11</v>
      </c>
    </row>
    <row r="32" spans="2:41" ht="16.5" thickTop="1" thickBot="1" x14ac:dyDescent="0.3">
      <c r="B32" s="105" t="s">
        <v>121</v>
      </c>
      <c r="C32" s="106"/>
      <c r="D32" s="106">
        <v>1088</v>
      </c>
      <c r="E32" s="106">
        <v>1995</v>
      </c>
      <c r="F32" s="106">
        <v>3897</v>
      </c>
      <c r="G32" s="106">
        <v>6515</v>
      </c>
      <c r="H32" s="106">
        <v>4882</v>
      </c>
      <c r="I32" s="107">
        <v>18377</v>
      </c>
      <c r="J32" s="173"/>
      <c r="L32" s="59" t="s">
        <v>418</v>
      </c>
      <c r="M32" s="60"/>
      <c r="N32" s="60"/>
      <c r="O32" s="60">
        <v>1</v>
      </c>
      <c r="P32" s="60">
        <v>2</v>
      </c>
      <c r="Q32" s="60">
        <v>2</v>
      </c>
      <c r="R32" s="61">
        <v>5</v>
      </c>
      <c r="AI32" s="56" t="s">
        <v>170</v>
      </c>
      <c r="AJ32" s="57">
        <v>7</v>
      </c>
      <c r="AK32" s="57">
        <v>2</v>
      </c>
      <c r="AL32" s="57"/>
      <c r="AM32" s="57"/>
      <c r="AN32" s="57"/>
      <c r="AO32" s="58">
        <v>9</v>
      </c>
    </row>
    <row r="33" spans="2:41" ht="16.5" thickTop="1" thickBot="1" x14ac:dyDescent="0.3">
      <c r="B33" s="173"/>
      <c r="C33" s="173"/>
      <c r="D33" s="173"/>
      <c r="E33" s="173"/>
      <c r="F33" s="173"/>
      <c r="G33" s="173"/>
      <c r="H33" s="173"/>
      <c r="I33" s="173"/>
      <c r="J33" s="104"/>
      <c r="L33" s="470" t="s">
        <v>121</v>
      </c>
      <c r="M33" s="471">
        <v>968</v>
      </c>
      <c r="N33" s="471">
        <v>1761</v>
      </c>
      <c r="O33" s="471">
        <v>3392</v>
      </c>
      <c r="P33" s="471">
        <v>5333</v>
      </c>
      <c r="Q33" s="471">
        <v>3995</v>
      </c>
      <c r="R33" s="472">
        <v>15449</v>
      </c>
      <c r="AI33" s="59" t="s">
        <v>160</v>
      </c>
      <c r="AJ33" s="60">
        <v>1</v>
      </c>
      <c r="AK33" s="60"/>
      <c r="AL33" s="60">
        <v>1</v>
      </c>
      <c r="AM33" s="60"/>
      <c r="AN33" s="60"/>
      <c r="AO33" s="61">
        <v>2</v>
      </c>
    </row>
    <row r="34" spans="2:41" ht="15.75" thickTop="1" x14ac:dyDescent="0.25">
      <c r="J34" s="104"/>
      <c r="L34" s="173"/>
      <c r="M34" s="173"/>
      <c r="N34" s="173"/>
      <c r="O34" s="173"/>
      <c r="P34" s="173"/>
      <c r="Q34" s="173"/>
      <c r="R34" s="173"/>
      <c r="AI34" s="62" t="s">
        <v>329</v>
      </c>
      <c r="AJ34" s="63">
        <v>6</v>
      </c>
      <c r="AK34" s="63"/>
      <c r="AL34" s="63"/>
      <c r="AM34" s="63"/>
      <c r="AN34" s="63"/>
      <c r="AO34" s="64">
        <v>6</v>
      </c>
    </row>
    <row r="35" spans="2:41" x14ac:dyDescent="0.25">
      <c r="L35" s="173"/>
      <c r="AI35" s="56" t="s">
        <v>160</v>
      </c>
      <c r="AJ35" s="57">
        <v>2</v>
      </c>
      <c r="AK35" s="57"/>
      <c r="AL35" s="57"/>
      <c r="AM35" s="57"/>
      <c r="AN35" s="57"/>
      <c r="AO35" s="58">
        <v>2</v>
      </c>
    </row>
    <row r="36" spans="2:41" ht="21" customHeight="1" thickBot="1" x14ac:dyDescent="0.3">
      <c r="AI36" s="56" t="s">
        <v>161</v>
      </c>
      <c r="AJ36" s="57">
        <v>2</v>
      </c>
      <c r="AK36" s="57"/>
      <c r="AL36" s="57"/>
      <c r="AM36" s="57"/>
      <c r="AN36" s="57"/>
      <c r="AO36" s="58">
        <v>2</v>
      </c>
    </row>
    <row r="37" spans="2:41" ht="16.5" thickTop="1" thickBot="1" x14ac:dyDescent="0.3">
      <c r="L37" s="70" t="s">
        <v>151</v>
      </c>
      <c r="M37" s="71">
        <v>839</v>
      </c>
      <c r="N37" s="71">
        <v>1328</v>
      </c>
      <c r="O37" s="71">
        <v>2200</v>
      </c>
      <c r="P37" s="71">
        <v>2798</v>
      </c>
      <c r="Q37" s="71">
        <v>1609</v>
      </c>
      <c r="R37" s="87">
        <v>8774</v>
      </c>
      <c r="AI37" s="56" t="s">
        <v>168</v>
      </c>
      <c r="AJ37" s="57">
        <v>1</v>
      </c>
      <c r="AK37" s="57"/>
      <c r="AL37" s="57"/>
      <c r="AM37" s="57"/>
      <c r="AN37" s="57"/>
      <c r="AO37" s="58">
        <v>1</v>
      </c>
    </row>
    <row r="38" spans="2:41" ht="16.5" thickTop="1" thickBot="1" x14ac:dyDescent="0.3">
      <c r="L38" s="70" t="s">
        <v>153</v>
      </c>
      <c r="M38" s="71">
        <v>93</v>
      </c>
      <c r="N38" s="71">
        <v>166</v>
      </c>
      <c r="O38" s="71">
        <v>621</v>
      </c>
      <c r="P38" s="71">
        <v>1795</v>
      </c>
      <c r="Q38" s="71">
        <v>1193</v>
      </c>
      <c r="R38" s="87">
        <v>3868</v>
      </c>
      <c r="AI38" s="59" t="s">
        <v>171</v>
      </c>
      <c r="AJ38" s="60">
        <v>1</v>
      </c>
      <c r="AK38" s="60"/>
      <c r="AL38" s="60"/>
      <c r="AM38" s="60"/>
      <c r="AN38" s="60"/>
      <c r="AO38" s="61">
        <v>1</v>
      </c>
    </row>
    <row r="39" spans="2:41" ht="16.5" thickTop="1" thickBot="1" x14ac:dyDescent="0.3">
      <c r="L39" s="70" t="s">
        <v>152</v>
      </c>
      <c r="M39" s="71">
        <v>93</v>
      </c>
      <c r="N39" s="71">
        <v>363</v>
      </c>
      <c r="O39" s="71">
        <v>694</v>
      </c>
      <c r="P39" s="71">
        <v>972</v>
      </c>
      <c r="Q39" s="71">
        <v>660</v>
      </c>
      <c r="R39" s="87">
        <v>2782</v>
      </c>
      <c r="AI39" s="73" t="s">
        <v>121</v>
      </c>
      <c r="AJ39" s="616">
        <v>56</v>
      </c>
      <c r="AK39" s="616">
        <v>132</v>
      </c>
      <c r="AL39" s="616">
        <v>305</v>
      </c>
      <c r="AM39" s="616">
        <v>778</v>
      </c>
      <c r="AN39" s="616">
        <v>615</v>
      </c>
      <c r="AO39" s="617">
        <v>1886</v>
      </c>
    </row>
    <row r="40" spans="2:41" ht="16.5" thickTop="1" thickBot="1" x14ac:dyDescent="0.3">
      <c r="L40" s="470"/>
      <c r="M40" s="471">
        <v>1025</v>
      </c>
      <c r="N40" s="471">
        <v>1857</v>
      </c>
      <c r="O40" s="471">
        <v>3515</v>
      </c>
      <c r="P40" s="471">
        <v>5565</v>
      </c>
      <c r="Q40" s="471">
        <v>3462</v>
      </c>
      <c r="R40" s="472">
        <v>15424</v>
      </c>
    </row>
    <row r="41" spans="2:41" ht="16.5" thickTop="1" thickBot="1" x14ac:dyDescent="0.3">
      <c r="L41" s="173"/>
      <c r="M41" s="173"/>
      <c r="N41" s="173"/>
      <c r="O41" s="173"/>
      <c r="P41" s="173"/>
      <c r="Q41" s="173"/>
      <c r="R41" s="173"/>
    </row>
    <row r="42" spans="2:41" ht="31.5" thickTop="1" thickBot="1" x14ac:dyDescent="0.3">
      <c r="L42" s="68" t="s">
        <v>132</v>
      </c>
      <c r="M42" s="69">
        <v>2014</v>
      </c>
      <c r="N42" s="69">
        <v>2015</v>
      </c>
      <c r="O42" s="69">
        <v>2016</v>
      </c>
      <c r="P42" s="69">
        <v>2017</v>
      </c>
      <c r="Q42" s="69">
        <v>2018</v>
      </c>
      <c r="R42" s="88" t="s">
        <v>121</v>
      </c>
      <c r="S42" s="173"/>
      <c r="T42" s="173"/>
    </row>
    <row r="43" spans="2:41" ht="15.75" thickTop="1" x14ac:dyDescent="0.25">
      <c r="L43" s="474" t="s">
        <v>382</v>
      </c>
      <c r="M43" s="63">
        <v>854</v>
      </c>
      <c r="N43" s="63">
        <v>999</v>
      </c>
      <c r="O43" s="63">
        <v>1185</v>
      </c>
      <c r="P43" s="63">
        <v>1574</v>
      </c>
      <c r="Q43" s="63">
        <v>815</v>
      </c>
      <c r="R43" s="64">
        <v>5427</v>
      </c>
      <c r="S43" s="173"/>
      <c r="T43" s="173"/>
      <c r="AI43" s="62" t="s">
        <v>388</v>
      </c>
      <c r="AJ43" s="63">
        <v>1</v>
      </c>
      <c r="AK43" s="63">
        <v>42</v>
      </c>
      <c r="AL43" s="63">
        <v>42</v>
      </c>
      <c r="AM43" s="63">
        <v>47</v>
      </c>
      <c r="AN43" s="63">
        <v>329</v>
      </c>
      <c r="AO43" s="63">
        <v>188</v>
      </c>
    </row>
    <row r="44" spans="2:41" x14ac:dyDescent="0.25">
      <c r="L44" s="475" t="s">
        <v>384</v>
      </c>
      <c r="M44" s="359">
        <v>92</v>
      </c>
      <c r="N44" s="359">
        <v>162</v>
      </c>
      <c r="O44" s="359">
        <v>603</v>
      </c>
      <c r="P44" s="359">
        <v>1464</v>
      </c>
      <c r="Q44" s="359">
        <v>678</v>
      </c>
      <c r="R44" s="360">
        <v>2999</v>
      </c>
      <c r="S44" s="173"/>
      <c r="T44" s="173"/>
      <c r="AI44" s="358" t="s">
        <v>391</v>
      </c>
      <c r="AJ44" s="359"/>
      <c r="AK44" s="359"/>
      <c r="AL44" s="359">
        <v>4</v>
      </c>
      <c r="AM44" s="359"/>
      <c r="AN44" s="359"/>
      <c r="AO44" s="359"/>
    </row>
    <row r="45" spans="2:41" x14ac:dyDescent="0.25">
      <c r="L45" s="475" t="s">
        <v>383</v>
      </c>
      <c r="M45" s="359">
        <v>96</v>
      </c>
      <c r="N45" s="359">
        <v>428</v>
      </c>
      <c r="O45" s="359">
        <v>731</v>
      </c>
      <c r="P45" s="359">
        <v>962</v>
      </c>
      <c r="Q45" s="359">
        <v>406</v>
      </c>
      <c r="R45" s="360">
        <v>2623</v>
      </c>
      <c r="S45" s="173"/>
      <c r="T45" s="173"/>
      <c r="AI45" s="358" t="s">
        <v>389</v>
      </c>
      <c r="AJ45" s="359"/>
      <c r="AK45" s="359">
        <v>8</v>
      </c>
      <c r="AL45" s="359">
        <v>2</v>
      </c>
      <c r="AM45" s="359">
        <v>1</v>
      </c>
      <c r="AN45" s="359"/>
      <c r="AO45" s="359"/>
    </row>
    <row r="46" spans="2:41" ht="15.75" thickBot="1" x14ac:dyDescent="0.3">
      <c r="L46" s="476" t="s">
        <v>385</v>
      </c>
      <c r="M46" s="353">
        <v>1042</v>
      </c>
      <c r="N46" s="353">
        <v>1589</v>
      </c>
      <c r="O46" s="353">
        <v>2519</v>
      </c>
      <c r="P46" s="353">
        <v>4000</v>
      </c>
      <c r="Q46" s="353">
        <v>1899</v>
      </c>
      <c r="R46" s="354">
        <v>11049</v>
      </c>
      <c r="S46" s="173"/>
      <c r="T46" s="173"/>
      <c r="AI46" s="499" t="s">
        <v>390</v>
      </c>
      <c r="AJ46" s="500"/>
      <c r="AK46" s="500">
        <v>6</v>
      </c>
      <c r="AL46" s="500"/>
      <c r="AM46" s="500"/>
      <c r="AN46" s="500"/>
      <c r="AO46" s="500"/>
    </row>
    <row r="47" spans="2:41" ht="15.75" thickTop="1" x14ac:dyDescent="0.25">
      <c r="L47" s="338" t="s">
        <v>364</v>
      </c>
      <c r="M47" s="349">
        <f t="shared" ref="M47:R47" si="1">M9-M43</f>
        <v>-46</v>
      </c>
      <c r="N47" s="478">
        <f t="shared" si="1"/>
        <v>294</v>
      </c>
      <c r="O47" s="478">
        <f t="shared" si="1"/>
        <v>996</v>
      </c>
      <c r="P47" s="478">
        <f t="shared" si="1"/>
        <v>1138</v>
      </c>
      <c r="Q47" s="478">
        <f t="shared" si="1"/>
        <v>1024</v>
      </c>
      <c r="R47" s="479">
        <f t="shared" si="1"/>
        <v>3406</v>
      </c>
      <c r="S47" s="173"/>
      <c r="T47" s="173"/>
      <c r="AI47" s="173"/>
      <c r="AJ47" s="173"/>
      <c r="AK47" s="173"/>
    </row>
    <row r="48" spans="2:41" x14ac:dyDescent="0.25">
      <c r="L48" s="339" t="s">
        <v>365</v>
      </c>
      <c r="M48" s="480">
        <f t="shared" ref="M48:R48" si="2">M15-M44</f>
        <v>-10</v>
      </c>
      <c r="N48" s="480">
        <f t="shared" si="2"/>
        <v>-11</v>
      </c>
      <c r="O48" s="480">
        <f t="shared" si="2"/>
        <v>-56</v>
      </c>
      <c r="P48" s="480">
        <f t="shared" si="2"/>
        <v>228</v>
      </c>
      <c r="Q48" s="480">
        <f t="shared" si="2"/>
        <v>670</v>
      </c>
      <c r="R48" s="481">
        <f t="shared" si="2"/>
        <v>821</v>
      </c>
      <c r="S48" s="173"/>
      <c r="T48" s="173"/>
      <c r="AI48" s="173"/>
      <c r="AJ48" s="173"/>
      <c r="AK48" s="173"/>
    </row>
    <row r="49" spans="12:20" x14ac:dyDescent="0.25">
      <c r="L49" s="339" t="s">
        <v>366</v>
      </c>
      <c r="M49" s="350">
        <f t="shared" ref="M49:R49" si="3">M25-M45</f>
        <v>-18</v>
      </c>
      <c r="N49" s="350">
        <f t="shared" si="3"/>
        <v>-111</v>
      </c>
      <c r="O49" s="350">
        <f t="shared" si="3"/>
        <v>-67</v>
      </c>
      <c r="P49" s="480">
        <f t="shared" si="3"/>
        <v>-33</v>
      </c>
      <c r="Q49" s="480">
        <f t="shared" si="3"/>
        <v>402</v>
      </c>
      <c r="R49" s="481">
        <f t="shared" si="3"/>
        <v>173</v>
      </c>
      <c r="S49" s="173"/>
      <c r="T49" s="173"/>
    </row>
    <row r="50" spans="12:20" ht="15.75" thickBot="1" x14ac:dyDescent="0.3">
      <c r="L50" s="482" t="s">
        <v>363</v>
      </c>
      <c r="M50" s="351">
        <f t="shared" ref="M50:R50" si="4">M33-M46</f>
        <v>-74</v>
      </c>
      <c r="N50" s="483">
        <f t="shared" si="4"/>
        <v>172</v>
      </c>
      <c r="O50" s="483">
        <f t="shared" si="4"/>
        <v>873</v>
      </c>
      <c r="P50" s="483">
        <f t="shared" si="4"/>
        <v>1333</v>
      </c>
      <c r="Q50" s="483">
        <f t="shared" si="4"/>
        <v>2096</v>
      </c>
      <c r="R50" s="484">
        <f t="shared" si="4"/>
        <v>4400</v>
      </c>
      <c r="S50" s="173"/>
      <c r="T50" s="173"/>
    </row>
    <row r="51" spans="12:20" ht="15.75" thickTop="1" x14ac:dyDescent="0.25">
      <c r="L51" s="173"/>
      <c r="M51" s="173"/>
      <c r="N51" s="173"/>
      <c r="O51" s="173"/>
      <c r="P51" s="173"/>
      <c r="Q51" s="173"/>
      <c r="R51" s="173"/>
      <c r="S51" s="173"/>
      <c r="T51" s="173"/>
    </row>
    <row r="52" spans="12:20" x14ac:dyDescent="0.25">
      <c r="L52" s="173"/>
      <c r="M52" s="173"/>
      <c r="N52" s="173"/>
      <c r="O52" s="173"/>
      <c r="P52" s="173"/>
      <c r="Q52" s="173"/>
      <c r="R52" s="173"/>
      <c r="S52" s="173"/>
      <c r="T52" s="173"/>
    </row>
    <row r="53" spans="12:20" x14ac:dyDescent="0.25">
      <c r="L53" s="173"/>
      <c r="M53" s="173"/>
      <c r="N53" s="173"/>
      <c r="O53" s="173"/>
      <c r="P53" s="173"/>
      <c r="Q53" s="173"/>
      <c r="R53" s="173"/>
      <c r="S53" s="173"/>
      <c r="T53" s="173"/>
    </row>
    <row r="54" spans="12:20" x14ac:dyDescent="0.25">
      <c r="L54" s="173"/>
      <c r="M54" s="173"/>
      <c r="N54" s="173"/>
      <c r="O54" s="173"/>
      <c r="P54" s="173"/>
      <c r="Q54" s="173"/>
      <c r="R54" s="173"/>
      <c r="S54" s="173"/>
      <c r="T54" s="173"/>
    </row>
    <row r="55" spans="12:20" x14ac:dyDescent="0.25">
      <c r="L55" s="173"/>
      <c r="M55" s="173"/>
      <c r="N55" s="173"/>
      <c r="O55" s="173"/>
      <c r="P55" s="173"/>
      <c r="Q55" s="173"/>
      <c r="R55" s="173"/>
      <c r="S55" s="173"/>
      <c r="T55" s="173"/>
    </row>
    <row r="56" spans="12:20" x14ac:dyDescent="0.25">
      <c r="L56" s="173"/>
      <c r="M56" s="173"/>
      <c r="N56" s="173"/>
      <c r="O56" s="173"/>
      <c r="P56" s="173"/>
      <c r="Q56" s="173"/>
      <c r="R56" s="173"/>
      <c r="S56" s="173"/>
      <c r="T56" s="173"/>
    </row>
    <row r="57" spans="12:20" x14ac:dyDescent="0.25">
      <c r="L57" s="173"/>
      <c r="M57" s="173"/>
      <c r="N57" s="173"/>
      <c r="O57" s="173"/>
      <c r="P57" s="173"/>
      <c r="Q57" s="173"/>
      <c r="R57" s="173"/>
      <c r="S57" s="173"/>
      <c r="T57" s="173"/>
    </row>
    <row r="58" spans="12:20" x14ac:dyDescent="0.25">
      <c r="L58" s="173"/>
      <c r="M58" s="173"/>
      <c r="N58" s="173"/>
      <c r="O58" s="173"/>
      <c r="P58" s="173"/>
      <c r="Q58" s="173"/>
      <c r="R58" s="173"/>
      <c r="S58" s="173"/>
      <c r="T58" s="173"/>
    </row>
    <row r="59" spans="12:20" x14ac:dyDescent="0.25">
      <c r="L59" s="173"/>
      <c r="M59" s="173"/>
      <c r="N59" s="173"/>
      <c r="O59" s="173"/>
      <c r="P59" s="173"/>
      <c r="Q59" s="173"/>
      <c r="R59" s="173"/>
      <c r="S59" s="173"/>
      <c r="T59" s="173"/>
    </row>
    <row r="60" spans="12:20" x14ac:dyDescent="0.25">
      <c r="L60" s="173"/>
      <c r="M60" s="173"/>
      <c r="N60" s="173"/>
      <c r="O60" s="173"/>
      <c r="P60" s="173"/>
      <c r="Q60" s="173"/>
      <c r="R60" s="173"/>
      <c r="S60" s="173"/>
      <c r="T60" s="173"/>
    </row>
    <row r="61" spans="12:20" x14ac:dyDescent="0.25">
      <c r="L61" s="173"/>
      <c r="M61" s="173"/>
      <c r="N61" s="173"/>
      <c r="O61" s="173"/>
      <c r="P61" s="173"/>
      <c r="Q61" s="173"/>
      <c r="R61" s="173"/>
      <c r="S61" s="173"/>
      <c r="T61" s="173"/>
    </row>
    <row r="62" spans="12:20" x14ac:dyDescent="0.25">
      <c r="L62" s="173"/>
      <c r="M62" s="173"/>
      <c r="N62" s="173"/>
      <c r="O62" s="173"/>
      <c r="P62" s="173"/>
      <c r="Q62" s="173"/>
      <c r="R62" s="173"/>
      <c r="S62" s="173"/>
      <c r="T62" s="173"/>
    </row>
    <row r="63" spans="12:20" x14ac:dyDescent="0.25">
      <c r="L63" s="173"/>
      <c r="M63" s="173"/>
      <c r="N63" s="173"/>
      <c r="O63" s="173"/>
      <c r="P63" s="173"/>
      <c r="Q63" s="173"/>
      <c r="R63" s="173"/>
      <c r="S63" s="173"/>
      <c r="T63" s="173"/>
    </row>
    <row r="64" spans="12:20" x14ac:dyDescent="0.25">
      <c r="L64" s="173"/>
      <c r="M64" s="173"/>
      <c r="N64" s="173"/>
      <c r="O64" s="173"/>
      <c r="P64" s="173"/>
      <c r="Q64" s="173"/>
      <c r="R64" s="173"/>
      <c r="S64" s="173"/>
      <c r="T64" s="173"/>
    </row>
    <row r="65" spans="12:20" x14ac:dyDescent="0.25">
      <c r="L65" s="173"/>
      <c r="M65" s="173"/>
      <c r="N65" s="173"/>
      <c r="O65" s="173"/>
      <c r="P65" s="173"/>
      <c r="Q65" s="173"/>
      <c r="R65" s="173"/>
      <c r="S65" s="173"/>
      <c r="T65" s="173"/>
    </row>
    <row r="66" spans="12:20" x14ac:dyDescent="0.25">
      <c r="L66" s="173"/>
      <c r="M66" s="173"/>
      <c r="N66" s="173"/>
      <c r="O66" s="173"/>
      <c r="P66" s="173"/>
      <c r="Q66" s="173"/>
      <c r="R66" s="173"/>
      <c r="S66" s="173"/>
      <c r="T66" s="173"/>
    </row>
    <row r="67" spans="12:20" x14ac:dyDescent="0.25">
      <c r="S67" s="173"/>
      <c r="T67" s="173"/>
    </row>
    <row r="68" spans="12:20" x14ac:dyDescent="0.25">
      <c r="S68" s="173"/>
      <c r="T68" s="173"/>
    </row>
    <row r="69" spans="12:20" x14ac:dyDescent="0.25">
      <c r="S69" s="173"/>
      <c r="T69" s="173"/>
    </row>
    <row r="70" spans="12:20" x14ac:dyDescent="0.25">
      <c r="S70" s="173"/>
      <c r="T70" s="173"/>
    </row>
  </sheetData>
  <mergeCells count="9">
    <mergeCell ref="J30:J31"/>
    <mergeCell ref="AB6:AG6"/>
    <mergeCell ref="AI6:AO6"/>
    <mergeCell ref="L6:R6"/>
    <mergeCell ref="B6:J6"/>
    <mergeCell ref="T6:Z6"/>
    <mergeCell ref="J9:J18"/>
    <mergeCell ref="J20:J23"/>
    <mergeCell ref="J25:J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Introduccion</vt:lpstr>
      <vt:lpstr>1</vt:lpstr>
      <vt:lpstr>1.1</vt:lpstr>
      <vt:lpstr>1.2</vt:lpstr>
      <vt:lpstr>3.1</vt:lpstr>
      <vt:lpstr>3.1.1</vt:lpstr>
      <vt:lpstr>3.2 y Compromiso Ministerial</vt:lpstr>
      <vt:lpstr>3.2.1</vt:lpstr>
      <vt:lpstr>3.3</vt:lpstr>
      <vt:lpstr>3.3.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2018-05-23T13:10:06Z</dcterms:created>
  <dcterms:modified xsi:type="dcterms:W3CDTF">2018-07-09T22:29:57Z</dcterms:modified>
</cp:coreProperties>
</file>