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jacqueline_cerda_minsal_cl/Documents/REM- EQUIPO/REM 2026/SERIES REM/"/>
    </mc:Choice>
  </mc:AlternateContent>
  <xr:revisionPtr revIDLastSave="16" documentId="8_{FF85B981-6B68-4DD0-9B9A-34B1EFFBFF54}" xr6:coauthVersionLast="47" xr6:coauthVersionMax="47" xr10:uidLastSave="{D4EE8248-2DED-406F-A839-8D5C1B85291D}"/>
  <workbookProtection workbookAlgorithmName="SHA-512" workbookHashValue="Lv2jkWKN+m2wcy2iLOUmzAobWLNYAVX4VscQnr3frQZ1YL7VgCS2ob5wvHR3RsKvRKnXP0xt/UBrq4IgYbyMng==" workbookSaltValue="zK8Gbraw/siKMLuKrxzK9Q==" workbookSpinCount="100000" lockStructure="1"/>
  <bookViews>
    <workbookView xWindow="-120" yWindow="-120" windowWidth="20730" windowHeight="11040" tabRatio="589" xr2:uid="{00000000-000D-0000-FFFF-FFFF00000000}"/>
  </bookViews>
  <sheets>
    <sheet name="NOMBRE" sheetId="1" r:id="rId1"/>
    <sheet name="P1" sheetId="2" r:id="rId2"/>
    <sheet name="P2" sheetId="17" r:id="rId3"/>
    <sheet name="P3" sheetId="4" r:id="rId4"/>
    <sheet name="P4" sheetId="5" r:id="rId5"/>
    <sheet name="P5" sheetId="6" r:id="rId6"/>
    <sheet name="P6" sheetId="7" r:id="rId7"/>
    <sheet name="P7" sheetId="8" r:id="rId8"/>
    <sheet name="P9" sheetId="16" r:id="rId9"/>
    <sheet name="P11" sheetId="10" r:id="rId10"/>
    <sheet name="P12" sheetId="11" r:id="rId11"/>
    <sheet name="P13" sheetId="18" r:id="rId12"/>
    <sheet name="Control" sheetId="12" r:id="rId13"/>
    <sheet name="MACROS" sheetId="13" r:id="rId14"/>
  </sheets>
  <definedNames>
    <definedName name="_xleta.AND" hidden="1" xlm="1">#NAME?</definedName>
    <definedName name="_xleta.N" hidden="1" xlm="1">#NAME?</definedName>
    <definedName name="_xleta.NOT" hidden="1" xlm="1">#NAME?</definedName>
    <definedName name="_xleta.OR" hidden="1" xlm="1">#NAME?</definedName>
    <definedName name="_xleta.SUM" hidden="1" xlm="1">#NAME?</definedName>
    <definedName name="_xleta.T" hidden="1" xlm="1">#NAME?</definedName>
    <definedName name="_xlnm.Print_Area" localSheetId="12">Control!$A$1:$E$24</definedName>
    <definedName name="_xlnm.Print_Area" localSheetId="1">'P1'!$A$1:$M$150</definedName>
    <definedName name="_xlnm.Print_Area" localSheetId="9">'P11'!$A$1:$AR$22</definedName>
    <definedName name="_xlnm.Print_Area" localSheetId="10">'P12'!$A$1:$K$52</definedName>
    <definedName name="_xlnm.Print_Area" localSheetId="3">'P3'!$A$1:$AN$71</definedName>
    <definedName name="_xlnm.Print_Area" localSheetId="4">'P4'!$A$1:$AJ$89</definedName>
    <definedName name="_xlnm.Print_Area" localSheetId="5">'P5'!$A$1:$P$53</definedName>
    <definedName name="_xlnm.Print_Area" localSheetId="6">'P6'!$A$1:$AQ$126</definedName>
    <definedName name="_xlnm.Print_Area" localSheetId="7">'P7'!$A$1:$J$29</definedName>
    <definedName name="OLE_LINK1" localSheetId="3">'P3'!$CI$68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D139" i="17" l="1"/>
  <c r="DS139" i="17"/>
  <c r="DP139" i="17"/>
  <c r="CO76" i="4"/>
  <c r="CA79" i="4"/>
  <c r="CA76" i="4"/>
  <c r="CM82" i="4"/>
  <c r="CM76" i="4"/>
  <c r="CB79" i="4"/>
  <c r="CC79" i="4"/>
  <c r="CD79" i="4"/>
  <c r="CE79" i="4"/>
  <c r="C75" i="5" l="1"/>
  <c r="E75" i="5"/>
  <c r="D75" i="5"/>
  <c r="AK12" i="5"/>
  <c r="AJ12" i="5"/>
  <c r="AI12" i="5"/>
  <c r="AH12" i="5"/>
  <c r="E24" i="5"/>
  <c r="D24" i="5"/>
  <c r="C24" i="5" s="1"/>
  <c r="E23" i="5"/>
  <c r="D23" i="5"/>
  <c r="C36" i="11"/>
  <c r="B36" i="11"/>
  <c r="X24" i="1"/>
  <c r="I2" i="1"/>
  <c r="AG2" i="1" s="1"/>
  <c r="W2" i="1"/>
  <c r="I3" i="1"/>
  <c r="AG3" i="1" s="1"/>
  <c r="W3" i="1"/>
  <c r="AG4" i="1"/>
  <c r="AG5" i="1"/>
  <c r="W10" i="1"/>
  <c r="X10" i="1" s="1"/>
  <c r="X25" i="1"/>
  <c r="W26" i="1" s="1"/>
  <c r="W27" i="1" s="1"/>
  <c r="CB58" i="7"/>
  <c r="CB57" i="7"/>
  <c r="CB56" i="7"/>
  <c r="CB55" i="7"/>
  <c r="CB54" i="7"/>
  <c r="CB53" i="7"/>
  <c r="CB52" i="7"/>
  <c r="CB51" i="7"/>
  <c r="CB50" i="7"/>
  <c r="CB49" i="7"/>
  <c r="CB48" i="7"/>
  <c r="CB47" i="7"/>
  <c r="CB40" i="7"/>
  <c r="CB41" i="7"/>
  <c r="CB42" i="7"/>
  <c r="CB43" i="7"/>
  <c r="CB39" i="7"/>
  <c r="CB16" i="7"/>
  <c r="CB17" i="7"/>
  <c r="CB18" i="7"/>
  <c r="CB19" i="7"/>
  <c r="CB20" i="7"/>
  <c r="CB21" i="7"/>
  <c r="CB22" i="7"/>
  <c r="CB23" i="7"/>
  <c r="CB24" i="7"/>
  <c r="CB25" i="7"/>
  <c r="CB26" i="7"/>
  <c r="CB27" i="7"/>
  <c r="CB28" i="7"/>
  <c r="CB29" i="7"/>
  <c r="CB30" i="7"/>
  <c r="CB31" i="7"/>
  <c r="CB32" i="7"/>
  <c r="CB33" i="7"/>
  <c r="CB34" i="7"/>
  <c r="CB15" i="7"/>
  <c r="CB13" i="7"/>
  <c r="CQ26" i="2"/>
  <c r="BD22" i="18"/>
  <c r="BD23" i="18"/>
  <c r="BD25" i="18"/>
  <c r="BD26" i="18"/>
  <c r="BD27" i="18"/>
  <c r="BD28" i="18"/>
  <c r="BD21" i="18"/>
  <c r="BC23" i="18"/>
  <c r="BC27" i="18"/>
  <c r="A82" i="6"/>
  <c r="C6" i="1" l="1"/>
  <c r="D6" i="1"/>
  <c r="CF13" i="10"/>
  <c r="CF16" i="10"/>
  <c r="CF17" i="10"/>
  <c r="CF12" i="10"/>
  <c r="CE13" i="10"/>
  <c r="CE16" i="10"/>
  <c r="CE17" i="10"/>
  <c r="CE12" i="10"/>
  <c r="CH77" i="7"/>
  <c r="CH78" i="7"/>
  <c r="CH79" i="7"/>
  <c r="CH81" i="7"/>
  <c r="CH82" i="7"/>
  <c r="CH83" i="7"/>
  <c r="CH84" i="7"/>
  <c r="CH85" i="7"/>
  <c r="CH86" i="7"/>
  <c r="CH87" i="7"/>
  <c r="CH88" i="7"/>
  <c r="CH89" i="7"/>
  <c r="CH90" i="7"/>
  <c r="CH91" i="7"/>
  <c r="CH92" i="7"/>
  <c r="CH93" i="7"/>
  <c r="CH94" i="7"/>
  <c r="CH95" i="7"/>
  <c r="CH96" i="7"/>
  <c r="CH97" i="7"/>
  <c r="CH98" i="7"/>
  <c r="CH99" i="7"/>
  <c r="CH100" i="7"/>
  <c r="CH101" i="7"/>
  <c r="CH102" i="7"/>
  <c r="CH103" i="7"/>
  <c r="CH104" i="7"/>
  <c r="CH105" i="7"/>
  <c r="CH109" i="7"/>
  <c r="CH110" i="7"/>
  <c r="CH111" i="7"/>
  <c r="CH112" i="7"/>
  <c r="CH113" i="7"/>
  <c r="CH114" i="7"/>
  <c r="CH115" i="7"/>
  <c r="CH116" i="7"/>
  <c r="CH117" i="7"/>
  <c r="CH118" i="7"/>
  <c r="CH119" i="7"/>
  <c r="CH120" i="7"/>
  <c r="CH75" i="7"/>
  <c r="CG77" i="7"/>
  <c r="CG78" i="7"/>
  <c r="CG79" i="7"/>
  <c r="CG81" i="7"/>
  <c r="CG82" i="7"/>
  <c r="CG83" i="7"/>
  <c r="CG84" i="7"/>
  <c r="CG85" i="7"/>
  <c r="CG86" i="7"/>
  <c r="CG87" i="7"/>
  <c r="CG88" i="7"/>
  <c r="CG89" i="7"/>
  <c r="CG90" i="7"/>
  <c r="CG91" i="7"/>
  <c r="CG92" i="7"/>
  <c r="CG93" i="7"/>
  <c r="CG94" i="7"/>
  <c r="CG95" i="7"/>
  <c r="CG96" i="7"/>
  <c r="CG97" i="7"/>
  <c r="CG98" i="7"/>
  <c r="CG99" i="7"/>
  <c r="CG100" i="7"/>
  <c r="CG101" i="7"/>
  <c r="CG102" i="7"/>
  <c r="CG103" i="7"/>
  <c r="CG104" i="7"/>
  <c r="CG105" i="7"/>
  <c r="CG109" i="7"/>
  <c r="CG110" i="7"/>
  <c r="CG111" i="7"/>
  <c r="CG112" i="7"/>
  <c r="CG113" i="7"/>
  <c r="CG114" i="7"/>
  <c r="CG115" i="7"/>
  <c r="CG116" i="7"/>
  <c r="CG117" i="7"/>
  <c r="CG118" i="7"/>
  <c r="CG119" i="7"/>
  <c r="CG120" i="7"/>
  <c r="CG75" i="7"/>
  <c r="CH15" i="7"/>
  <c r="CH17" i="7"/>
  <c r="CH18" i="7"/>
  <c r="CH19" i="7"/>
  <c r="CH20" i="7"/>
  <c r="CH21" i="7"/>
  <c r="CH22" i="7"/>
  <c r="CH23" i="7"/>
  <c r="CH24" i="7"/>
  <c r="CH25" i="7"/>
  <c r="CH26" i="7"/>
  <c r="CH27" i="7"/>
  <c r="CH28" i="7"/>
  <c r="CH29" i="7"/>
  <c r="CH30" i="7"/>
  <c r="CH31" i="7"/>
  <c r="CH32" i="7"/>
  <c r="CH33" i="7"/>
  <c r="CH34" i="7"/>
  <c r="CH35" i="7"/>
  <c r="CH36" i="7"/>
  <c r="CH37" i="7"/>
  <c r="CH38" i="7"/>
  <c r="CH39" i="7"/>
  <c r="CH40" i="7"/>
  <c r="CH41" i="7"/>
  <c r="CH42" i="7"/>
  <c r="CH43" i="7"/>
  <c r="CH47" i="7"/>
  <c r="CH48" i="7"/>
  <c r="CH49" i="7"/>
  <c r="CH50" i="7"/>
  <c r="CH51" i="7"/>
  <c r="CH52" i="7"/>
  <c r="CH53" i="7"/>
  <c r="CH54" i="7"/>
  <c r="CH55" i="7"/>
  <c r="CH56" i="7"/>
  <c r="CH57" i="7"/>
  <c r="CH58" i="7"/>
  <c r="CH13" i="7"/>
  <c r="CG15" i="7"/>
  <c r="CG17" i="7"/>
  <c r="CG18" i="7"/>
  <c r="CG19" i="7"/>
  <c r="CG20" i="7"/>
  <c r="CG21" i="7"/>
  <c r="CG22" i="7"/>
  <c r="CG23" i="7"/>
  <c r="CG24" i="7"/>
  <c r="CG25" i="7"/>
  <c r="CG26" i="7"/>
  <c r="CG27" i="7"/>
  <c r="CG28" i="7"/>
  <c r="CG29" i="7"/>
  <c r="CG30" i="7"/>
  <c r="CG31" i="7"/>
  <c r="CG32" i="7"/>
  <c r="CG33" i="7"/>
  <c r="CG34" i="7"/>
  <c r="CG35" i="7"/>
  <c r="CG36" i="7"/>
  <c r="CG37" i="7"/>
  <c r="CG38" i="7"/>
  <c r="CG39" i="7"/>
  <c r="CG40" i="7"/>
  <c r="CG41" i="7"/>
  <c r="CG42" i="7"/>
  <c r="CG43" i="7"/>
  <c r="CG47" i="7"/>
  <c r="CG48" i="7"/>
  <c r="CG49" i="7"/>
  <c r="CG50" i="7"/>
  <c r="CG51" i="7"/>
  <c r="CG52" i="7"/>
  <c r="CG53" i="7"/>
  <c r="CG54" i="7"/>
  <c r="CG55" i="7"/>
  <c r="CG56" i="7"/>
  <c r="CG57" i="7"/>
  <c r="CG58" i="7"/>
  <c r="CG13" i="7"/>
  <c r="CH203" i="17"/>
  <c r="CG213" i="17"/>
  <c r="W30" i="1" l="1"/>
  <c r="W29" i="1"/>
  <c r="W28" i="1"/>
  <c r="W6" i="1"/>
  <c r="I6" i="1"/>
  <c r="AG6" i="1" s="1"/>
  <c r="AG7" i="1" s="1"/>
  <c r="Y39" i="2"/>
  <c r="Y40" i="2"/>
  <c r="CC35" i="2"/>
  <c r="CQ39" i="2"/>
  <c r="CQ40" i="2"/>
  <c r="CC36" i="2"/>
  <c r="CC37" i="2"/>
  <c r="CC38" i="2"/>
  <c r="CC39" i="2"/>
  <c r="CC40" i="2"/>
  <c r="CP39" i="2"/>
  <c r="CP40" i="2"/>
  <c r="CB37" i="2"/>
  <c r="CB38" i="2"/>
  <c r="CB39" i="2"/>
  <c r="CB40" i="2"/>
  <c r="CB36" i="2"/>
  <c r="CB35" i="2"/>
  <c r="Y26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Y26" i="2"/>
  <c r="CY27" i="2"/>
  <c r="CY28" i="2"/>
  <c r="CY29" i="2"/>
  <c r="CY30" i="2"/>
  <c r="CY3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J26" i="2"/>
  <c r="CJ27" i="2"/>
  <c r="CJ28" i="2"/>
  <c r="CJ29" i="2"/>
  <c r="CJ30" i="2"/>
  <c r="CJ31" i="2"/>
  <c r="CY11" i="2"/>
  <c r="CJ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S26" i="2"/>
  <c r="CS27" i="2"/>
  <c r="CS28" i="2"/>
  <c r="CS29" i="2"/>
  <c r="CS30" i="2"/>
  <c r="CS31" i="2"/>
  <c r="CD26" i="2"/>
  <c r="CD27" i="2"/>
  <c r="CD28" i="2"/>
  <c r="CD29" i="2"/>
  <c r="CD30" i="2"/>
  <c r="CD3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S11" i="2"/>
  <c r="CD11" i="2"/>
  <c r="DQ84" i="17"/>
  <c r="DQ83" i="17"/>
  <c r="DQ82" i="17"/>
  <c r="DQ81" i="17"/>
  <c r="DQ80" i="17"/>
  <c r="DQ79" i="17"/>
  <c r="DQ78" i="17"/>
  <c r="DP84" i="17"/>
  <c r="DP83" i="17"/>
  <c r="DP82" i="17"/>
  <c r="DP81" i="17"/>
  <c r="DP80" i="17"/>
  <c r="DP79" i="17"/>
  <c r="DF42" i="5"/>
  <c r="DE42" i="5"/>
  <c r="DD42" i="5"/>
  <c r="DC42" i="5"/>
  <c r="DB42" i="5"/>
  <c r="DA42" i="5"/>
  <c r="CZ42" i="5"/>
  <c r="CY42" i="5"/>
  <c r="CX42" i="5"/>
  <c r="CW42" i="5"/>
  <c r="CV42" i="5"/>
  <c r="CU42" i="5"/>
  <c r="CT42" i="5"/>
  <c r="CS42" i="5"/>
  <c r="CR42" i="5"/>
  <c r="CQ42" i="5"/>
  <c r="CP42" i="5"/>
  <c r="CO42" i="5"/>
  <c r="CN42" i="5"/>
  <c r="CN41" i="5"/>
  <c r="CM42" i="5"/>
  <c r="CL42" i="5"/>
  <c r="CK42" i="5"/>
  <c r="CJ42" i="5"/>
  <c r="CJ41" i="5"/>
  <c r="CI42" i="5"/>
  <c r="CH42" i="5"/>
  <c r="CG42" i="5"/>
  <c r="CF42" i="5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CQ41" i="5"/>
  <c r="CP41" i="5"/>
  <c r="CO41" i="5"/>
  <c r="CM41" i="5"/>
  <c r="CL41" i="5"/>
  <c r="CK41" i="5"/>
  <c r="CI41" i="5"/>
  <c r="CH41" i="5"/>
  <c r="CG41" i="5"/>
  <c r="CF41" i="5"/>
  <c r="CL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K38" i="5"/>
  <c r="DA38" i="5"/>
  <c r="CU38" i="5"/>
  <c r="CV38" i="5"/>
  <c r="CW38" i="5"/>
  <c r="CX38" i="5"/>
  <c r="CY38" i="5"/>
  <c r="CZ38" i="5"/>
  <c r="DB38" i="5"/>
  <c r="DC38" i="5"/>
  <c r="DD38" i="5"/>
  <c r="DE38" i="5"/>
  <c r="DF38" i="5"/>
  <c r="CT38" i="5"/>
  <c r="CS38" i="5"/>
  <c r="CR38" i="5"/>
  <c r="CQ38" i="5"/>
  <c r="CP38" i="5"/>
  <c r="CO38" i="5"/>
  <c r="CN38" i="5"/>
  <c r="CM38" i="5"/>
  <c r="CL38" i="5"/>
  <c r="CE38" i="5"/>
  <c r="ER36" i="5"/>
  <c r="EQ36" i="5"/>
  <c r="EP36" i="5"/>
  <c r="EO36" i="5"/>
  <c r="EN36" i="5"/>
  <c r="EM36" i="5"/>
  <c r="EL36" i="5"/>
  <c r="EK36" i="5"/>
  <c r="EJ36" i="5"/>
  <c r="EI36" i="5"/>
  <c r="EH36" i="5"/>
  <c r="EG36" i="5"/>
  <c r="EF36" i="5"/>
  <c r="EE36" i="5"/>
  <c r="ED36" i="5"/>
  <c r="EC36" i="5"/>
  <c r="EB36" i="5"/>
  <c r="EA36" i="5"/>
  <c r="DZ36" i="5"/>
  <c r="DY36" i="5"/>
  <c r="DX36" i="5"/>
  <c r="DW36" i="5"/>
  <c r="DV36" i="5"/>
  <c r="DU36" i="5"/>
  <c r="DT36" i="5"/>
  <c r="DS36" i="5"/>
  <c r="DR36" i="5"/>
  <c r="DQ36" i="5"/>
  <c r="DF36" i="5"/>
  <c r="DE36" i="5"/>
  <c r="DD36" i="5"/>
  <c r="DC36" i="5"/>
  <c r="CS36" i="5"/>
  <c r="CR36" i="5"/>
  <c r="CQ36" i="5"/>
  <c r="DB36" i="5"/>
  <c r="DA36" i="5"/>
  <c r="CZ36" i="5"/>
  <c r="CY36" i="5"/>
  <c r="CX36" i="5"/>
  <c r="CW36" i="5"/>
  <c r="CV36" i="5"/>
  <c r="CU36" i="5"/>
  <c r="CT36" i="5"/>
  <c r="CP36" i="5"/>
  <c r="CO36" i="5"/>
  <c r="CG36" i="5"/>
  <c r="CN36" i="5"/>
  <c r="CM36" i="5"/>
  <c r="CL36" i="5"/>
  <c r="CK36" i="5"/>
  <c r="CJ36" i="5"/>
  <c r="CI36" i="5"/>
  <c r="CH36" i="5"/>
  <c r="CF36" i="5"/>
  <c r="CE36" i="5"/>
  <c r="EP35" i="5"/>
  <c r="ER35" i="5"/>
  <c r="EQ35" i="5"/>
  <c r="EO35" i="5"/>
  <c r="EN35" i="5"/>
  <c r="EM35" i="5"/>
  <c r="EL35" i="5"/>
  <c r="EK35" i="5"/>
  <c r="EJ35" i="5"/>
  <c r="EI35" i="5"/>
  <c r="EH35" i="5"/>
  <c r="EG35" i="5"/>
  <c r="EF35" i="5"/>
  <c r="EE35" i="5"/>
  <c r="ED35" i="5"/>
  <c r="EC35" i="5"/>
  <c r="EB35" i="5"/>
  <c r="EA35" i="5"/>
  <c r="DZ35" i="5"/>
  <c r="DY35" i="5"/>
  <c r="DX35" i="5"/>
  <c r="DW35" i="5"/>
  <c r="DV35" i="5"/>
  <c r="DU35" i="5"/>
  <c r="DT35" i="5"/>
  <c r="DS35" i="5"/>
  <c r="DR35" i="5"/>
  <c r="DF35" i="5"/>
  <c r="DE35" i="5"/>
  <c r="DD35" i="5"/>
  <c r="DC35" i="5"/>
  <c r="DB35" i="5"/>
  <c r="DA35" i="5"/>
  <c r="CZ35" i="5"/>
  <c r="CY35" i="5"/>
  <c r="CX35" i="5"/>
  <c r="CW35" i="5"/>
  <c r="CV35" i="5"/>
  <c r="CU35" i="5"/>
  <c r="CT35" i="5"/>
  <c r="CS35" i="5"/>
  <c r="CQ35" i="5"/>
  <c r="CR35" i="5"/>
  <c r="CP35" i="5"/>
  <c r="CO35" i="5"/>
  <c r="CN35" i="5"/>
  <c r="CM35" i="5"/>
  <c r="CL35" i="5"/>
  <c r="CK35" i="5"/>
  <c r="CJ35" i="5"/>
  <c r="CI35" i="5"/>
  <c r="CH35" i="5"/>
  <c r="CG35" i="5"/>
  <c r="CF35" i="5"/>
  <c r="DQ35" i="5"/>
  <c r="CE35" i="5"/>
  <c r="CN17" i="10"/>
  <c r="CN16" i="10"/>
  <c r="CN13" i="10"/>
  <c r="CN12" i="10"/>
  <c r="C126" i="17"/>
  <c r="CB78" i="17"/>
  <c r="CA78" i="17"/>
  <c r="DP78" i="17"/>
  <c r="I53" i="2"/>
  <c r="J53" i="2"/>
  <c r="K53" i="2"/>
  <c r="W33" i="1" l="1"/>
  <c r="V33" i="1"/>
  <c r="Y33" i="1"/>
  <c r="X33" i="1"/>
  <c r="Z33" i="1"/>
  <c r="CF140" i="17"/>
  <c r="CD140" i="17"/>
  <c r="CA140" i="17"/>
  <c r="CF139" i="17"/>
  <c r="CE140" i="17"/>
  <c r="CE139" i="17"/>
  <c r="CC140" i="17"/>
  <c r="CC139" i="17"/>
  <c r="CB140" i="17"/>
  <c r="CB139" i="17"/>
  <c r="CA139" i="17"/>
  <c r="CF132" i="17"/>
  <c r="CF133" i="17"/>
  <c r="CF134" i="17"/>
  <c r="CF131" i="17"/>
  <c r="CE132" i="17"/>
  <c r="CE133" i="17"/>
  <c r="CE134" i="17"/>
  <c r="CE131" i="17"/>
  <c r="DU134" i="17"/>
  <c r="DU133" i="17"/>
  <c r="DU132" i="17"/>
  <c r="DU131" i="17"/>
  <c r="DT134" i="17"/>
  <c r="DT133" i="17"/>
  <c r="DT132" i="17"/>
  <c r="DT131" i="17"/>
  <c r="CC134" i="17"/>
  <c r="CC133" i="17"/>
  <c r="CC132" i="17"/>
  <c r="CC131" i="17"/>
  <c r="CD131" i="17"/>
  <c r="CA131" i="17"/>
  <c r="C59" i="2" l="1"/>
  <c r="CN89" i="2" l="1"/>
  <c r="CO89" i="2"/>
  <c r="CD89" i="2"/>
  <c r="CB89" i="2"/>
  <c r="DS134" i="17"/>
  <c r="CD134" i="17"/>
  <c r="CD133" i="17"/>
  <c r="CD132" i="17"/>
  <c r="C24" i="2"/>
  <c r="D25" i="2"/>
  <c r="D80" i="4"/>
  <c r="C96" i="2"/>
  <c r="CC24" i="2" l="1"/>
  <c r="CB24" i="2"/>
  <c r="CR24" i="2"/>
  <c r="CE24" i="2"/>
  <c r="CQ24" i="2"/>
  <c r="CO60" i="2"/>
  <c r="B61" i="2"/>
  <c r="CB60" i="2"/>
  <c r="DD34" i="5"/>
  <c r="CE33" i="5"/>
  <c r="E60" i="2" l="1"/>
  <c r="D29" i="5"/>
  <c r="DF34" i="5"/>
  <c r="DE34" i="5"/>
  <c r="DC34" i="5"/>
  <c r="DB34" i="5"/>
  <c r="DA34" i="5"/>
  <c r="CZ34" i="5"/>
  <c r="CY34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E88" i="5"/>
  <c r="D88" i="5"/>
  <c r="C88" i="5" l="1"/>
  <c r="AV93" i="16"/>
  <c r="AO91" i="16"/>
  <c r="AO92" i="16"/>
  <c r="AO93" i="16"/>
  <c r="AO94" i="16"/>
  <c r="AO95" i="16"/>
  <c r="AO96" i="16"/>
  <c r="AO97" i="16"/>
  <c r="AO98" i="16"/>
  <c r="AO99" i="16"/>
  <c r="AO100" i="16"/>
  <c r="AO101" i="16"/>
  <c r="AO102" i="16"/>
  <c r="AO103" i="16"/>
  <c r="AO90" i="16"/>
  <c r="AN93" i="16"/>
  <c r="BA11" i="8"/>
  <c r="D23" i="18"/>
  <c r="A81" i="11"/>
  <c r="BD61" i="11"/>
  <c r="BC61" i="11"/>
  <c r="BD60" i="11"/>
  <c r="BC60" i="11"/>
  <c r="BD59" i="11"/>
  <c r="BC59" i="11"/>
  <c r="BD58" i="11"/>
  <c r="BC58" i="11"/>
  <c r="BD57" i="11"/>
  <c r="BC57" i="11"/>
  <c r="BD56" i="11"/>
  <c r="BC56" i="11"/>
  <c r="BD55" i="11"/>
  <c r="BC55" i="11"/>
  <c r="BD54" i="11"/>
  <c r="BC54" i="11"/>
  <c r="BD53" i="11"/>
  <c r="BC53" i="11"/>
  <c r="BC48" i="11"/>
  <c r="BC41" i="11"/>
  <c r="BD41" i="11"/>
  <c r="BC42" i="11"/>
  <c r="BD42" i="11"/>
  <c r="BC43" i="11"/>
  <c r="BD43" i="11"/>
  <c r="BC44" i="11"/>
  <c r="BD44" i="11"/>
  <c r="BC45" i="11"/>
  <c r="BD45" i="11"/>
  <c r="BC46" i="11"/>
  <c r="BD46" i="11"/>
  <c r="BC47" i="11"/>
  <c r="BD47" i="11"/>
  <c r="BD48" i="11"/>
  <c r="BD40" i="11"/>
  <c r="BC40" i="11"/>
  <c r="BD34" i="11"/>
  <c r="BC34" i="11"/>
  <c r="BD33" i="11"/>
  <c r="BC33" i="11"/>
  <c r="BD32" i="11"/>
  <c r="BC32" i="11"/>
  <c r="BD31" i="11"/>
  <c r="BC31" i="11"/>
  <c r="BD30" i="11"/>
  <c r="BC30" i="11"/>
  <c r="BD29" i="11"/>
  <c r="BC29" i="11"/>
  <c r="BD28" i="11"/>
  <c r="BC28" i="11"/>
  <c r="BC12" i="11"/>
  <c r="BD12" i="11"/>
  <c r="BC13" i="11"/>
  <c r="BD13" i="11"/>
  <c r="BC14" i="11"/>
  <c r="BD14" i="11"/>
  <c r="BC15" i="11"/>
  <c r="BD15" i="11"/>
  <c r="BC16" i="11"/>
  <c r="BD16" i="11"/>
  <c r="BC17" i="11"/>
  <c r="BD17" i="11"/>
  <c r="BC18" i="11"/>
  <c r="BD18" i="11"/>
  <c r="BC19" i="11"/>
  <c r="BD19" i="11"/>
  <c r="BC20" i="11"/>
  <c r="BD20" i="11"/>
  <c r="BC21" i="11"/>
  <c r="BD21" i="11"/>
  <c r="BC22" i="11"/>
  <c r="BD22" i="11"/>
  <c r="BC23" i="11"/>
  <c r="BD23" i="11"/>
  <c r="BD11" i="11"/>
  <c r="BC11" i="11"/>
  <c r="AU54" i="11"/>
  <c r="AV54" i="11"/>
  <c r="AU55" i="11"/>
  <c r="AV55" i="11"/>
  <c r="AU56" i="11"/>
  <c r="AV56" i="11"/>
  <c r="AU57" i="11"/>
  <c r="AV57" i="11"/>
  <c r="AU58" i="11"/>
  <c r="AV58" i="11"/>
  <c r="AU59" i="11"/>
  <c r="AV59" i="11"/>
  <c r="AU60" i="11"/>
  <c r="AV60" i="11"/>
  <c r="AU61" i="11"/>
  <c r="AV61" i="11"/>
  <c r="AV53" i="11"/>
  <c r="AU53" i="11"/>
  <c r="AU41" i="11"/>
  <c r="AV41" i="11"/>
  <c r="AU42" i="11"/>
  <c r="AV42" i="11"/>
  <c r="AU43" i="11"/>
  <c r="AV43" i="11"/>
  <c r="AU44" i="11"/>
  <c r="AV44" i="11"/>
  <c r="AU45" i="11"/>
  <c r="AV45" i="11"/>
  <c r="AU46" i="11"/>
  <c r="AV46" i="11"/>
  <c r="AU47" i="11"/>
  <c r="AV47" i="11"/>
  <c r="AU48" i="11"/>
  <c r="AV48" i="11"/>
  <c r="AV40" i="11"/>
  <c r="AU40" i="11"/>
  <c r="AU29" i="11"/>
  <c r="AV29" i="11"/>
  <c r="AU30" i="11"/>
  <c r="AV30" i="11"/>
  <c r="AU31" i="11"/>
  <c r="AV31" i="11"/>
  <c r="AU32" i="11"/>
  <c r="AV32" i="11"/>
  <c r="AU33" i="11"/>
  <c r="AV33" i="11"/>
  <c r="AU34" i="11"/>
  <c r="AV34" i="11"/>
  <c r="AV28" i="11"/>
  <c r="AU28" i="11"/>
  <c r="AU12" i="11"/>
  <c r="AV12" i="11"/>
  <c r="AU13" i="11"/>
  <c r="AV13" i="11"/>
  <c r="AU14" i="11"/>
  <c r="AV14" i="11"/>
  <c r="AU15" i="11"/>
  <c r="AV15" i="11"/>
  <c r="AU16" i="11"/>
  <c r="AV16" i="11"/>
  <c r="AU17" i="11"/>
  <c r="AV17" i="11"/>
  <c r="AU18" i="11"/>
  <c r="AV18" i="11"/>
  <c r="AU19" i="11"/>
  <c r="AV19" i="11"/>
  <c r="AU20" i="11"/>
  <c r="AV20" i="11"/>
  <c r="AU21" i="11"/>
  <c r="AV21" i="11"/>
  <c r="AU22" i="11"/>
  <c r="AV22" i="11"/>
  <c r="AU23" i="11"/>
  <c r="AV23" i="11"/>
  <c r="AV11" i="11"/>
  <c r="AU11" i="11"/>
  <c r="CE29" i="5"/>
  <c r="A5" i="5"/>
  <c r="A4" i="5"/>
  <c r="A3" i="5"/>
  <c r="A2" i="5"/>
  <c r="A5" i="6"/>
  <c r="A4" i="6"/>
  <c r="A3" i="6"/>
  <c r="A2" i="6"/>
  <c r="A5" i="7"/>
  <c r="A4" i="7"/>
  <c r="A3" i="7"/>
  <c r="A2" i="7"/>
  <c r="A5" i="8"/>
  <c r="A4" i="8"/>
  <c r="A3" i="8"/>
  <c r="A2" i="8"/>
  <c r="A5" i="16"/>
  <c r="A4" i="16"/>
  <c r="A3" i="16"/>
  <c r="A2" i="16"/>
  <c r="A5" i="10"/>
  <c r="A4" i="10"/>
  <c r="A3" i="10"/>
  <c r="A2" i="10"/>
  <c r="A5" i="11"/>
  <c r="A4" i="11"/>
  <c r="A3" i="11"/>
  <c r="A2" i="11"/>
  <c r="A5" i="18"/>
  <c r="A4" i="18"/>
  <c r="A3" i="18"/>
  <c r="A2" i="18"/>
  <c r="A5" i="4"/>
  <c r="A4" i="4"/>
  <c r="A3" i="4"/>
  <c r="A2" i="4"/>
  <c r="A4" i="17"/>
  <c r="A3" i="17"/>
  <c r="A2" i="17"/>
  <c r="A4" i="2"/>
  <c r="A3" i="2"/>
  <c r="A2" i="2"/>
  <c r="DQ139" i="17"/>
  <c r="DP132" i="17"/>
  <c r="DQ132" i="17"/>
  <c r="DR132" i="17"/>
  <c r="DS132" i="17"/>
  <c r="DP133" i="17"/>
  <c r="DQ133" i="17"/>
  <c r="DR133" i="17"/>
  <c r="DS133" i="17"/>
  <c r="DP134" i="17"/>
  <c r="DQ134" i="17"/>
  <c r="DR134" i="17"/>
  <c r="DS131" i="17"/>
  <c r="DR131" i="17"/>
  <c r="DQ131" i="17"/>
  <c r="DP131" i="17"/>
  <c r="CA132" i="17"/>
  <c r="CB132" i="17"/>
  <c r="CA133" i="17"/>
  <c r="CB133" i="17"/>
  <c r="CA134" i="17"/>
  <c r="CB134" i="17"/>
  <c r="CB131" i="17"/>
  <c r="CB84" i="17"/>
  <c r="CB83" i="17"/>
  <c r="CB80" i="17"/>
  <c r="CB79" i="17"/>
  <c r="CB81" i="17"/>
  <c r="CB82" i="17"/>
  <c r="CA82" i="17"/>
  <c r="E12" i="17"/>
  <c r="DJ12" i="17" s="1"/>
  <c r="D12" i="17"/>
  <c r="DI12" i="17" s="1"/>
  <c r="CE89" i="2"/>
  <c r="CE88" i="2"/>
  <c r="CE87" i="2"/>
  <c r="F54" i="11" l="1"/>
  <c r="F41" i="11"/>
  <c r="F45" i="11"/>
  <c r="F31" i="11"/>
  <c r="F30" i="11"/>
  <c r="F48" i="11"/>
  <c r="F32" i="11"/>
  <c r="F21" i="11"/>
  <c r="F20" i="11"/>
  <c r="F13" i="11"/>
  <c r="F47" i="11"/>
  <c r="F43" i="11"/>
  <c r="F61" i="11"/>
  <c r="F44" i="11"/>
  <c r="F58" i="11"/>
  <c r="F17" i="11"/>
  <c r="F16" i="11"/>
  <c r="F12" i="11"/>
  <c r="F34" i="11"/>
  <c r="F33" i="11"/>
  <c r="F29" i="11"/>
  <c r="F46" i="11"/>
  <c r="F42" i="11"/>
  <c r="F59" i="11"/>
  <c r="F55" i="11"/>
  <c r="F40" i="11"/>
  <c r="F22" i="11"/>
  <c r="F23" i="11"/>
  <c r="F19" i="11"/>
  <c r="F15" i="11"/>
  <c r="F18" i="11"/>
  <c r="F14" i="11"/>
  <c r="A82" i="11"/>
  <c r="F56" i="11"/>
  <c r="F60" i="11"/>
  <c r="F57" i="11"/>
  <c r="F53" i="11"/>
  <c r="F28" i="11"/>
  <c r="F11" i="11"/>
  <c r="EP12" i="17"/>
  <c r="ER12" i="17"/>
  <c r="C12" i="17"/>
  <c r="CB47" i="2"/>
  <c r="CI44" i="2"/>
  <c r="CG44" i="2"/>
  <c r="CF44" i="2"/>
  <c r="CD44" i="2"/>
  <c r="CE44" i="2"/>
  <c r="CC44" i="2"/>
  <c r="CC52" i="2"/>
  <c r="CC51" i="2"/>
  <c r="CC50" i="2"/>
  <c r="CC49" i="2"/>
  <c r="CC48" i="2"/>
  <c r="CC47" i="2"/>
  <c r="CC46" i="2"/>
  <c r="CC45" i="2"/>
  <c r="CB44" i="2"/>
  <c r="DB12" i="17" l="1"/>
  <c r="DA12" i="17"/>
  <c r="E28" i="6"/>
  <c r="E62" i="11"/>
  <c r="D62" i="11"/>
  <c r="C62" i="11"/>
  <c r="E49" i="11"/>
  <c r="D49" i="11"/>
  <c r="C49" i="11"/>
  <c r="E36" i="11"/>
  <c r="D36" i="11"/>
  <c r="E24" i="11"/>
  <c r="D24" i="11"/>
  <c r="C58" i="2" l="1"/>
  <c r="CA58" i="2" s="1"/>
  <c r="CN58" i="2" l="1"/>
  <c r="D82" i="16"/>
  <c r="E86" i="16"/>
  <c r="E85" i="16"/>
  <c r="E84" i="16"/>
  <c r="E83" i="16"/>
  <c r="E82" i="16"/>
  <c r="D86" i="16"/>
  <c r="C86" i="16" s="1"/>
  <c r="D85" i="16"/>
  <c r="D84" i="16"/>
  <c r="D83" i="16"/>
  <c r="O86" i="16"/>
  <c r="O85" i="16"/>
  <c r="O84" i="16"/>
  <c r="O83" i="16"/>
  <c r="O82" i="16"/>
  <c r="L86" i="16"/>
  <c r="L85" i="16"/>
  <c r="L84" i="16"/>
  <c r="L83" i="16"/>
  <c r="L82" i="16"/>
  <c r="I86" i="16"/>
  <c r="I85" i="16"/>
  <c r="I84" i="16"/>
  <c r="I83" i="16"/>
  <c r="I82" i="16"/>
  <c r="F86" i="16"/>
  <c r="F85" i="16"/>
  <c r="F84" i="16"/>
  <c r="F83" i="16"/>
  <c r="F82" i="16"/>
  <c r="E14" i="12"/>
  <c r="B62" i="11"/>
  <c r="B49" i="11"/>
  <c r="C24" i="11"/>
  <c r="B24" i="11"/>
  <c r="E23" i="4"/>
  <c r="D16" i="18"/>
  <c r="C16" i="18"/>
  <c r="C23" i="18"/>
  <c r="D25" i="18"/>
  <c r="D27" i="18"/>
  <c r="C25" i="18"/>
  <c r="CE23" i="4" l="1"/>
  <c r="CC23" i="4"/>
  <c r="C84" i="16"/>
  <c r="C83" i="16"/>
  <c r="C82" i="16"/>
  <c r="C85" i="16"/>
  <c r="C22" i="10"/>
  <c r="CM22" i="10" s="1"/>
  <c r="F16" i="10"/>
  <c r="D16" i="10" s="1"/>
  <c r="AM86" i="16"/>
  <c r="AM85" i="16"/>
  <c r="AM84" i="16"/>
  <c r="AM83" i="16"/>
  <c r="AM82" i="16"/>
  <c r="CB22" i="10" l="1"/>
  <c r="BT18" i="8"/>
  <c r="BH18" i="8"/>
  <c r="BG18" i="8"/>
  <c r="BF18" i="8"/>
  <c r="BE18" i="8"/>
  <c r="BD18" i="8"/>
  <c r="BC18" i="8"/>
  <c r="BB18" i="8"/>
  <c r="BA18" i="8"/>
  <c r="BH11" i="8"/>
  <c r="BG11" i="8"/>
  <c r="BF11" i="8"/>
  <c r="BE11" i="8"/>
  <c r="BD11" i="8"/>
  <c r="BC11" i="8"/>
  <c r="BB11" i="8"/>
  <c r="K11" i="8" l="1"/>
  <c r="E28" i="7" l="1"/>
  <c r="CC28" i="6"/>
  <c r="CE28" i="6"/>
  <c r="CW28" i="7" l="1"/>
  <c r="CO28" i="7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DR42" i="5"/>
  <c r="DS42" i="5"/>
  <c r="DT42" i="5"/>
  <c r="DU42" i="5"/>
  <c r="DV42" i="5"/>
  <c r="DW42" i="5"/>
  <c r="DX42" i="5"/>
  <c r="DY42" i="5"/>
  <c r="DZ42" i="5"/>
  <c r="EA42" i="5"/>
  <c r="EB42" i="5"/>
  <c r="EC42" i="5"/>
  <c r="ED42" i="5"/>
  <c r="EE42" i="5"/>
  <c r="EF42" i="5"/>
  <c r="EG42" i="5"/>
  <c r="EH42" i="5"/>
  <c r="EI42" i="5"/>
  <c r="EJ42" i="5"/>
  <c r="EK42" i="5"/>
  <c r="EL42" i="5"/>
  <c r="EM42" i="5"/>
  <c r="EN42" i="5"/>
  <c r="EO42" i="5"/>
  <c r="EP42" i="5"/>
  <c r="EQ42" i="5"/>
  <c r="ER42" i="5"/>
  <c r="DQ41" i="5"/>
  <c r="DQ42" i="5"/>
  <c r="E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R38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DQ39" i="5"/>
  <c r="DQ38" i="5"/>
  <c r="CE42" i="5"/>
  <c r="CE41" i="5"/>
  <c r="DP91" i="5"/>
  <c r="DQ91" i="5"/>
  <c r="DR91" i="5"/>
  <c r="DS91" i="5"/>
  <c r="DT91" i="5"/>
  <c r="DU91" i="5"/>
  <c r="DV91" i="5"/>
  <c r="DW91" i="5"/>
  <c r="DX91" i="5"/>
  <c r="DY91" i="5"/>
  <c r="DZ91" i="5"/>
  <c r="EA91" i="5"/>
  <c r="EB91" i="5"/>
  <c r="EC91" i="5"/>
  <c r="ED91" i="5"/>
  <c r="EE91" i="5"/>
  <c r="EF91" i="5"/>
  <c r="EG91" i="5"/>
  <c r="EH91" i="5"/>
  <c r="EI91" i="5"/>
  <c r="EJ91" i="5"/>
  <c r="EK91" i="5"/>
  <c r="EL91" i="5"/>
  <c r="EM91" i="5"/>
  <c r="EN91" i="5"/>
  <c r="EO91" i="5"/>
  <c r="EP91" i="5"/>
  <c r="DO91" i="5"/>
  <c r="DF91" i="5"/>
  <c r="DE91" i="5"/>
  <c r="DD91" i="5"/>
  <c r="DC91" i="5"/>
  <c r="DB91" i="5"/>
  <c r="DA91" i="5"/>
  <c r="CZ91" i="5"/>
  <c r="CY91" i="5"/>
  <c r="CX91" i="5"/>
  <c r="CW91" i="5"/>
  <c r="CV91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DF39" i="5" l="1"/>
  <c r="DE39" i="5"/>
  <c r="DD39" i="5"/>
  <c r="DC39" i="5"/>
  <c r="DB39" i="5"/>
  <c r="CK39" i="5"/>
  <c r="CJ39" i="5"/>
  <c r="CI39" i="5"/>
  <c r="CH39" i="5"/>
  <c r="CG39" i="5"/>
  <c r="CF39" i="5"/>
  <c r="CE39" i="5"/>
  <c r="CJ38" i="5"/>
  <c r="CI38" i="5"/>
  <c r="CH38" i="5"/>
  <c r="CG38" i="5"/>
  <c r="CF38" i="5"/>
  <c r="D21" i="5" l="1"/>
  <c r="DM21" i="5" s="1"/>
  <c r="E21" i="5"/>
  <c r="CD21" i="5" l="1"/>
  <c r="CB21" i="5"/>
  <c r="CC21" i="5"/>
  <c r="CA21" i="5"/>
  <c r="DK21" i="5"/>
  <c r="DN21" i="5"/>
  <c r="DL21" i="5"/>
  <c r="C21" i="5"/>
  <c r="AL21" i="5" l="1"/>
  <c r="CO23" i="4" l="1"/>
  <c r="CQ23" i="4"/>
  <c r="CP128" i="2"/>
  <c r="CP136" i="2"/>
  <c r="CA138" i="2"/>
  <c r="CD138" i="2"/>
  <c r="CC138" i="2"/>
  <c r="CB138" i="2"/>
  <c r="CA136" i="2"/>
  <c r="CA129" i="2"/>
  <c r="CB129" i="2"/>
  <c r="CC129" i="2"/>
  <c r="CD129" i="2"/>
  <c r="CA130" i="2"/>
  <c r="CB130" i="2"/>
  <c r="CC130" i="2"/>
  <c r="CD130" i="2"/>
  <c r="CA131" i="2"/>
  <c r="CB131" i="2"/>
  <c r="CC131" i="2"/>
  <c r="CD131" i="2"/>
  <c r="CA132" i="2"/>
  <c r="CB132" i="2"/>
  <c r="CC132" i="2"/>
  <c r="CD132" i="2"/>
  <c r="CA133" i="2"/>
  <c r="CB133" i="2"/>
  <c r="CC133" i="2"/>
  <c r="CD133" i="2"/>
  <c r="CA134" i="2"/>
  <c r="CB134" i="2"/>
  <c r="CC134" i="2"/>
  <c r="CD134" i="2"/>
  <c r="CA135" i="2"/>
  <c r="CB135" i="2"/>
  <c r="CC135" i="2"/>
  <c r="CD135" i="2"/>
  <c r="CB136" i="2"/>
  <c r="CC136" i="2"/>
  <c r="CD136" i="2"/>
  <c r="CC128" i="2"/>
  <c r="CD128" i="2"/>
  <c r="CB128" i="2"/>
  <c r="CA128" i="2"/>
  <c r="CC88" i="2"/>
  <c r="CB88" i="2"/>
  <c r="CA89" i="2"/>
  <c r="CA88" i="2"/>
  <c r="CB85" i="2"/>
  <c r="CA85" i="2"/>
  <c r="CE84" i="2"/>
  <c r="CD84" i="2"/>
  <c r="CC84" i="2"/>
  <c r="CO57" i="2" l="1"/>
  <c r="CB57" i="2"/>
  <c r="CR44" i="2"/>
  <c r="CQ44" i="2"/>
  <c r="CP44" i="2"/>
  <c r="CO44" i="2"/>
  <c r="CN44" i="2"/>
  <c r="CI52" i="2"/>
  <c r="CI51" i="2"/>
  <c r="CI50" i="2"/>
  <c r="CI49" i="2"/>
  <c r="CI48" i="2"/>
  <c r="CI47" i="2"/>
  <c r="CI46" i="2"/>
  <c r="CI45" i="2"/>
  <c r="CH52" i="2"/>
  <c r="CH51" i="2"/>
  <c r="CH50" i="2"/>
  <c r="CH49" i="2"/>
  <c r="CH48" i="2"/>
  <c r="CH47" i="2"/>
  <c r="CH46" i="2"/>
  <c r="CH45" i="2"/>
  <c r="CH44" i="2"/>
  <c r="CG52" i="2"/>
  <c r="CG51" i="2"/>
  <c r="CG50" i="2"/>
  <c r="CG49" i="2"/>
  <c r="CG48" i="2"/>
  <c r="CG47" i="2"/>
  <c r="CG46" i="2"/>
  <c r="CG45" i="2"/>
  <c r="CF52" i="2"/>
  <c r="CF51" i="2"/>
  <c r="CF50" i="2"/>
  <c r="CF49" i="2"/>
  <c r="CF48" i="2"/>
  <c r="CF47" i="2"/>
  <c r="CF46" i="2"/>
  <c r="CF45" i="2"/>
  <c r="CE52" i="2"/>
  <c r="CE51" i="2"/>
  <c r="CE50" i="2"/>
  <c r="CE49" i="2"/>
  <c r="CE48" i="2"/>
  <c r="CE47" i="2"/>
  <c r="CE46" i="2"/>
  <c r="CE45" i="2"/>
  <c r="CD45" i="2"/>
  <c r="CD52" i="2"/>
  <c r="CD51" i="2"/>
  <c r="CD50" i="2"/>
  <c r="CD49" i="2"/>
  <c r="CD48" i="2"/>
  <c r="CD47" i="2"/>
  <c r="CD46" i="2"/>
  <c r="CB52" i="2"/>
  <c r="CB51" i="2"/>
  <c r="CB50" i="2"/>
  <c r="CB49" i="2"/>
  <c r="CB48" i="2"/>
  <c r="CB46" i="2"/>
  <c r="CA51" i="2"/>
  <c r="CA49" i="2"/>
  <c r="CA48" i="2"/>
  <c r="CB45" i="2"/>
  <c r="CA46" i="2"/>
  <c r="CA52" i="2"/>
  <c r="CA50" i="2"/>
  <c r="CA47" i="2"/>
  <c r="CA45" i="2"/>
  <c r="CA44" i="2"/>
  <c r="CE91" i="2" l="1"/>
  <c r="CD91" i="2"/>
  <c r="CE90" i="2"/>
  <c r="CD90" i="2"/>
  <c r="CE86" i="2"/>
  <c r="CD86" i="2"/>
  <c r="CE85" i="2"/>
  <c r="CD88" i="2"/>
  <c r="CD87" i="2"/>
  <c r="CD85" i="2"/>
  <c r="CC91" i="2"/>
  <c r="CC87" i="2"/>
  <c r="CC86" i="2"/>
  <c r="CC85" i="2"/>
  <c r="CP84" i="2"/>
  <c r="CI24" i="2" l="1"/>
  <c r="CF24" i="2"/>
  <c r="CA24" i="2"/>
  <c r="CH24" i="2"/>
  <c r="E47" i="4"/>
  <c r="D47" i="4"/>
  <c r="C47" i="4" s="1"/>
  <c r="E46" i="4"/>
  <c r="D46" i="4"/>
  <c r="E45" i="4"/>
  <c r="D45" i="4"/>
  <c r="CD46" i="4" l="1"/>
  <c r="CB46" i="4"/>
  <c r="CP46" i="4"/>
  <c r="CN46" i="4"/>
  <c r="C46" i="4"/>
  <c r="CB47" i="4"/>
  <c r="CD47" i="4"/>
  <c r="CN47" i="4"/>
  <c r="CP47" i="4"/>
  <c r="CD45" i="4"/>
  <c r="CB45" i="4"/>
  <c r="CN45" i="4"/>
  <c r="CP45" i="4"/>
  <c r="CC46" i="4"/>
  <c r="CE46" i="4"/>
  <c r="CO46" i="4"/>
  <c r="CQ46" i="4"/>
  <c r="CC47" i="4"/>
  <c r="CE47" i="4"/>
  <c r="CO47" i="4"/>
  <c r="CQ47" i="4"/>
  <c r="C45" i="4"/>
  <c r="CC45" i="4"/>
  <c r="CE45" i="4"/>
  <c r="CO45" i="4"/>
  <c r="CQ45" i="4"/>
  <c r="B25" i="18"/>
  <c r="BC25" i="18" s="1"/>
  <c r="CO16" i="10"/>
  <c r="CP16" i="10"/>
  <c r="CQ16" i="10"/>
  <c r="CL16" i="10"/>
  <c r="CC16" i="10"/>
  <c r="CD16" i="10"/>
  <c r="CA16" i="10"/>
  <c r="AV103" i="16"/>
  <c r="AU103" i="16"/>
  <c r="AT103" i="16"/>
  <c r="AS103" i="16"/>
  <c r="AR103" i="16"/>
  <c r="AQ103" i="16"/>
  <c r="AN103" i="16"/>
  <c r="AM103" i="16"/>
  <c r="AL103" i="16"/>
  <c r="AK103" i="16"/>
  <c r="AJ103" i="16"/>
  <c r="AV102" i="16"/>
  <c r="AU102" i="16"/>
  <c r="AT102" i="16"/>
  <c r="AS102" i="16"/>
  <c r="AR102" i="16"/>
  <c r="AQ102" i="16"/>
  <c r="AN102" i="16"/>
  <c r="AM102" i="16"/>
  <c r="AL102" i="16"/>
  <c r="AK102" i="16"/>
  <c r="AJ102" i="16"/>
  <c r="AV101" i="16"/>
  <c r="AU101" i="16"/>
  <c r="AT101" i="16"/>
  <c r="AS101" i="16"/>
  <c r="AR101" i="16"/>
  <c r="AQ101" i="16"/>
  <c r="AN101" i="16"/>
  <c r="AM101" i="16"/>
  <c r="AL101" i="16"/>
  <c r="AK101" i="16"/>
  <c r="AJ101" i="16"/>
  <c r="AV100" i="16"/>
  <c r="AU100" i="16"/>
  <c r="AT100" i="16"/>
  <c r="AS100" i="16"/>
  <c r="AR100" i="16"/>
  <c r="AQ100" i="16"/>
  <c r="AN100" i="16"/>
  <c r="AM100" i="16"/>
  <c r="AL100" i="16"/>
  <c r="AK100" i="16"/>
  <c r="AJ100" i="16"/>
  <c r="AV99" i="16"/>
  <c r="AU99" i="16"/>
  <c r="AT99" i="16"/>
  <c r="AS99" i="16"/>
  <c r="AR99" i="16"/>
  <c r="AQ99" i="16"/>
  <c r="AN99" i="16"/>
  <c r="AM99" i="16"/>
  <c r="AL99" i="16"/>
  <c r="AK99" i="16"/>
  <c r="AJ99" i="16"/>
  <c r="AV98" i="16"/>
  <c r="AU98" i="16"/>
  <c r="AT98" i="16"/>
  <c r="AS98" i="16"/>
  <c r="AR98" i="16"/>
  <c r="AQ98" i="16"/>
  <c r="AN98" i="16"/>
  <c r="AM98" i="16"/>
  <c r="AL98" i="16"/>
  <c r="AK98" i="16"/>
  <c r="AJ98" i="16"/>
  <c r="AV97" i="16"/>
  <c r="AU97" i="16"/>
  <c r="AT97" i="16"/>
  <c r="AS97" i="16"/>
  <c r="AR97" i="16"/>
  <c r="AQ97" i="16"/>
  <c r="AN97" i="16"/>
  <c r="AM97" i="16"/>
  <c r="AL97" i="16"/>
  <c r="AK97" i="16"/>
  <c r="AJ97" i="16"/>
  <c r="AV96" i="16"/>
  <c r="AU96" i="16"/>
  <c r="AT96" i="16"/>
  <c r="AS96" i="16"/>
  <c r="AR96" i="16"/>
  <c r="AQ96" i="16"/>
  <c r="AN96" i="16"/>
  <c r="AM96" i="16"/>
  <c r="AL96" i="16"/>
  <c r="AK96" i="16"/>
  <c r="AJ96" i="16"/>
  <c r="AV95" i="16"/>
  <c r="AU95" i="16"/>
  <c r="AT95" i="16"/>
  <c r="AS95" i="16"/>
  <c r="AR95" i="16"/>
  <c r="AQ95" i="16"/>
  <c r="AN95" i="16"/>
  <c r="AM95" i="16"/>
  <c r="AL95" i="16"/>
  <c r="AK95" i="16"/>
  <c r="AJ95" i="16"/>
  <c r="AV94" i="16"/>
  <c r="AU94" i="16"/>
  <c r="AT94" i="16"/>
  <c r="AS94" i="16"/>
  <c r="AR94" i="16"/>
  <c r="AQ94" i="16"/>
  <c r="AN94" i="16"/>
  <c r="AM94" i="16"/>
  <c r="AL94" i="16"/>
  <c r="AK94" i="16"/>
  <c r="AJ94" i="16"/>
  <c r="AU93" i="16"/>
  <c r="AT93" i="16"/>
  <c r="AS93" i="16"/>
  <c r="AR93" i="16"/>
  <c r="AQ93" i="16"/>
  <c r="AM93" i="16"/>
  <c r="AL93" i="16"/>
  <c r="AK93" i="16"/>
  <c r="AJ93" i="16"/>
  <c r="AV92" i="16"/>
  <c r="AU92" i="16"/>
  <c r="AT92" i="16"/>
  <c r="AS92" i="16"/>
  <c r="AR92" i="16"/>
  <c r="AQ92" i="16"/>
  <c r="AN92" i="16"/>
  <c r="AM92" i="16"/>
  <c r="AL92" i="16"/>
  <c r="AK92" i="16"/>
  <c r="AJ92" i="16"/>
  <c r="AV91" i="16"/>
  <c r="AU91" i="16"/>
  <c r="AT91" i="16"/>
  <c r="AS91" i="16"/>
  <c r="AR91" i="16"/>
  <c r="AQ91" i="16"/>
  <c r="AN91" i="16"/>
  <c r="AM91" i="16"/>
  <c r="AL91" i="16"/>
  <c r="AK91" i="16"/>
  <c r="AJ91" i="16"/>
  <c r="AV90" i="16"/>
  <c r="AU90" i="16"/>
  <c r="AT90" i="16"/>
  <c r="AS90" i="16"/>
  <c r="AR90" i="16"/>
  <c r="AQ90" i="16"/>
  <c r="AN90" i="16"/>
  <c r="AM90" i="16"/>
  <c r="AL90" i="16"/>
  <c r="AK90" i="16"/>
  <c r="AJ90" i="16"/>
  <c r="AJ82" i="16"/>
  <c r="AT86" i="16"/>
  <c r="AS86" i="16"/>
  <c r="AR86" i="16"/>
  <c r="AQ86" i="16"/>
  <c r="AL86" i="16"/>
  <c r="AK86" i="16"/>
  <c r="AJ86" i="16"/>
  <c r="AT85" i="16"/>
  <c r="AS85" i="16"/>
  <c r="AR85" i="16"/>
  <c r="AQ85" i="16"/>
  <c r="AL85" i="16"/>
  <c r="AK85" i="16"/>
  <c r="AJ85" i="16"/>
  <c r="AT84" i="16"/>
  <c r="AS84" i="16"/>
  <c r="AR84" i="16"/>
  <c r="AQ84" i="16"/>
  <c r="AL84" i="16"/>
  <c r="AK84" i="16"/>
  <c r="AJ84" i="16"/>
  <c r="AT83" i="16"/>
  <c r="AS83" i="16"/>
  <c r="AR83" i="16"/>
  <c r="AQ83" i="16"/>
  <c r="AL83" i="16"/>
  <c r="AK83" i="16"/>
  <c r="AJ83" i="16"/>
  <c r="AT82" i="16"/>
  <c r="AS82" i="16"/>
  <c r="AR82" i="16"/>
  <c r="AQ82" i="16"/>
  <c r="AL82" i="16"/>
  <c r="AK82" i="16"/>
  <c r="BA25" i="18" l="1"/>
  <c r="BJ25" i="18"/>
  <c r="BB25" i="18"/>
  <c r="BI25" i="18"/>
  <c r="BK25" i="18"/>
  <c r="BL25" i="18"/>
  <c r="O103" i="16"/>
  <c r="R85" i="16"/>
  <c r="O92" i="16"/>
  <c r="O94" i="16"/>
  <c r="O96" i="16"/>
  <c r="O97" i="16"/>
  <c r="O100" i="16"/>
  <c r="O102" i="16"/>
  <c r="O98" i="16"/>
  <c r="R86" i="16"/>
  <c r="O90" i="16"/>
  <c r="R82" i="16"/>
  <c r="O91" i="16"/>
  <c r="O93" i="16"/>
  <c r="O95" i="16"/>
  <c r="O101" i="16"/>
  <c r="O99" i="16"/>
  <c r="R84" i="16"/>
  <c r="R83" i="16"/>
  <c r="AY16" i="10"/>
  <c r="D119" i="7"/>
  <c r="D24" i="7"/>
  <c r="CX24" i="7" s="1"/>
  <c r="CP28" i="6"/>
  <c r="CR28" i="6"/>
  <c r="U25" i="18" l="1"/>
  <c r="CE119" i="7"/>
  <c r="CX119" i="7"/>
  <c r="CK24" i="7"/>
  <c r="CC24" i="7"/>
  <c r="CP24" i="7"/>
  <c r="CJ28" i="7"/>
  <c r="CS28" i="7"/>
  <c r="CD28" i="7"/>
  <c r="CF28" i="7"/>
  <c r="CR119" i="7"/>
  <c r="CC119" i="7"/>
  <c r="CP119" i="7"/>
  <c r="CK119" i="7"/>
  <c r="CQ28" i="7"/>
  <c r="CE24" i="7"/>
  <c r="CR24" i="7"/>
  <c r="DD33" i="5" l="1"/>
  <c r="CI29" i="5"/>
  <c r="CH29" i="5"/>
  <c r="CG29" i="5"/>
  <c r="CF29" i="5"/>
  <c r="D19" i="5"/>
  <c r="B52" i="4"/>
  <c r="L112" i="17"/>
  <c r="CQ138" i="2"/>
  <c r="CP138" i="2"/>
  <c r="CO138" i="2"/>
  <c r="CN138" i="2"/>
  <c r="B160" i="2"/>
  <c r="CO129" i="2"/>
  <c r="CN136" i="2"/>
  <c r="CO136" i="2"/>
  <c r="CQ136" i="2"/>
  <c r="CN129" i="2"/>
  <c r="CP129" i="2"/>
  <c r="CQ129" i="2"/>
  <c r="CN130" i="2"/>
  <c r="CO130" i="2"/>
  <c r="CP130" i="2"/>
  <c r="CQ130" i="2"/>
  <c r="CN131" i="2"/>
  <c r="CO131" i="2"/>
  <c r="CP131" i="2"/>
  <c r="CQ131" i="2"/>
  <c r="CN132" i="2"/>
  <c r="CO132" i="2"/>
  <c r="CP132" i="2"/>
  <c r="CQ132" i="2"/>
  <c r="CN133" i="2"/>
  <c r="CO133" i="2"/>
  <c r="CP133" i="2"/>
  <c r="CQ133" i="2"/>
  <c r="CN134" i="2"/>
  <c r="CO134" i="2"/>
  <c r="CP134" i="2"/>
  <c r="CQ134" i="2"/>
  <c r="CN135" i="2"/>
  <c r="CO135" i="2"/>
  <c r="CP135" i="2"/>
  <c r="CQ135" i="2"/>
  <c r="CO128" i="2"/>
  <c r="CQ128" i="2"/>
  <c r="CN128" i="2"/>
  <c r="CO88" i="2"/>
  <c r="CO85" i="2"/>
  <c r="CN85" i="2"/>
  <c r="CN88" i="2"/>
  <c r="CP91" i="2"/>
  <c r="CR91" i="2"/>
  <c r="CQ91" i="2"/>
  <c r="CR84" i="2"/>
  <c r="CQ84" i="2"/>
  <c r="E78" i="7"/>
  <c r="E80" i="7"/>
  <c r="D80" i="7"/>
  <c r="CX80" i="7" s="1"/>
  <c r="E79" i="7"/>
  <c r="D79" i="7"/>
  <c r="CX79" i="7" s="1"/>
  <c r="D78" i="7"/>
  <c r="CX78" i="7" s="1"/>
  <c r="E77" i="7"/>
  <c r="D77" i="7"/>
  <c r="CX77" i="7" s="1"/>
  <c r="D19" i="7"/>
  <c r="CX19" i="7" s="1"/>
  <c r="E18" i="7"/>
  <c r="D18" i="7"/>
  <c r="CX18" i="7" s="1"/>
  <c r="E17" i="7"/>
  <c r="D17" i="7"/>
  <c r="CX17" i="7" s="1"/>
  <c r="E16" i="7"/>
  <c r="D16" i="7"/>
  <c r="CX16" i="7" s="1"/>
  <c r="E15" i="7"/>
  <c r="D15" i="7"/>
  <c r="CX15" i="7" s="1"/>
  <c r="CZ52" i="4" l="1"/>
  <c r="CY52" i="4"/>
  <c r="CK52" i="4"/>
  <c r="CJ52" i="4"/>
  <c r="BZ52" i="4"/>
  <c r="CI52" i="4"/>
  <c r="CF52" i="4"/>
  <c r="CA52" i="4"/>
  <c r="CX52" i="4"/>
  <c r="CH52" i="4"/>
  <c r="CG52" i="4"/>
  <c r="CW17" i="7"/>
  <c r="CN17" i="7"/>
  <c r="CO17" i="7"/>
  <c r="CA17" i="7"/>
  <c r="CN15" i="7"/>
  <c r="CW15" i="7"/>
  <c r="CO15" i="7"/>
  <c r="CA15" i="7"/>
  <c r="CW18" i="7"/>
  <c r="CN18" i="7"/>
  <c r="CO18" i="7"/>
  <c r="CA18" i="7"/>
  <c r="CB77" i="7"/>
  <c r="CA77" i="7"/>
  <c r="CN77" i="7"/>
  <c r="CW77" i="7"/>
  <c r="CJ77" i="7"/>
  <c r="CO77" i="7"/>
  <c r="CN79" i="7"/>
  <c r="CW79" i="7"/>
  <c r="CO79" i="7"/>
  <c r="CB79" i="7"/>
  <c r="CA79" i="7"/>
  <c r="CN80" i="7"/>
  <c r="CW80" i="7"/>
  <c r="CO80" i="7"/>
  <c r="CB80" i="7"/>
  <c r="CA80" i="7"/>
  <c r="CW16" i="7"/>
  <c r="CN16" i="7"/>
  <c r="CO16" i="7"/>
  <c r="CA16" i="7"/>
  <c r="CN78" i="7"/>
  <c r="CW78" i="7"/>
  <c r="CO78" i="7"/>
  <c r="CB78" i="7"/>
  <c r="CA78" i="7"/>
  <c r="CA19" i="5"/>
  <c r="CC19" i="5"/>
  <c r="DK19" i="5"/>
  <c r="DM19" i="5"/>
  <c r="L132" i="2"/>
  <c r="L136" i="2"/>
  <c r="L129" i="2"/>
  <c r="L134" i="2"/>
  <c r="L128" i="2"/>
  <c r="L138" i="2"/>
  <c r="L133" i="2"/>
  <c r="L131" i="2"/>
  <c r="L135" i="2"/>
  <c r="L130" i="2"/>
  <c r="CB52" i="4"/>
  <c r="CD52" i="4"/>
  <c r="CO52" i="4"/>
  <c r="CV52" i="4"/>
  <c r="CU52" i="4"/>
  <c r="CC52" i="4"/>
  <c r="CT52" i="4"/>
  <c r="CE52" i="4"/>
  <c r="CW52" i="4"/>
  <c r="C80" i="7"/>
  <c r="CK80" i="7"/>
  <c r="CP80" i="7"/>
  <c r="CE80" i="7"/>
  <c r="CC80" i="7"/>
  <c r="CR80" i="7"/>
  <c r="CQ79" i="7"/>
  <c r="CF79" i="7"/>
  <c r="CD79" i="7"/>
  <c r="CJ79" i="7"/>
  <c r="CS79" i="7"/>
  <c r="CS78" i="7"/>
  <c r="CD78" i="7"/>
  <c r="CQ78" i="7"/>
  <c r="CJ78" i="7"/>
  <c r="CF78" i="7"/>
  <c r="C79" i="7"/>
  <c r="CE79" i="7"/>
  <c r="CP79" i="7"/>
  <c r="CC79" i="7"/>
  <c r="CR79" i="7"/>
  <c r="CK79" i="7"/>
  <c r="CC77" i="7"/>
  <c r="CK77" i="7"/>
  <c r="CR77" i="7"/>
  <c r="CE77" i="7"/>
  <c r="CP77" i="7"/>
  <c r="CS77" i="7"/>
  <c r="CD77" i="7"/>
  <c r="CQ77" i="7"/>
  <c r="CF77" i="7"/>
  <c r="CQ80" i="7"/>
  <c r="CJ80" i="7"/>
  <c r="CF80" i="7"/>
  <c r="CS80" i="7"/>
  <c r="CD80" i="7"/>
  <c r="CK78" i="7"/>
  <c r="CC78" i="7"/>
  <c r="CR78" i="7"/>
  <c r="CP78" i="7"/>
  <c r="CE78" i="7"/>
  <c r="CD15" i="7"/>
  <c r="CQ15" i="7"/>
  <c r="CJ15" i="7"/>
  <c r="CS15" i="7"/>
  <c r="CF15" i="7"/>
  <c r="CR19" i="7"/>
  <c r="CK19" i="7"/>
  <c r="CE19" i="7"/>
  <c r="CC19" i="7"/>
  <c r="CP19" i="7"/>
  <c r="CC16" i="7"/>
  <c r="CE16" i="7"/>
  <c r="CK16" i="7"/>
  <c r="CR16" i="7"/>
  <c r="CP16" i="7"/>
  <c r="CE15" i="7"/>
  <c r="CC15" i="7"/>
  <c r="CP15" i="7"/>
  <c r="CK15" i="7"/>
  <c r="CR15" i="7"/>
  <c r="CD16" i="7"/>
  <c r="CS16" i="7"/>
  <c r="CJ16" i="7"/>
  <c r="CQ16" i="7"/>
  <c r="CF16" i="7"/>
  <c r="CK17" i="7"/>
  <c r="CR17" i="7"/>
  <c r="CP17" i="7"/>
  <c r="CC17" i="7"/>
  <c r="CE17" i="7"/>
  <c r="CD17" i="7"/>
  <c r="CS17" i="7"/>
  <c r="CJ17" i="7"/>
  <c r="CQ17" i="7"/>
  <c r="CF17" i="7"/>
  <c r="CK18" i="7"/>
  <c r="CP18" i="7"/>
  <c r="CC18" i="7"/>
  <c r="CR18" i="7"/>
  <c r="CE18" i="7"/>
  <c r="CD18" i="7"/>
  <c r="CJ18" i="7"/>
  <c r="CQ18" i="7"/>
  <c r="CF18" i="7"/>
  <c r="CS18" i="7"/>
  <c r="C17" i="7"/>
  <c r="C78" i="7"/>
  <c r="C15" i="7"/>
  <c r="C77" i="7"/>
  <c r="C16" i="7"/>
  <c r="C18" i="7"/>
  <c r="CP85" i="2"/>
  <c r="CQ85" i="2"/>
  <c r="CR85" i="2"/>
  <c r="CP86" i="2"/>
  <c r="CQ86" i="2"/>
  <c r="CR86" i="2"/>
  <c r="CP87" i="2"/>
  <c r="CQ87" i="2"/>
  <c r="CR87" i="2"/>
  <c r="CP88" i="2"/>
  <c r="CQ88" i="2"/>
  <c r="CR88" i="2"/>
  <c r="CQ89" i="2"/>
  <c r="CR89" i="2"/>
  <c r="CQ90" i="2"/>
  <c r="CR90" i="2"/>
  <c r="G91" i="2"/>
  <c r="G89" i="2"/>
  <c r="CO58" i="2"/>
  <c r="CO59" i="2"/>
  <c r="CB58" i="2"/>
  <c r="CB59" i="2"/>
  <c r="D61" i="2"/>
  <c r="C57" i="2"/>
  <c r="D53" i="2"/>
  <c r="CN45" i="2"/>
  <c r="CO45" i="2"/>
  <c r="CP45" i="2"/>
  <c r="CQ45" i="2"/>
  <c r="CR45" i="2"/>
  <c r="CS45" i="2"/>
  <c r="CT45" i="2"/>
  <c r="CU45" i="2"/>
  <c r="CV45" i="2"/>
  <c r="CN46" i="2"/>
  <c r="CO46" i="2"/>
  <c r="CP46" i="2"/>
  <c r="CQ46" i="2"/>
  <c r="CR46" i="2"/>
  <c r="CS46" i="2"/>
  <c r="CT46" i="2"/>
  <c r="CU46" i="2"/>
  <c r="CV46" i="2"/>
  <c r="CN47" i="2"/>
  <c r="CO47" i="2"/>
  <c r="CP47" i="2"/>
  <c r="CQ47" i="2"/>
  <c r="CR47" i="2"/>
  <c r="CS47" i="2"/>
  <c r="CT47" i="2"/>
  <c r="CU47" i="2"/>
  <c r="CV47" i="2"/>
  <c r="CN48" i="2"/>
  <c r="CO48" i="2"/>
  <c r="CP48" i="2"/>
  <c r="CQ48" i="2"/>
  <c r="CR48" i="2"/>
  <c r="CS48" i="2"/>
  <c r="CT48" i="2"/>
  <c r="CU48" i="2"/>
  <c r="CV48" i="2"/>
  <c r="CN49" i="2"/>
  <c r="CO49" i="2"/>
  <c r="CP49" i="2"/>
  <c r="CQ49" i="2"/>
  <c r="CR49" i="2"/>
  <c r="CS49" i="2"/>
  <c r="CT49" i="2"/>
  <c r="CU49" i="2"/>
  <c r="CV49" i="2"/>
  <c r="CN50" i="2"/>
  <c r="CO50" i="2"/>
  <c r="CP50" i="2"/>
  <c r="CQ50" i="2"/>
  <c r="CR50" i="2"/>
  <c r="CS50" i="2"/>
  <c r="CT50" i="2"/>
  <c r="CU50" i="2"/>
  <c r="CV50" i="2"/>
  <c r="CN51" i="2"/>
  <c r="CO51" i="2"/>
  <c r="CP51" i="2"/>
  <c r="CQ51" i="2"/>
  <c r="CR51" i="2"/>
  <c r="CS51" i="2"/>
  <c r="CT51" i="2"/>
  <c r="CU51" i="2"/>
  <c r="CV51" i="2"/>
  <c r="CN52" i="2"/>
  <c r="CO52" i="2"/>
  <c r="CP52" i="2"/>
  <c r="CQ52" i="2"/>
  <c r="CR52" i="2"/>
  <c r="CS52" i="2"/>
  <c r="CT52" i="2"/>
  <c r="CU52" i="2"/>
  <c r="CV52" i="2"/>
  <c r="CV44" i="2"/>
  <c r="CU44" i="2"/>
  <c r="CT44" i="2"/>
  <c r="CS44" i="2"/>
  <c r="Q52" i="4" l="1"/>
  <c r="CH80" i="7"/>
  <c r="CG80" i="7"/>
  <c r="CH16" i="7"/>
  <c r="CG16" i="7"/>
  <c r="CN57" i="2"/>
  <c r="CA57" i="2"/>
  <c r="E58" i="2"/>
  <c r="L52" i="2"/>
  <c r="G87" i="2"/>
  <c r="L50" i="2"/>
  <c r="G90" i="2"/>
  <c r="G88" i="2"/>
  <c r="G85" i="2"/>
  <c r="G86" i="2"/>
  <c r="G84" i="2"/>
  <c r="CI77" i="7"/>
  <c r="CV77" i="7"/>
  <c r="CT77" i="7"/>
  <c r="CU77" i="7"/>
  <c r="CT79" i="7"/>
  <c r="CI79" i="7"/>
  <c r="CV79" i="7"/>
  <c r="CU79" i="7"/>
  <c r="CU78" i="7"/>
  <c r="CT78" i="7"/>
  <c r="CI78" i="7"/>
  <c r="CV78" i="7"/>
  <c r="CV80" i="7"/>
  <c r="CU80" i="7"/>
  <c r="CT80" i="7"/>
  <c r="CI80" i="7"/>
  <c r="CI16" i="7"/>
  <c r="CV16" i="7"/>
  <c r="CU16" i="7"/>
  <c r="CT16" i="7"/>
  <c r="CI17" i="7"/>
  <c r="CT17" i="7"/>
  <c r="CV17" i="7"/>
  <c r="CU17" i="7"/>
  <c r="CI18" i="7"/>
  <c r="CV18" i="7"/>
  <c r="CU18" i="7"/>
  <c r="CT18" i="7"/>
  <c r="CI15" i="7"/>
  <c r="CV15" i="7"/>
  <c r="CU15" i="7"/>
  <c r="CT15" i="7"/>
  <c r="L44" i="2"/>
  <c r="L46" i="2"/>
  <c r="L45" i="2"/>
  <c r="L51" i="2"/>
  <c r="L48" i="2"/>
  <c r="L49" i="2"/>
  <c r="L47" i="2"/>
  <c r="AY78" i="7" l="1"/>
  <c r="AY77" i="7"/>
  <c r="AY79" i="7"/>
  <c r="AY80" i="7"/>
  <c r="AY15" i="7"/>
  <c r="AY17" i="7"/>
  <c r="AY16" i="7"/>
  <c r="AY18" i="7"/>
  <c r="CP24" i="2" l="1"/>
  <c r="CT24" i="2"/>
  <c r="CU24" i="2"/>
  <c r="CV24" i="2"/>
  <c r="CW24" i="2"/>
  <c r="CX24" i="2"/>
  <c r="CG24" i="2"/>
  <c r="Y24" i="2" s="1"/>
  <c r="B137" i="2" l="1"/>
  <c r="D32" i="8" l="1"/>
  <c r="D31" i="8"/>
  <c r="D30" i="8"/>
  <c r="D29" i="8"/>
  <c r="D28" i="8"/>
  <c r="D27" i="8"/>
  <c r="D26" i="8"/>
  <c r="D25" i="8"/>
  <c r="D24" i="8"/>
  <c r="B21" i="8"/>
  <c r="B20" i="8"/>
  <c r="B19" i="8"/>
  <c r="BS18" i="8"/>
  <c r="BR18" i="8"/>
  <c r="BQ18" i="8"/>
  <c r="BP18" i="8"/>
  <c r="BO18" i="8"/>
  <c r="BN18" i="8"/>
  <c r="BM18" i="8"/>
  <c r="K18" i="8"/>
  <c r="B18" i="8"/>
  <c r="K17" i="8"/>
  <c r="B17" i="8"/>
  <c r="B14" i="8"/>
  <c r="B13" i="8"/>
  <c r="B12" i="8"/>
  <c r="BT11" i="8"/>
  <c r="BS11" i="8"/>
  <c r="BR11" i="8"/>
  <c r="BQ11" i="8"/>
  <c r="BP11" i="8"/>
  <c r="BO11" i="8"/>
  <c r="BN11" i="8"/>
  <c r="BM11" i="8"/>
  <c r="B11" i="8"/>
  <c r="K10" i="8"/>
  <c r="B10" i="8"/>
  <c r="A50" i="8" l="1"/>
  <c r="A49" i="8"/>
  <c r="D28" i="18"/>
  <c r="C28" i="18"/>
  <c r="B28" i="18" s="1"/>
  <c r="D87" i="5"/>
  <c r="D85" i="5"/>
  <c r="E79" i="5"/>
  <c r="D79" i="5"/>
  <c r="E78" i="5"/>
  <c r="D78" i="5"/>
  <c r="E77" i="5"/>
  <c r="D77" i="5"/>
  <c r="D38" i="5"/>
  <c r="E22" i="5"/>
  <c r="D22" i="5"/>
  <c r="E20" i="5"/>
  <c r="D20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43" i="5"/>
  <c r="CD43" i="5" s="1"/>
  <c r="D43" i="5"/>
  <c r="E42" i="5"/>
  <c r="D42" i="5"/>
  <c r="C42" i="5" s="1"/>
  <c r="E41" i="5"/>
  <c r="D41" i="5"/>
  <c r="E40" i="5"/>
  <c r="D40" i="5"/>
  <c r="E39" i="5"/>
  <c r="D39" i="5"/>
  <c r="E38" i="5"/>
  <c r="BL28" i="18" l="1"/>
  <c r="BC28" i="18"/>
  <c r="C39" i="5"/>
  <c r="CA23" i="5"/>
  <c r="CC23" i="5"/>
  <c r="CB23" i="5"/>
  <c r="CD23" i="5"/>
  <c r="CD22" i="5"/>
  <c r="CB22" i="5"/>
  <c r="CB20" i="5"/>
  <c r="CD20" i="5"/>
  <c r="CC22" i="5"/>
  <c r="CA22" i="5"/>
  <c r="CA20" i="5"/>
  <c r="CC20" i="5"/>
  <c r="BI28" i="18"/>
  <c r="C91" i="5"/>
  <c r="DK23" i="5"/>
  <c r="BA28" i="18"/>
  <c r="BB28" i="18"/>
  <c r="BJ28" i="18"/>
  <c r="BK28" i="18"/>
  <c r="C90" i="5"/>
  <c r="DM90" i="5"/>
  <c r="DK90" i="5"/>
  <c r="CC90" i="5"/>
  <c r="CA90" i="5"/>
  <c r="CB42" i="5"/>
  <c r="CD42" i="5"/>
  <c r="DL78" i="5"/>
  <c r="CD78" i="5"/>
  <c r="CB78" i="5"/>
  <c r="DN78" i="5"/>
  <c r="CA79" i="5"/>
  <c r="DM79" i="5"/>
  <c r="CC79" i="5"/>
  <c r="DK79" i="5"/>
  <c r="DK91" i="5"/>
  <c r="CC91" i="5"/>
  <c r="CA91" i="5"/>
  <c r="DM91" i="5"/>
  <c r="C92" i="5"/>
  <c r="CA92" i="5"/>
  <c r="DM92" i="5"/>
  <c r="CC92" i="5"/>
  <c r="DK92" i="5"/>
  <c r="C22" i="5"/>
  <c r="DM22" i="5"/>
  <c r="DK22" i="5"/>
  <c r="DM87" i="5"/>
  <c r="DK87" i="5"/>
  <c r="CA87" i="5"/>
  <c r="CC87" i="5"/>
  <c r="DP43" i="5"/>
  <c r="CB43" i="5"/>
  <c r="DK78" i="5"/>
  <c r="CC78" i="5"/>
  <c r="CA78" i="5"/>
  <c r="DM78" i="5"/>
  <c r="DK85" i="5"/>
  <c r="CC85" i="5"/>
  <c r="CA85" i="5"/>
  <c r="DM85" i="5"/>
  <c r="CB92" i="5"/>
  <c r="DN92" i="5"/>
  <c r="CD92" i="5"/>
  <c r="DL92" i="5"/>
  <c r="DN22" i="5"/>
  <c r="DL22" i="5"/>
  <c r="DK88" i="5"/>
  <c r="CC88" i="5"/>
  <c r="CA88" i="5"/>
  <c r="DM88" i="5"/>
  <c r="CC95" i="5"/>
  <c r="CA95" i="5"/>
  <c r="DM95" i="5"/>
  <c r="DK95" i="5"/>
  <c r="CA42" i="5"/>
  <c r="CC42" i="5"/>
  <c r="CB95" i="5"/>
  <c r="DN95" i="5"/>
  <c r="CD95" i="5"/>
  <c r="DL95" i="5"/>
  <c r="DO41" i="5"/>
  <c r="CA41" i="5"/>
  <c r="CC41" i="5"/>
  <c r="CB41" i="5"/>
  <c r="CD41" i="5"/>
  <c r="DK97" i="5"/>
  <c r="CC97" i="5"/>
  <c r="CA97" i="5"/>
  <c r="DM97" i="5"/>
  <c r="DN20" i="5"/>
  <c r="DL20" i="5"/>
  <c r="CB39" i="5"/>
  <c r="CD39" i="5"/>
  <c r="CA93" i="5"/>
  <c r="DM93" i="5"/>
  <c r="DK93" i="5"/>
  <c r="CC93" i="5"/>
  <c r="DM23" i="5"/>
  <c r="DL88" i="5"/>
  <c r="CD88" i="5"/>
  <c r="CB88" i="5"/>
  <c r="DN88" i="5"/>
  <c r="DN90" i="5"/>
  <c r="DL90" i="5"/>
  <c r="CD90" i="5"/>
  <c r="CB90" i="5"/>
  <c r="C20" i="5"/>
  <c r="DK20" i="5"/>
  <c r="DM20" i="5"/>
  <c r="DL97" i="5"/>
  <c r="CD97" i="5"/>
  <c r="CB97" i="5"/>
  <c r="DN97" i="5"/>
  <c r="DN93" i="5"/>
  <c r="DL93" i="5"/>
  <c r="CD93" i="5"/>
  <c r="CB93" i="5"/>
  <c r="DL23" i="5"/>
  <c r="DN23" i="5"/>
  <c r="DO40" i="5"/>
  <c r="CC40" i="5"/>
  <c r="CA40" i="5"/>
  <c r="DP40" i="5"/>
  <c r="CD40" i="5"/>
  <c r="CB40" i="5"/>
  <c r="C96" i="5"/>
  <c r="DM96" i="5"/>
  <c r="DK96" i="5"/>
  <c r="CA96" i="5"/>
  <c r="CC96" i="5"/>
  <c r="DN96" i="5"/>
  <c r="DL96" i="5"/>
  <c r="CD96" i="5"/>
  <c r="CB96" i="5"/>
  <c r="CA39" i="5"/>
  <c r="CC39" i="5"/>
  <c r="DL91" i="5"/>
  <c r="CD91" i="5"/>
  <c r="CB91" i="5"/>
  <c r="DN91" i="5"/>
  <c r="CB38" i="5"/>
  <c r="CD38" i="5"/>
  <c r="DK94" i="5"/>
  <c r="CC94" i="5"/>
  <c r="CA94" i="5"/>
  <c r="DM94" i="5"/>
  <c r="CA38" i="5"/>
  <c r="CC38" i="5"/>
  <c r="DN77" i="5"/>
  <c r="DL77" i="5"/>
  <c r="CD77" i="5"/>
  <c r="CB77" i="5"/>
  <c r="CB79" i="5"/>
  <c r="DN79" i="5"/>
  <c r="CD79" i="5"/>
  <c r="DL79" i="5"/>
  <c r="DO43" i="5"/>
  <c r="CC43" i="5"/>
  <c r="CA43" i="5"/>
  <c r="DL94" i="5"/>
  <c r="CD94" i="5"/>
  <c r="CB94" i="5"/>
  <c r="DN94" i="5"/>
  <c r="DM77" i="5"/>
  <c r="DK77" i="5"/>
  <c r="CC77" i="5"/>
  <c r="CA77" i="5"/>
  <c r="E98" i="5"/>
  <c r="C93" i="5"/>
  <c r="C97" i="5"/>
  <c r="C94" i="5"/>
  <c r="C78" i="5"/>
  <c r="C95" i="5"/>
  <c r="D98" i="5"/>
  <c r="C79" i="5"/>
  <c r="C38" i="5"/>
  <c r="DL42" i="5"/>
  <c r="C23" i="5"/>
  <c r="C43" i="5"/>
  <c r="C41" i="5"/>
  <c r="DK43" i="5"/>
  <c r="DL41" i="5"/>
  <c r="DO42" i="5"/>
  <c r="DL38" i="5"/>
  <c r="DO38" i="5"/>
  <c r="DP41" i="5"/>
  <c r="DP42" i="5"/>
  <c r="DL43" i="5"/>
  <c r="C40" i="5"/>
  <c r="DK41" i="5"/>
  <c r="DK42" i="5"/>
  <c r="DL39" i="5"/>
  <c r="DO39" i="5"/>
  <c r="DK40" i="5"/>
  <c r="DP38" i="5"/>
  <c r="DP39" i="5"/>
  <c r="DL40" i="5"/>
  <c r="DK38" i="5"/>
  <c r="DK39" i="5"/>
  <c r="AL91" i="5" l="1"/>
  <c r="AL23" i="5"/>
  <c r="U28" i="18"/>
  <c r="AL22" i="5"/>
  <c r="AL20" i="5"/>
  <c r="AL88" i="5"/>
  <c r="AL77" i="5"/>
  <c r="AL42" i="5"/>
  <c r="C98" i="5"/>
  <c r="AL95" i="5"/>
  <c r="AL92" i="5"/>
  <c r="AL90" i="5"/>
  <c r="AL93" i="5"/>
  <c r="AL41" i="5"/>
  <c r="AL39" i="5"/>
  <c r="AL97" i="5"/>
  <c r="AL96" i="5"/>
  <c r="AL38" i="5"/>
  <c r="AL40" i="5"/>
  <c r="AL79" i="5"/>
  <c r="AL43" i="5"/>
  <c r="AL94" i="5"/>
  <c r="AL78" i="5"/>
  <c r="R25" i="2"/>
  <c r="E27" i="4" l="1"/>
  <c r="D27" i="4"/>
  <c r="E26" i="4"/>
  <c r="D26" i="4"/>
  <c r="E25" i="4"/>
  <c r="D25" i="4"/>
  <c r="CD25" i="4" l="1"/>
  <c r="CB25" i="4"/>
  <c r="CN25" i="4"/>
  <c r="CP25" i="4"/>
  <c r="CE25" i="4"/>
  <c r="CC25" i="4"/>
  <c r="CO25" i="4"/>
  <c r="CQ25" i="4"/>
  <c r="C26" i="4"/>
  <c r="C27" i="4"/>
  <c r="C25" i="4"/>
  <c r="K137" i="2"/>
  <c r="J137" i="2"/>
  <c r="I137" i="2"/>
  <c r="H137" i="2"/>
  <c r="AS25" i="4" l="1"/>
  <c r="G53" i="2"/>
  <c r="W25" i="2"/>
  <c r="V25" i="2"/>
  <c r="U25" i="2"/>
  <c r="T25" i="2"/>
  <c r="S25" i="2"/>
  <c r="Q25" i="2"/>
  <c r="M25" i="2"/>
  <c r="L25" i="2"/>
  <c r="K25" i="2"/>
  <c r="J25" i="2"/>
  <c r="I25" i="2"/>
  <c r="H25" i="2"/>
  <c r="G25" i="2"/>
  <c r="F25" i="2"/>
  <c r="E25" i="2"/>
  <c r="F20" i="16" l="1"/>
  <c r="D16" i="16"/>
  <c r="AJ16" i="16" s="1"/>
  <c r="H19" i="16"/>
  <c r="G19" i="16"/>
  <c r="Q19" i="16"/>
  <c r="P19" i="16"/>
  <c r="N19" i="16"/>
  <c r="M19" i="16"/>
  <c r="K19" i="16"/>
  <c r="J19" i="16"/>
  <c r="D12" i="16"/>
  <c r="E12" i="16"/>
  <c r="O12" i="16"/>
  <c r="L12" i="16"/>
  <c r="I12" i="16"/>
  <c r="F12" i="16"/>
  <c r="L90" i="16"/>
  <c r="F29" i="6"/>
  <c r="D126" i="7"/>
  <c r="AK12" i="16" l="1"/>
  <c r="AM12" i="16"/>
  <c r="AJ12" i="16"/>
  <c r="AL12" i="16"/>
  <c r="AS12" i="16"/>
  <c r="AQ12" i="16"/>
  <c r="AL16" i="16"/>
  <c r="AS16" i="16"/>
  <c r="AQ16" i="16"/>
  <c r="AR12" i="16"/>
  <c r="AT12" i="16"/>
  <c r="E19" i="16"/>
  <c r="C12" i="16"/>
  <c r="D19" i="16"/>
  <c r="E17" i="16"/>
  <c r="AM17" i="16" s="1"/>
  <c r="R12" i="16" l="1"/>
  <c r="AT17" i="16"/>
  <c r="AR17" i="16"/>
  <c r="AK17" i="16"/>
  <c r="D15" i="18"/>
  <c r="D14" i="18"/>
  <c r="D13" i="18"/>
  <c r="C15" i="18"/>
  <c r="C14" i="18"/>
  <c r="C13" i="18"/>
  <c r="F12" i="5" l="1"/>
  <c r="DW29" i="5" l="1"/>
  <c r="CJ44" i="2" l="1"/>
  <c r="F62" i="16"/>
  <c r="I61" i="16"/>
  <c r="I62" i="16"/>
  <c r="L62" i="16"/>
  <c r="O62" i="16"/>
  <c r="CA83" i="17" l="1"/>
  <c r="CA84" i="17"/>
  <c r="C103" i="17"/>
  <c r="CC103" i="17" s="1"/>
  <c r="C104" i="17"/>
  <c r="DS105" i="17" s="1"/>
  <c r="C97" i="17"/>
  <c r="DR98" i="17" s="1"/>
  <c r="C96" i="17"/>
  <c r="CC96" i="17" s="1"/>
  <c r="C90" i="17"/>
  <c r="DT91" i="17" s="1"/>
  <c r="C83" i="17"/>
  <c r="CA81" i="17"/>
  <c r="CA79" i="17"/>
  <c r="CA80" i="17"/>
  <c r="P73" i="17"/>
  <c r="CO45" i="17" s="1"/>
  <c r="DU84" i="17" l="1"/>
  <c r="DT84" i="17"/>
  <c r="DS84" i="17"/>
  <c r="DR84" i="17"/>
  <c r="ED45" i="17"/>
  <c r="CD97" i="17"/>
  <c r="CC90" i="17"/>
  <c r="DR91" i="17"/>
  <c r="DU98" i="17"/>
  <c r="DT98" i="17"/>
  <c r="CD103" i="17"/>
  <c r="H103" i="17" s="1"/>
  <c r="DR105" i="17"/>
  <c r="CC83" i="17"/>
  <c r="DT105" i="17"/>
  <c r="CC104" i="17"/>
  <c r="DS91" i="17"/>
  <c r="CC97" i="17"/>
  <c r="DS98" i="17"/>
  <c r="DU91" i="17"/>
  <c r="DU105" i="17"/>
  <c r="CD104" i="17"/>
  <c r="CD90" i="17"/>
  <c r="CD83" i="17"/>
  <c r="CD96" i="17"/>
  <c r="H96" i="17" s="1"/>
  <c r="H97" i="17" l="1"/>
  <c r="H83" i="17"/>
  <c r="H104" i="17"/>
  <c r="H90" i="17"/>
  <c r="AF15" i="17"/>
  <c r="AI15" i="17"/>
  <c r="F15" i="17"/>
  <c r="C78" i="17" l="1"/>
  <c r="DU79" i="17" l="1"/>
  <c r="DT79" i="17"/>
  <c r="DS79" i="17"/>
  <c r="DR79" i="17"/>
  <c r="DT78" i="17"/>
  <c r="DS78" i="17"/>
  <c r="DR78" i="17"/>
  <c r="DU78" i="17"/>
  <c r="CD78" i="17"/>
  <c r="CC78" i="17"/>
  <c r="C31" i="2"/>
  <c r="CQ31" i="2" s="1"/>
  <c r="H12" i="18"/>
  <c r="G12" i="18"/>
  <c r="F12" i="18"/>
  <c r="H78" i="17" l="1"/>
  <c r="CP31" i="2"/>
  <c r="CR31" i="2"/>
  <c r="CX31" i="2"/>
  <c r="CT31" i="2"/>
  <c r="CW31" i="2"/>
  <c r="CU31" i="2"/>
  <c r="CC31" i="2"/>
  <c r="CB31" i="2"/>
  <c r="CF31" i="2"/>
  <c r="CH31" i="2"/>
  <c r="CI31" i="2"/>
  <c r="CE31" i="2"/>
  <c r="CA31" i="2"/>
  <c r="B14" i="18"/>
  <c r="Y31" i="2" l="1"/>
  <c r="BA14" i="18"/>
  <c r="BI14" i="18"/>
  <c r="BJ14" i="18"/>
  <c r="BB14" i="18"/>
  <c r="E40" i="17"/>
  <c r="DH40" i="17" s="1"/>
  <c r="D40" i="17"/>
  <c r="DG40" i="17" s="1"/>
  <c r="D33" i="17"/>
  <c r="DG33" i="17" s="1"/>
  <c r="E33" i="17"/>
  <c r="DH33" i="17" s="1"/>
  <c r="D34" i="17"/>
  <c r="DG34" i="17" s="1"/>
  <c r="E34" i="17"/>
  <c r="DH34" i="17" s="1"/>
  <c r="D35" i="17"/>
  <c r="DG35" i="17" s="1"/>
  <c r="E35" i="17"/>
  <c r="DH35" i="17" s="1"/>
  <c r="D36" i="17"/>
  <c r="DG36" i="17" s="1"/>
  <c r="E36" i="17"/>
  <c r="DH36" i="17" s="1"/>
  <c r="D38" i="17"/>
  <c r="DG38" i="17" s="1"/>
  <c r="E38" i="17"/>
  <c r="DH38" i="17" s="1"/>
  <c r="E32" i="17"/>
  <c r="DH32" i="17" s="1"/>
  <c r="D32" i="17"/>
  <c r="DG32" i="17" s="1"/>
  <c r="D13" i="17"/>
  <c r="E13" i="17"/>
  <c r="D14" i="17"/>
  <c r="DG14" i="17" s="1"/>
  <c r="E14" i="17"/>
  <c r="DH14" i="17" s="1"/>
  <c r="D16" i="17"/>
  <c r="DG16" i="17" s="1"/>
  <c r="E16" i="17"/>
  <c r="DH16" i="17" s="1"/>
  <c r="D17" i="17"/>
  <c r="DG17" i="17" s="1"/>
  <c r="E17" i="17"/>
  <c r="DH17" i="17" s="1"/>
  <c r="D19" i="17"/>
  <c r="DG19" i="17" s="1"/>
  <c r="E19" i="17"/>
  <c r="DH19" i="17" s="1"/>
  <c r="D20" i="17"/>
  <c r="DG20" i="17" s="1"/>
  <c r="E20" i="17"/>
  <c r="DH20" i="17" s="1"/>
  <c r="D22" i="17"/>
  <c r="DG22" i="17" s="1"/>
  <c r="E22" i="17"/>
  <c r="DH22" i="17" s="1"/>
  <c r="D23" i="17"/>
  <c r="DG23" i="17" s="1"/>
  <c r="E23" i="17"/>
  <c r="DH23" i="17" s="1"/>
  <c r="D25" i="17"/>
  <c r="DG25" i="17" s="1"/>
  <c r="E25" i="17"/>
  <c r="DH25" i="17" s="1"/>
  <c r="D26" i="17"/>
  <c r="DG26" i="17" s="1"/>
  <c r="E26" i="17"/>
  <c r="DH26" i="17" s="1"/>
  <c r="D28" i="17"/>
  <c r="DG28" i="17" s="1"/>
  <c r="E28" i="17"/>
  <c r="DH28" i="17" s="1"/>
  <c r="D29" i="17"/>
  <c r="DG29" i="17" s="1"/>
  <c r="E29" i="17"/>
  <c r="DH29" i="17" s="1"/>
  <c r="D31" i="17"/>
  <c r="DG31" i="17" s="1"/>
  <c r="E31" i="17"/>
  <c r="DH31" i="17" s="1"/>
  <c r="DG12" i="17"/>
  <c r="AD39" i="17"/>
  <c r="CW12" i="17" s="1"/>
  <c r="AE39" i="17"/>
  <c r="AD37" i="17"/>
  <c r="AE37" i="17"/>
  <c r="AD30" i="17"/>
  <c r="AE30" i="17"/>
  <c r="AD27" i="17"/>
  <c r="AE27" i="17"/>
  <c r="AD24" i="17"/>
  <c r="AE24" i="17"/>
  <c r="AD21" i="17"/>
  <c r="AE21" i="17"/>
  <c r="AD18" i="17"/>
  <c r="AE18" i="17"/>
  <c r="AD15" i="17"/>
  <c r="AE15" i="17"/>
  <c r="EM12" i="17" l="1"/>
  <c r="CX12" i="17"/>
  <c r="EL12" i="17"/>
  <c r="S14" i="18"/>
  <c r="DJ13" i="17"/>
  <c r="ES13" i="17"/>
  <c r="EU13" i="17"/>
  <c r="DG13" i="17"/>
  <c r="ET13" i="17"/>
  <c r="ER13" i="17"/>
  <c r="DH13" i="17"/>
  <c r="EQ12" i="17"/>
  <c r="DH12" i="17"/>
  <c r="ET28" i="17"/>
  <c r="ER28" i="17"/>
  <c r="ET23" i="17"/>
  <c r="ER23" i="17"/>
  <c r="ET19" i="17"/>
  <c r="ER19" i="17"/>
  <c r="ER14" i="17"/>
  <c r="ET14" i="17"/>
  <c r="ET38" i="17"/>
  <c r="ER38" i="17"/>
  <c r="ET34" i="17"/>
  <c r="ER34" i="17"/>
  <c r="EU36" i="17"/>
  <c r="ES36" i="17"/>
  <c r="EU33" i="17"/>
  <c r="ES33" i="17"/>
  <c r="ET26" i="17"/>
  <c r="ER26" i="17"/>
  <c r="ET22" i="17"/>
  <c r="ER22" i="17"/>
  <c r="ET17" i="17"/>
  <c r="ER17" i="17"/>
  <c r="ET36" i="17"/>
  <c r="ER36" i="17"/>
  <c r="ET33" i="17"/>
  <c r="ER33" i="17"/>
  <c r="ES35" i="17"/>
  <c r="EU35" i="17"/>
  <c r="ET40" i="17"/>
  <c r="ER40" i="17"/>
  <c r="ER29" i="17"/>
  <c r="ET29" i="17"/>
  <c r="ET25" i="17"/>
  <c r="ER25" i="17"/>
  <c r="ER20" i="17"/>
  <c r="ET20" i="17"/>
  <c r="ET16" i="17"/>
  <c r="ER16" i="17"/>
  <c r="ER35" i="17"/>
  <c r="ET35" i="17"/>
  <c r="EU34" i="17"/>
  <c r="ES34" i="17"/>
  <c r="ET32" i="17"/>
  <c r="ER32" i="17"/>
  <c r="EU31" i="17"/>
  <c r="ES31" i="17"/>
  <c r="ET31" i="17"/>
  <c r="ER31" i="17"/>
  <c r="EU40" i="17"/>
  <c r="ES40" i="17"/>
  <c r="EU38" i="17"/>
  <c r="ES38" i="17"/>
  <c r="EU32" i="17"/>
  <c r="ES32" i="17"/>
  <c r="EU29" i="17"/>
  <c r="ES29" i="17"/>
  <c r="EU28" i="17"/>
  <c r="ES28" i="17"/>
  <c r="ES26" i="17"/>
  <c r="EU26" i="17"/>
  <c r="ES25" i="17"/>
  <c r="EU25" i="17"/>
  <c r="EU23" i="17"/>
  <c r="ES23" i="17"/>
  <c r="EU22" i="17"/>
  <c r="ES22" i="17"/>
  <c r="ES20" i="17"/>
  <c r="EU20" i="17"/>
  <c r="ES19" i="17"/>
  <c r="EU19" i="17"/>
  <c r="ES17" i="17"/>
  <c r="EU17" i="17"/>
  <c r="ES16" i="17"/>
  <c r="EU16" i="17"/>
  <c r="EU14" i="17"/>
  <c r="ES14" i="17"/>
  <c r="ES12" i="17"/>
  <c r="DJ23" i="17"/>
  <c r="DJ34" i="17"/>
  <c r="DI23" i="17"/>
  <c r="DI17" i="17"/>
  <c r="DJ32" i="17"/>
  <c r="DI34" i="17"/>
  <c r="DJ28" i="17"/>
  <c r="DJ22" i="17"/>
  <c r="DJ16" i="17"/>
  <c r="DJ38" i="17"/>
  <c r="DJ33" i="17"/>
  <c r="DI28" i="17"/>
  <c r="DI22" i="17"/>
  <c r="DI16" i="17"/>
  <c r="DI38" i="17"/>
  <c r="DI33" i="17"/>
  <c r="DJ26" i="17"/>
  <c r="DJ29" i="17"/>
  <c r="DJ17" i="17"/>
  <c r="DJ20" i="17"/>
  <c r="DJ14" i="17"/>
  <c r="DJ36" i="17"/>
  <c r="DI40" i="17"/>
  <c r="DI26" i="17"/>
  <c r="DI20" i="17"/>
  <c r="DI14" i="17"/>
  <c r="DI36" i="17"/>
  <c r="DJ40" i="17"/>
  <c r="DJ31" i="17"/>
  <c r="DJ25" i="17"/>
  <c r="DJ19" i="17"/>
  <c r="DJ35" i="17"/>
  <c r="DI31" i="17"/>
  <c r="DI25" i="17"/>
  <c r="DI19" i="17"/>
  <c r="DI13" i="17"/>
  <c r="DI35" i="17"/>
  <c r="DI29" i="17"/>
  <c r="DI32" i="17"/>
  <c r="AL40" i="17" l="1"/>
  <c r="CP52" i="4"/>
  <c r="CS52" i="4"/>
  <c r="CR52" i="4"/>
  <c r="CQ52" i="4"/>
  <c r="AL34" i="17"/>
  <c r="AL29" i="17"/>
  <c r="AL20" i="17"/>
  <c r="AL31" i="17"/>
  <c r="AL36" i="17"/>
  <c r="AL19" i="17"/>
  <c r="AL28" i="17"/>
  <c r="AL23" i="17"/>
  <c r="AL33" i="17"/>
  <c r="AL35" i="17"/>
  <c r="AL16" i="17"/>
  <c r="AL26" i="17"/>
  <c r="AL38" i="17"/>
  <c r="AL25" i="17"/>
  <c r="AL13" i="17"/>
  <c r="AL14" i="17"/>
  <c r="AL17" i="17"/>
  <c r="AL22" i="17"/>
  <c r="AL32" i="17"/>
  <c r="AT195" i="17" l="1"/>
  <c r="AU195" i="17"/>
  <c r="AS195" i="17"/>
  <c r="AR195" i="17"/>
  <c r="H195" i="17"/>
  <c r="I195" i="17"/>
  <c r="J195" i="17"/>
  <c r="K195" i="17"/>
  <c r="L195" i="17"/>
  <c r="M195" i="17"/>
  <c r="N195" i="17"/>
  <c r="O195" i="17"/>
  <c r="P195" i="17"/>
  <c r="Q195" i="17"/>
  <c r="R195" i="17"/>
  <c r="S195" i="17"/>
  <c r="T195" i="17"/>
  <c r="U195" i="17"/>
  <c r="V195" i="17"/>
  <c r="W195" i="17"/>
  <c r="X195" i="17"/>
  <c r="Y195" i="17"/>
  <c r="Z195" i="17"/>
  <c r="AA195" i="17"/>
  <c r="AB195" i="17"/>
  <c r="AC195" i="17"/>
  <c r="AD195" i="17"/>
  <c r="AE195" i="17"/>
  <c r="AF195" i="17"/>
  <c r="AG195" i="17"/>
  <c r="AH195" i="17"/>
  <c r="AI195" i="17"/>
  <c r="AJ195" i="17"/>
  <c r="AK195" i="17"/>
  <c r="AL195" i="17"/>
  <c r="AM195" i="17"/>
  <c r="AN195" i="17"/>
  <c r="AO195" i="17"/>
  <c r="AP195" i="17"/>
  <c r="AQ195" i="17"/>
  <c r="G195" i="17"/>
  <c r="R12" i="18" l="1"/>
  <c r="Q12" i="18"/>
  <c r="P12" i="18"/>
  <c r="O12" i="18"/>
  <c r="N12" i="18"/>
  <c r="M12" i="18"/>
  <c r="L12" i="18"/>
  <c r="K12" i="18"/>
  <c r="J12" i="18"/>
  <c r="I12" i="18"/>
  <c r="E12" i="18"/>
  <c r="DU139" i="17" l="1"/>
  <c r="DT140" i="17"/>
  <c r="DT139" i="17"/>
  <c r="DS140" i="17"/>
  <c r="DR139" i="17"/>
  <c r="DR140" i="17"/>
  <c r="DQ140" i="17"/>
  <c r="DP140" i="17"/>
  <c r="E89" i="5" l="1"/>
  <c r="D89" i="5"/>
  <c r="G29" i="6"/>
  <c r="D28" i="6"/>
  <c r="D27" i="6"/>
  <c r="E27" i="6"/>
  <c r="CO28" i="6" l="1"/>
  <c r="CB28" i="6"/>
  <c r="CQ28" i="6"/>
  <c r="CD28" i="6"/>
  <c r="CE27" i="6"/>
  <c r="CC27" i="6"/>
  <c r="CP27" i="6"/>
  <c r="CR27" i="6"/>
  <c r="CD27" i="6"/>
  <c r="CO27" i="6"/>
  <c r="CQ27" i="6"/>
  <c r="CB27" i="6"/>
  <c r="CC89" i="5"/>
  <c r="CA89" i="5"/>
  <c r="DM89" i="5"/>
  <c r="DK89" i="5"/>
  <c r="CB89" i="5"/>
  <c r="DN89" i="5"/>
  <c r="CD89" i="5"/>
  <c r="DL89" i="5"/>
  <c r="C89" i="5"/>
  <c r="AB28" i="6" l="1"/>
  <c r="AB27" i="6"/>
  <c r="AL89" i="5"/>
  <c r="G137" i="2"/>
  <c r="F137" i="2"/>
  <c r="E137" i="2"/>
  <c r="D137" i="2"/>
  <c r="C137" i="2"/>
  <c r="D37" i="4" l="1"/>
  <c r="E53" i="6"/>
  <c r="F71" i="17"/>
  <c r="F30" i="17"/>
  <c r="AK24" i="17"/>
  <c r="H27" i="17"/>
  <c r="F21" i="17"/>
  <c r="H15" i="17"/>
  <c r="CD37" i="4" l="1"/>
  <c r="CB37" i="4"/>
  <c r="CN37" i="4"/>
  <c r="CP37" i="4"/>
  <c r="CT53" i="6"/>
  <c r="CR53" i="6"/>
  <c r="CP53" i="6"/>
  <c r="CG53" i="6"/>
  <c r="CE53" i="6"/>
  <c r="CC53" i="6"/>
  <c r="C20" i="2"/>
  <c r="C11" i="2"/>
  <c r="D74" i="2"/>
  <c r="D69" i="2"/>
  <c r="C65" i="2"/>
  <c r="CA78" i="2" s="1"/>
  <c r="H53" i="2"/>
  <c r="F53" i="2"/>
  <c r="E53" i="2"/>
  <c r="C53" i="2"/>
  <c r="B53" i="2"/>
  <c r="CA59" i="2"/>
  <c r="E115" i="2"/>
  <c r="D115" i="2"/>
  <c r="C115" i="2"/>
  <c r="B115" i="2"/>
  <c r="D124" i="2"/>
  <c r="C120" i="2"/>
  <c r="E20" i="4"/>
  <c r="E18" i="4"/>
  <c r="E15" i="4"/>
  <c r="E12" i="4"/>
  <c r="D24" i="4"/>
  <c r="D23" i="4"/>
  <c r="D20" i="4"/>
  <c r="D18" i="4"/>
  <c r="D15" i="4"/>
  <c r="D12" i="4"/>
  <c r="E57" i="4"/>
  <c r="D57" i="4"/>
  <c r="E69" i="4"/>
  <c r="CE69" i="4" s="1"/>
  <c r="E65" i="4"/>
  <c r="CE65" i="4" s="1"/>
  <c r="D69" i="4"/>
  <c r="D65" i="4"/>
  <c r="CN65" i="4" s="1"/>
  <c r="E79" i="4"/>
  <c r="E76" i="4"/>
  <c r="D79" i="4"/>
  <c r="D76" i="4"/>
  <c r="CN76" i="4" s="1"/>
  <c r="E49" i="5"/>
  <c r="D49" i="5"/>
  <c r="CA49" i="5" s="1"/>
  <c r="E62" i="5"/>
  <c r="D62" i="5"/>
  <c r="E66" i="5"/>
  <c r="D66" i="5"/>
  <c r="E87" i="5"/>
  <c r="E86" i="5"/>
  <c r="E85" i="5"/>
  <c r="E84" i="5"/>
  <c r="D86" i="5"/>
  <c r="D84" i="5"/>
  <c r="D33" i="5"/>
  <c r="D32" i="5"/>
  <c r="D31" i="5"/>
  <c r="D30" i="5"/>
  <c r="E19" i="5"/>
  <c r="F20" i="6"/>
  <c r="E12" i="6"/>
  <c r="D12" i="6"/>
  <c r="E26" i="6"/>
  <c r="D26" i="6"/>
  <c r="E34" i="6"/>
  <c r="D34" i="6"/>
  <c r="E43" i="6"/>
  <c r="D43" i="6"/>
  <c r="D48" i="6"/>
  <c r="D57" i="6"/>
  <c r="D56" i="6"/>
  <c r="D55" i="6"/>
  <c r="D54" i="6"/>
  <c r="D53" i="6"/>
  <c r="D49" i="16"/>
  <c r="E52" i="16"/>
  <c r="AM52" i="16" s="1"/>
  <c r="E51" i="16"/>
  <c r="AM51" i="16" s="1"/>
  <c r="E49" i="16"/>
  <c r="AM49" i="16" s="1"/>
  <c r="I51" i="16"/>
  <c r="E59" i="16"/>
  <c r="AM59" i="16" s="1"/>
  <c r="D58" i="16"/>
  <c r="O71" i="16"/>
  <c r="L71" i="16"/>
  <c r="I71" i="16"/>
  <c r="F71" i="16"/>
  <c r="E71" i="16"/>
  <c r="AM71" i="16" s="1"/>
  <c r="D71" i="16"/>
  <c r="CC11" i="2" l="1"/>
  <c r="CR11" i="2"/>
  <c r="CE11" i="2"/>
  <c r="CB11" i="2"/>
  <c r="CQ11" i="2"/>
  <c r="CR20" i="2"/>
  <c r="CE20" i="2"/>
  <c r="CQ20" i="2"/>
  <c r="CB20" i="2"/>
  <c r="CC20" i="2"/>
  <c r="CN59" i="2"/>
  <c r="C61" i="2"/>
  <c r="CE20" i="4"/>
  <c r="CC20" i="4"/>
  <c r="CQ20" i="4"/>
  <c r="CO20" i="4"/>
  <c r="CQ18" i="4"/>
  <c r="CO18" i="4"/>
  <c r="CP12" i="4"/>
  <c r="CN12" i="4"/>
  <c r="CD12" i="4"/>
  <c r="CB12" i="4"/>
  <c r="CP18" i="4"/>
  <c r="CN18" i="4"/>
  <c r="CD20" i="4"/>
  <c r="CB20" i="4"/>
  <c r="CP20" i="4"/>
  <c r="CN20" i="4"/>
  <c r="CD23" i="4"/>
  <c r="CB23" i="4"/>
  <c r="CN23" i="4"/>
  <c r="CP23" i="4"/>
  <c r="CD24" i="4"/>
  <c r="CB24" i="4"/>
  <c r="CP24" i="4"/>
  <c r="CN24" i="4"/>
  <c r="CQ12" i="4"/>
  <c r="CO12" i="4"/>
  <c r="CE12" i="4"/>
  <c r="CC12" i="4"/>
  <c r="CC29" i="5"/>
  <c r="CA29" i="5"/>
  <c r="CD19" i="5"/>
  <c r="CB19" i="5"/>
  <c r="CD76" i="4"/>
  <c r="CB76" i="4"/>
  <c r="CA57" i="4"/>
  <c r="CM57" i="4"/>
  <c r="CO57" i="4"/>
  <c r="CN15" i="4"/>
  <c r="CP15" i="4"/>
  <c r="CQ56" i="6"/>
  <c r="CF56" i="6"/>
  <c r="CO56" i="6"/>
  <c r="CD56" i="6"/>
  <c r="CB56" i="6"/>
  <c r="CS56" i="6"/>
  <c r="CS57" i="6"/>
  <c r="CQ57" i="6"/>
  <c r="CF57" i="6"/>
  <c r="CO57" i="6"/>
  <c r="CD57" i="6"/>
  <c r="CB57" i="6"/>
  <c r="CO53" i="6"/>
  <c r="CS53" i="6"/>
  <c r="CQ53" i="6"/>
  <c r="CS48" i="6"/>
  <c r="CQ48" i="6"/>
  <c r="CO48" i="6"/>
  <c r="CF34" i="6"/>
  <c r="CD34" i="6"/>
  <c r="CB34" i="6"/>
  <c r="CO34" i="6"/>
  <c r="CQ34" i="6"/>
  <c r="CS34" i="6"/>
  <c r="CG34" i="6"/>
  <c r="CE34" i="6"/>
  <c r="CC34" i="6"/>
  <c r="CT34" i="6"/>
  <c r="CP34" i="6"/>
  <c r="CR34" i="6"/>
  <c r="CS55" i="6"/>
  <c r="CO55" i="6"/>
  <c r="CQ55" i="6"/>
  <c r="CS54" i="6"/>
  <c r="CO54" i="6"/>
  <c r="CQ54" i="6"/>
  <c r="CG43" i="6"/>
  <c r="CE43" i="6"/>
  <c r="CC43" i="6"/>
  <c r="CF43" i="6"/>
  <c r="CD43" i="6"/>
  <c r="CB43" i="6"/>
  <c r="CS43" i="6"/>
  <c r="CO43" i="6"/>
  <c r="CQ43" i="6"/>
  <c r="CB26" i="6"/>
  <c r="CO26" i="6"/>
  <c r="CQ26" i="6"/>
  <c r="CD26" i="6"/>
  <c r="CC26" i="6"/>
  <c r="CP26" i="6"/>
  <c r="CE26" i="6"/>
  <c r="CR26" i="6"/>
  <c r="CP12" i="6"/>
  <c r="CC12" i="6"/>
  <c r="CG12" i="6"/>
  <c r="CE12" i="6"/>
  <c r="CT12" i="6"/>
  <c r="CR12" i="6"/>
  <c r="CQ12" i="6"/>
  <c r="CB12" i="6"/>
  <c r="CO12" i="6"/>
  <c r="CF12" i="6"/>
  <c r="CD12" i="6"/>
  <c r="CS12" i="6"/>
  <c r="CQ15" i="4"/>
  <c r="CO15" i="4"/>
  <c r="CN57" i="4"/>
  <c r="CD57" i="4"/>
  <c r="CQ76" i="4"/>
  <c r="CC76" i="4"/>
  <c r="CE76" i="4"/>
  <c r="CP11" i="2"/>
  <c r="CH20" i="2"/>
  <c r="CA20" i="2"/>
  <c r="CF20" i="2"/>
  <c r="CI20" i="2"/>
  <c r="CA11" i="2"/>
  <c r="CI11" i="2"/>
  <c r="CN96" i="2"/>
  <c r="CB96" i="2"/>
  <c r="CA96" i="2"/>
  <c r="CA69" i="2"/>
  <c r="CN69" i="2"/>
  <c r="E59" i="2"/>
  <c r="DM29" i="5"/>
  <c r="CO96" i="2"/>
  <c r="CH11" i="2"/>
  <c r="CP76" i="4"/>
  <c r="CC57" i="4"/>
  <c r="CQ69" i="4"/>
  <c r="CC69" i="4"/>
  <c r="CO69" i="4"/>
  <c r="CB57" i="4"/>
  <c r="CP57" i="4"/>
  <c r="CE15" i="4"/>
  <c r="CC15" i="4"/>
  <c r="CC18" i="4"/>
  <c r="CE18" i="4"/>
  <c r="CQ79" i="4"/>
  <c r="CO79" i="4"/>
  <c r="CB15" i="4"/>
  <c r="CD15" i="4"/>
  <c r="CD65" i="4"/>
  <c r="CB65" i="4"/>
  <c r="CP65" i="4"/>
  <c r="CB18" i="4"/>
  <c r="CD18" i="4"/>
  <c r="CP79" i="4"/>
  <c r="CN79" i="4"/>
  <c r="CP69" i="4"/>
  <c r="CB69" i="4"/>
  <c r="CD69" i="4"/>
  <c r="CN69" i="4"/>
  <c r="CO65" i="4"/>
  <c r="CC65" i="4"/>
  <c r="CQ65" i="4"/>
  <c r="DK49" i="5"/>
  <c r="CC49" i="5"/>
  <c r="DM49" i="5"/>
  <c r="DM84" i="5"/>
  <c r="DK84" i="5"/>
  <c r="CA84" i="5"/>
  <c r="CC84" i="5"/>
  <c r="CA32" i="5"/>
  <c r="CC32" i="5"/>
  <c r="DN84" i="5"/>
  <c r="DL84" i="5"/>
  <c r="CD84" i="5"/>
  <c r="CB84" i="5"/>
  <c r="DN19" i="5"/>
  <c r="DL19" i="5"/>
  <c r="CC31" i="5"/>
  <c r="CA31" i="5"/>
  <c r="DL49" i="5"/>
  <c r="CD49" i="5"/>
  <c r="CB49" i="5"/>
  <c r="DN49" i="5"/>
  <c r="CC86" i="5"/>
  <c r="CA86" i="5"/>
  <c r="DM86" i="5"/>
  <c r="DK86" i="5"/>
  <c r="DL85" i="5"/>
  <c r="CD85" i="5"/>
  <c r="CB85" i="5"/>
  <c r="DN85" i="5"/>
  <c r="CD62" i="5"/>
  <c r="DN62" i="5"/>
  <c r="CB62" i="5"/>
  <c r="DL62" i="5"/>
  <c r="CA33" i="5"/>
  <c r="CC33" i="5"/>
  <c r="CB86" i="5"/>
  <c r="DN86" i="5"/>
  <c r="CD86" i="5"/>
  <c r="DL86" i="5"/>
  <c r="DN87" i="5"/>
  <c r="DL87" i="5"/>
  <c r="CD87" i="5"/>
  <c r="CB87" i="5"/>
  <c r="CA66" i="5"/>
  <c r="DM66" i="5"/>
  <c r="CC66" i="5"/>
  <c r="DK66" i="5"/>
  <c r="DN66" i="5"/>
  <c r="CB66" i="5"/>
  <c r="DL66" i="5"/>
  <c r="CD66" i="5"/>
  <c r="CA30" i="5"/>
  <c r="CC30" i="5"/>
  <c r="CC62" i="5"/>
  <c r="DM62" i="5"/>
  <c r="CA62" i="5"/>
  <c r="DK62" i="5"/>
  <c r="AQ58" i="16"/>
  <c r="AL58" i="16"/>
  <c r="AS58" i="16"/>
  <c r="AJ58" i="16"/>
  <c r="AR59" i="16"/>
  <c r="AT59" i="16"/>
  <c r="AK59" i="16"/>
  <c r="AS49" i="16"/>
  <c r="AJ49" i="16"/>
  <c r="AL49" i="16"/>
  <c r="AQ49" i="16"/>
  <c r="AJ71" i="16"/>
  <c r="AS71" i="16"/>
  <c r="AQ71" i="16"/>
  <c r="AL71" i="16"/>
  <c r="AK71" i="16"/>
  <c r="AT71" i="16"/>
  <c r="AR71" i="16"/>
  <c r="AK49" i="16"/>
  <c r="AR49" i="16"/>
  <c r="AT49" i="16"/>
  <c r="AR52" i="16"/>
  <c r="AK52" i="16"/>
  <c r="AT52" i="16"/>
  <c r="AT51" i="16"/>
  <c r="AR51" i="16"/>
  <c r="AK51" i="16"/>
  <c r="CB55" i="6"/>
  <c r="CF55" i="6"/>
  <c r="CD55" i="6"/>
  <c r="CB54" i="6"/>
  <c r="CF54" i="6"/>
  <c r="CD54" i="6"/>
  <c r="CB53" i="6"/>
  <c r="CF53" i="6"/>
  <c r="CD53" i="6"/>
  <c r="CR43" i="6"/>
  <c r="CP43" i="6"/>
  <c r="CT43" i="6"/>
  <c r="CD48" i="6"/>
  <c r="CF48" i="6"/>
  <c r="CB48" i="6"/>
  <c r="CW11" i="2"/>
  <c r="CF11" i="2"/>
  <c r="CT11" i="2"/>
  <c r="CU11" i="2"/>
  <c r="CX11" i="2"/>
  <c r="CW20" i="2"/>
  <c r="CX20" i="2"/>
  <c r="CP20" i="2"/>
  <c r="CT20" i="2"/>
  <c r="CU20" i="2"/>
  <c r="E57" i="2"/>
  <c r="C12" i="4"/>
  <c r="C53" i="6"/>
  <c r="C43" i="6"/>
  <c r="I90" i="16"/>
  <c r="F90" i="16"/>
  <c r="C90" i="16"/>
  <c r="F17" i="10"/>
  <c r="F15" i="10"/>
  <c r="F14" i="10"/>
  <c r="F13" i="10"/>
  <c r="F12" i="10"/>
  <c r="E17" i="10"/>
  <c r="E15" i="10"/>
  <c r="E14" i="10"/>
  <c r="D22" i="10"/>
  <c r="CL22" i="10" s="1"/>
  <c r="D26" i="18"/>
  <c r="D24" i="18"/>
  <c r="D22" i="18"/>
  <c r="D21" i="18"/>
  <c r="C27" i="18"/>
  <c r="C26" i="18"/>
  <c r="C24" i="18"/>
  <c r="C22" i="18"/>
  <c r="C21" i="18"/>
  <c r="CA22" i="10" l="1"/>
  <c r="Y20" i="2"/>
  <c r="Y11" i="2"/>
  <c r="AS20" i="4"/>
  <c r="AS23" i="4"/>
  <c r="CM12" i="4"/>
  <c r="CA12" i="4"/>
  <c r="AL19" i="5"/>
  <c r="AR69" i="4"/>
  <c r="AB53" i="6"/>
  <c r="AB34" i="6"/>
  <c r="AB26" i="6"/>
  <c r="AB12" i="6"/>
  <c r="AR57" i="4"/>
  <c r="CM17" i="10"/>
  <c r="CB17" i="10"/>
  <c r="CL17" i="10"/>
  <c r="CA17" i="10"/>
  <c r="CL13" i="10"/>
  <c r="CA13" i="10"/>
  <c r="CL14" i="10"/>
  <c r="CA14" i="10"/>
  <c r="CM15" i="10"/>
  <c r="CB15" i="10"/>
  <c r="CL15" i="10"/>
  <c r="CA15" i="10"/>
  <c r="CB14" i="10"/>
  <c r="CM14" i="10"/>
  <c r="CA12" i="10"/>
  <c r="CL12" i="10"/>
  <c r="K96" i="2"/>
  <c r="R71" i="16"/>
  <c r="R49" i="16"/>
  <c r="AL85" i="5"/>
  <c r="AL86" i="5"/>
  <c r="AL66" i="5"/>
  <c r="AL87" i="5"/>
  <c r="AL62" i="5"/>
  <c r="AS12" i="4"/>
  <c r="AL49" i="5"/>
  <c r="AL84" i="5"/>
  <c r="D17" i="10"/>
  <c r="B22" i="10"/>
  <c r="D12" i="18"/>
  <c r="D12" i="10"/>
  <c r="D13" i="10"/>
  <c r="D14" i="10"/>
  <c r="D15" i="10"/>
  <c r="C12" i="18"/>
  <c r="C70" i="2"/>
  <c r="C68" i="2"/>
  <c r="C66" i="2"/>
  <c r="CA79" i="2" s="1"/>
  <c r="C97" i="2"/>
  <c r="C98" i="2"/>
  <c r="C99" i="2"/>
  <c r="C100" i="2"/>
  <c r="C101" i="2"/>
  <c r="C102" i="2"/>
  <c r="C123" i="2"/>
  <c r="C122" i="2"/>
  <c r="C121" i="2"/>
  <c r="CO22" i="10" l="1"/>
  <c r="CN22" i="10"/>
  <c r="CD22" i="10"/>
  <c r="CC22" i="10"/>
  <c r="A33" i="10"/>
  <c r="CF14" i="10"/>
  <c r="CE14" i="10"/>
  <c r="CN14" i="10"/>
  <c r="CF15" i="10"/>
  <c r="CE15" i="10"/>
  <c r="CN15" i="10"/>
  <c r="CO17" i="10"/>
  <c r="CP17" i="10"/>
  <c r="CQ17" i="10"/>
  <c r="CC17" i="10"/>
  <c r="CD17" i="10"/>
  <c r="CO13" i="10"/>
  <c r="CP13" i="10"/>
  <c r="CQ13" i="10"/>
  <c r="CC13" i="10"/>
  <c r="CD13" i="10"/>
  <c r="CO15" i="10"/>
  <c r="CP15" i="10"/>
  <c r="CQ15" i="10"/>
  <c r="CC15" i="10"/>
  <c r="CD15" i="10"/>
  <c r="CO14" i="10"/>
  <c r="CP14" i="10"/>
  <c r="CQ14" i="10"/>
  <c r="CC14" i="10"/>
  <c r="CD14" i="10"/>
  <c r="CD12" i="10"/>
  <c r="CC12" i="10"/>
  <c r="CQ12" i="10"/>
  <c r="CP12" i="10"/>
  <c r="CO12" i="10"/>
  <c r="CA98" i="2"/>
  <c r="CB98" i="2"/>
  <c r="CB99" i="2"/>
  <c r="CA99" i="2"/>
  <c r="CA100" i="2"/>
  <c r="CB100" i="2"/>
  <c r="CB97" i="2"/>
  <c r="CA97" i="2"/>
  <c r="CB102" i="2"/>
  <c r="CA102" i="2"/>
  <c r="CA101" i="2"/>
  <c r="CB101" i="2"/>
  <c r="CN77" i="2"/>
  <c r="CA77" i="2"/>
  <c r="CN97" i="2"/>
  <c r="CO97" i="2"/>
  <c r="CO102" i="2"/>
  <c r="CN102" i="2"/>
  <c r="CN101" i="2"/>
  <c r="CO101" i="2"/>
  <c r="CO100" i="2"/>
  <c r="CN100" i="2"/>
  <c r="CO99" i="2"/>
  <c r="CN99" i="2"/>
  <c r="CN98" i="2"/>
  <c r="CO98" i="2"/>
  <c r="N112" i="17"/>
  <c r="M112" i="17"/>
  <c r="E109" i="7"/>
  <c r="D109" i="7"/>
  <c r="CX109" i="7" s="1"/>
  <c r="E40" i="7"/>
  <c r="D40" i="7"/>
  <c r="CX40" i="7" s="1"/>
  <c r="D77" i="16"/>
  <c r="E77" i="16"/>
  <c r="AM77" i="16" s="1"/>
  <c r="F77" i="16"/>
  <c r="I77" i="16"/>
  <c r="L77" i="16"/>
  <c r="O77" i="16"/>
  <c r="D78" i="16"/>
  <c r="E78" i="16"/>
  <c r="AM78" i="16" s="1"/>
  <c r="F78" i="16"/>
  <c r="I78" i="16"/>
  <c r="L78" i="16"/>
  <c r="O78" i="16"/>
  <c r="D62" i="16"/>
  <c r="E62" i="16"/>
  <c r="AM62" i="16" s="1"/>
  <c r="D61" i="5"/>
  <c r="E61" i="5"/>
  <c r="AK22" i="10" l="1"/>
  <c r="A34" i="10"/>
  <c r="C61" i="5"/>
  <c r="CB109" i="7"/>
  <c r="CO109" i="7"/>
  <c r="CN109" i="7"/>
  <c r="CA109" i="7"/>
  <c r="CW109" i="7"/>
  <c r="CO40" i="7"/>
  <c r="CA40" i="7"/>
  <c r="CW40" i="7"/>
  <c r="CN40" i="7"/>
  <c r="AY12" i="10"/>
  <c r="AY17" i="10"/>
  <c r="AY13" i="10"/>
  <c r="AY15" i="10"/>
  <c r="AY14" i="10"/>
  <c r="K101" i="2"/>
  <c r="K97" i="2"/>
  <c r="K99" i="2"/>
  <c r="K98" i="2"/>
  <c r="K102" i="2"/>
  <c r="K100" i="2"/>
  <c r="CQ40" i="7"/>
  <c r="CS40" i="7"/>
  <c r="CE109" i="7"/>
  <c r="CK109" i="7"/>
  <c r="CC109" i="7"/>
  <c r="CR109" i="7"/>
  <c r="CP109" i="7"/>
  <c r="CR40" i="7"/>
  <c r="CP40" i="7"/>
  <c r="CD109" i="7"/>
  <c r="CQ109" i="7"/>
  <c r="CJ109" i="7"/>
  <c r="CF109" i="7"/>
  <c r="CS109" i="7"/>
  <c r="DL61" i="5"/>
  <c r="CB61" i="5"/>
  <c r="DN61" i="5"/>
  <c r="CD61" i="5"/>
  <c r="DK61" i="5"/>
  <c r="CA61" i="5"/>
  <c r="DM61" i="5"/>
  <c r="CC61" i="5"/>
  <c r="AT77" i="16"/>
  <c r="AR77" i="16"/>
  <c r="AK77" i="16"/>
  <c r="AT78" i="16"/>
  <c r="AR78" i="16"/>
  <c r="AK78" i="16"/>
  <c r="AL77" i="16"/>
  <c r="AS77" i="16"/>
  <c r="AQ77" i="16"/>
  <c r="AJ77" i="16"/>
  <c r="AJ78" i="16"/>
  <c r="AS78" i="16"/>
  <c r="AQ78" i="16"/>
  <c r="AL78" i="16"/>
  <c r="AK62" i="16"/>
  <c r="AT62" i="16"/>
  <c r="AR62" i="16"/>
  <c r="AQ62" i="16"/>
  <c r="AL62" i="16"/>
  <c r="AJ62" i="16"/>
  <c r="AS62" i="16"/>
  <c r="CC40" i="7"/>
  <c r="CE40" i="7"/>
  <c r="CK40" i="7"/>
  <c r="CD40" i="7"/>
  <c r="CJ40" i="7"/>
  <c r="CF40" i="7"/>
  <c r="C109" i="7"/>
  <c r="C62" i="16"/>
  <c r="C78" i="16"/>
  <c r="C77" i="16"/>
  <c r="C40" i="7"/>
  <c r="R77" i="16" l="1"/>
  <c r="R78" i="16"/>
  <c r="R62" i="16"/>
  <c r="CV109" i="7"/>
  <c r="CU109" i="7"/>
  <c r="CI109" i="7"/>
  <c r="CT109" i="7"/>
  <c r="CT40" i="7"/>
  <c r="AL61" i="5"/>
  <c r="CI40" i="7"/>
  <c r="CU40" i="7"/>
  <c r="CV40" i="7"/>
  <c r="D179" i="17"/>
  <c r="CC179" i="17" s="1"/>
  <c r="E179" i="17"/>
  <c r="D163" i="17"/>
  <c r="E163" i="17"/>
  <c r="E21" i="4"/>
  <c r="CE21" i="4" l="1"/>
  <c r="CC21" i="4"/>
  <c r="CO21" i="4"/>
  <c r="CQ21" i="4"/>
  <c r="AY109" i="7"/>
  <c r="AY40" i="7"/>
  <c r="CC163" i="17"/>
  <c r="C163" i="17"/>
  <c r="CA163" i="17"/>
  <c r="CA179" i="17"/>
  <c r="CD163" i="17"/>
  <c r="CB163" i="17"/>
  <c r="CD179" i="17"/>
  <c r="CB179" i="17"/>
  <c r="DS179" i="17"/>
  <c r="DQ179" i="17"/>
  <c r="DR179" i="17"/>
  <c r="DP179" i="17"/>
  <c r="DR163" i="17"/>
  <c r="DP163" i="17"/>
  <c r="DS163" i="17"/>
  <c r="DQ163" i="17"/>
  <c r="C179" i="17"/>
  <c r="E42" i="4"/>
  <c r="D42" i="4"/>
  <c r="D53" i="17"/>
  <c r="G30" i="17"/>
  <c r="G27" i="17"/>
  <c r="F27" i="17"/>
  <c r="G24" i="17"/>
  <c r="F24" i="17"/>
  <c r="G21" i="17"/>
  <c r="G18" i="17"/>
  <c r="F18" i="17"/>
  <c r="G15" i="17"/>
  <c r="H39" i="17"/>
  <c r="DP12" i="17" s="1"/>
  <c r="I39" i="17"/>
  <c r="J39" i="17"/>
  <c r="K39" i="17"/>
  <c r="L39" i="17"/>
  <c r="M39" i="17"/>
  <c r="N39" i="17"/>
  <c r="O39" i="17"/>
  <c r="P39" i="17"/>
  <c r="Q39" i="17"/>
  <c r="R39" i="17"/>
  <c r="S39" i="17"/>
  <c r="T39" i="17"/>
  <c r="U39" i="17"/>
  <c r="V39" i="17"/>
  <c r="W39" i="17"/>
  <c r="X39" i="17"/>
  <c r="Y39" i="17"/>
  <c r="Z39" i="17"/>
  <c r="AA39" i="17"/>
  <c r="AB39" i="17"/>
  <c r="AC39" i="17"/>
  <c r="AF39" i="17"/>
  <c r="AG39" i="17"/>
  <c r="AH39" i="17"/>
  <c r="DC12" i="17" s="1"/>
  <c r="AI39" i="17"/>
  <c r="DD12" i="17" s="1"/>
  <c r="AJ39" i="17"/>
  <c r="AK39" i="17"/>
  <c r="DF12" i="17" s="1"/>
  <c r="AK37" i="17"/>
  <c r="AJ37" i="17"/>
  <c r="AI37" i="17"/>
  <c r="AH37" i="17"/>
  <c r="AG37" i="17"/>
  <c r="AF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AK30" i="17"/>
  <c r="AJ30" i="17"/>
  <c r="AI30" i="17"/>
  <c r="AH30" i="17"/>
  <c r="AG30" i="17"/>
  <c r="AF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AK27" i="17"/>
  <c r="AJ27" i="17"/>
  <c r="AI27" i="17"/>
  <c r="AH27" i="17"/>
  <c r="AG27" i="17"/>
  <c r="AF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AJ24" i="17"/>
  <c r="AI24" i="17"/>
  <c r="AH24" i="17"/>
  <c r="AG24" i="17"/>
  <c r="AF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AK21" i="17"/>
  <c r="AJ21" i="17"/>
  <c r="AI21" i="17"/>
  <c r="AH21" i="17"/>
  <c r="AG21" i="17"/>
  <c r="AF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AK18" i="17"/>
  <c r="AJ18" i="17"/>
  <c r="AI18" i="17"/>
  <c r="AH18" i="17"/>
  <c r="AG18" i="17"/>
  <c r="AF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AK15" i="17"/>
  <c r="AJ15" i="17"/>
  <c r="AH15" i="17"/>
  <c r="AG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EA12" i="17" l="1"/>
  <c r="CL12" i="17"/>
  <c r="CJ12" i="17"/>
  <c r="DY12" i="17"/>
  <c r="EI12" i="17"/>
  <c r="CT12" i="17"/>
  <c r="DW12" i="17"/>
  <c r="CH12" i="17"/>
  <c r="EH12" i="17"/>
  <c r="CS12" i="17"/>
  <c r="DV12" i="17"/>
  <c r="CG12" i="17"/>
  <c r="CR12" i="17"/>
  <c r="EG12" i="17"/>
  <c r="CF12" i="17"/>
  <c r="DU12" i="17"/>
  <c r="EB12" i="17"/>
  <c r="CM12" i="17"/>
  <c r="CY12" i="17"/>
  <c r="EN12" i="17"/>
  <c r="CU12" i="17"/>
  <c r="EJ12" i="17"/>
  <c r="CQ12" i="17"/>
  <c r="EF12" i="17"/>
  <c r="CP12" i="17"/>
  <c r="EE12" i="17"/>
  <c r="CO12" i="17"/>
  <c r="ED12" i="17"/>
  <c r="EO12" i="17"/>
  <c r="CZ12" i="17"/>
  <c r="DZ12" i="17"/>
  <c r="CK12" i="17"/>
  <c r="CV12" i="17"/>
  <c r="EK12" i="17"/>
  <c r="CI12" i="17"/>
  <c r="DX12" i="17"/>
  <c r="CE12" i="17"/>
  <c r="DT12" i="17"/>
  <c r="EC12" i="17"/>
  <c r="CN12" i="17"/>
  <c r="CD12" i="17"/>
  <c r="DS12" i="17"/>
  <c r="DR12" i="17"/>
  <c r="CC12" i="17"/>
  <c r="CB12" i="17"/>
  <c r="DQ12" i="17"/>
  <c r="CA12" i="17"/>
  <c r="CB42" i="4"/>
  <c r="CD42" i="4"/>
  <c r="CP42" i="4"/>
  <c r="CN42" i="4"/>
  <c r="CE42" i="4"/>
  <c r="CC42" i="4"/>
  <c r="CQ42" i="4"/>
  <c r="CO42" i="4"/>
  <c r="DE12" i="17"/>
  <c r="EU12" i="17"/>
  <c r="CK53" i="17"/>
  <c r="CM53" i="17"/>
  <c r="EB53" i="17"/>
  <c r="DZ53" i="17"/>
  <c r="ET12" i="17"/>
  <c r="D18" i="17"/>
  <c r="D21" i="17"/>
  <c r="D15" i="17"/>
  <c r="D37" i="17"/>
  <c r="E37" i="17"/>
  <c r="D39" i="17"/>
  <c r="E24" i="17"/>
  <c r="E27" i="17"/>
  <c r="E39" i="17"/>
  <c r="D24" i="17"/>
  <c r="D30" i="17"/>
  <c r="E15" i="17"/>
  <c r="D27" i="17"/>
  <c r="E18" i="17"/>
  <c r="E30" i="17"/>
  <c r="E21" i="17"/>
  <c r="C42" i="4"/>
  <c r="C38" i="17"/>
  <c r="AL12" i="17" l="1"/>
  <c r="AV179" i="17"/>
  <c r="C30" i="17"/>
  <c r="AV163" i="17"/>
  <c r="C39" i="17"/>
  <c r="C28" i="2" l="1"/>
  <c r="CQ28" i="2" s="1"/>
  <c r="C29" i="2"/>
  <c r="CQ29" i="2" s="1"/>
  <c r="C30" i="2"/>
  <c r="CQ30" i="2" s="1"/>
  <c r="C27" i="2"/>
  <c r="CQ27" i="2" s="1"/>
  <c r="C19" i="2"/>
  <c r="CR27" i="2" l="1"/>
  <c r="CR30" i="2"/>
  <c r="CR29" i="2"/>
  <c r="CR28" i="2"/>
  <c r="CQ19" i="2"/>
  <c r="CE19" i="2"/>
  <c r="CC19" i="2"/>
  <c r="CB19" i="2"/>
  <c r="CR19" i="2"/>
  <c r="CC27" i="2"/>
  <c r="CB27" i="2"/>
  <c r="CC29" i="2"/>
  <c r="CB29" i="2"/>
  <c r="CC30" i="2"/>
  <c r="CB30" i="2"/>
  <c r="CB28" i="2"/>
  <c r="CC28" i="2"/>
  <c r="CA27" i="2"/>
  <c r="CE27" i="2"/>
  <c r="CF27" i="2"/>
  <c r="CF29" i="2"/>
  <c r="CA29" i="2"/>
  <c r="CE29" i="2"/>
  <c r="CA30" i="2"/>
  <c r="CF30" i="2"/>
  <c r="CE30" i="2"/>
  <c r="CA28" i="2"/>
  <c r="CE28" i="2"/>
  <c r="CF28" i="2"/>
  <c r="CH30" i="2"/>
  <c r="CI30" i="2"/>
  <c r="CH19" i="2"/>
  <c r="CA19" i="2"/>
  <c r="CI19" i="2"/>
  <c r="CF19" i="2"/>
  <c r="CH29" i="2"/>
  <c r="CI29" i="2"/>
  <c r="CH27" i="2"/>
  <c r="CI27" i="2"/>
  <c r="CH28" i="2"/>
  <c r="CI28" i="2"/>
  <c r="CW19" i="2"/>
  <c r="CU19" i="2"/>
  <c r="CX19" i="2"/>
  <c r="CP19" i="2"/>
  <c r="CT19" i="2"/>
  <c r="CX29" i="2"/>
  <c r="CP29" i="2"/>
  <c r="CW29" i="2"/>
  <c r="CT29" i="2"/>
  <c r="CU29" i="2"/>
  <c r="CU27" i="2"/>
  <c r="CW27" i="2"/>
  <c r="CX27" i="2"/>
  <c r="CT27" i="2"/>
  <c r="CP27" i="2"/>
  <c r="CP30" i="2"/>
  <c r="CX30" i="2"/>
  <c r="CT30" i="2"/>
  <c r="CU30" i="2"/>
  <c r="CW30" i="2"/>
  <c r="CW28" i="2"/>
  <c r="CX28" i="2"/>
  <c r="CP28" i="2"/>
  <c r="CT28" i="2"/>
  <c r="CU28" i="2"/>
  <c r="E188" i="17"/>
  <c r="D188" i="17"/>
  <c r="CC188" i="17" s="1"/>
  <c r="E187" i="17"/>
  <c r="D187" i="17"/>
  <c r="CC187" i="17" s="1"/>
  <c r="E161" i="17"/>
  <c r="D161" i="17"/>
  <c r="CC161" i="17" s="1"/>
  <c r="E186" i="17"/>
  <c r="D186" i="17"/>
  <c r="CC186" i="17" s="1"/>
  <c r="E185" i="17"/>
  <c r="D185" i="17"/>
  <c r="CC185" i="17" s="1"/>
  <c r="E152" i="17"/>
  <c r="D152" i="17"/>
  <c r="CC152" i="17" s="1"/>
  <c r="E151" i="17"/>
  <c r="D151" i="17"/>
  <c r="CC151" i="17" s="1"/>
  <c r="E150" i="17"/>
  <c r="D150" i="17"/>
  <c r="CC150" i="17" s="1"/>
  <c r="E149" i="17"/>
  <c r="D149" i="17"/>
  <c r="CC149" i="17" s="1"/>
  <c r="E148" i="17"/>
  <c r="D148" i="17"/>
  <c r="CC148" i="17" s="1"/>
  <c r="E164" i="17"/>
  <c r="D164" i="17"/>
  <c r="CC164" i="17" s="1"/>
  <c r="E159" i="17"/>
  <c r="D159" i="17"/>
  <c r="CC159" i="17" s="1"/>
  <c r="AA38" i="6"/>
  <c r="Z38" i="6"/>
  <c r="D214" i="17"/>
  <c r="CG214" i="17" s="1"/>
  <c r="E214" i="17"/>
  <c r="CH214" i="17" s="1"/>
  <c r="E205" i="17"/>
  <c r="CH205" i="17" s="1"/>
  <c r="D205" i="17"/>
  <c r="CG205" i="17" s="1"/>
  <c r="E204" i="17"/>
  <c r="CH204" i="17" s="1"/>
  <c r="D204" i="17"/>
  <c r="CG204" i="17" s="1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T206" i="17"/>
  <c r="U206" i="17"/>
  <c r="V206" i="17"/>
  <c r="W206" i="17"/>
  <c r="X206" i="17"/>
  <c r="Y206" i="17"/>
  <c r="Z206" i="17"/>
  <c r="AA206" i="17"/>
  <c r="AB206" i="17"/>
  <c r="AC206" i="17"/>
  <c r="AD206" i="17"/>
  <c r="AE206" i="17"/>
  <c r="AF206" i="17"/>
  <c r="AG206" i="17"/>
  <c r="F206" i="17"/>
  <c r="C26" i="2"/>
  <c r="Y27" i="2" l="1"/>
  <c r="Y30" i="2"/>
  <c r="Y29" i="2"/>
  <c r="A173" i="2"/>
  <c r="Y28" i="2"/>
  <c r="Y19" i="2"/>
  <c r="CB26" i="2"/>
  <c r="CR26" i="2"/>
  <c r="CC26" i="2"/>
  <c r="CA26" i="2"/>
  <c r="CH26" i="2"/>
  <c r="CI26" i="2"/>
  <c r="CE204" i="17"/>
  <c r="CC204" i="17"/>
  <c r="CA204" i="17"/>
  <c r="CF205" i="17"/>
  <c r="CD205" i="17"/>
  <c r="CB205" i="17"/>
  <c r="CF204" i="17"/>
  <c r="CD204" i="17"/>
  <c r="CB204" i="17"/>
  <c r="CC205" i="17"/>
  <c r="CE205" i="17"/>
  <c r="CA205" i="17"/>
  <c r="CF214" i="17"/>
  <c r="CD214" i="17"/>
  <c r="CB214" i="17"/>
  <c r="CE214" i="17"/>
  <c r="CC214" i="17"/>
  <c r="CA214" i="17"/>
  <c r="CE26" i="2"/>
  <c r="CT26" i="2"/>
  <c r="CU26" i="2"/>
  <c r="CF26" i="2"/>
  <c r="CW26" i="2"/>
  <c r="CX26" i="2"/>
  <c r="CP26" i="2"/>
  <c r="CA161" i="17"/>
  <c r="CA164" i="17"/>
  <c r="CA150" i="17"/>
  <c r="CA185" i="17"/>
  <c r="CA187" i="17"/>
  <c r="CA152" i="17"/>
  <c r="CA149" i="17"/>
  <c r="CA148" i="17"/>
  <c r="CA151" i="17"/>
  <c r="CA186" i="17"/>
  <c r="CA188" i="17"/>
  <c r="CA159" i="17"/>
  <c r="CD152" i="17"/>
  <c r="CB152" i="17"/>
  <c r="CD149" i="17"/>
  <c r="CB149" i="17"/>
  <c r="CD150" i="17"/>
  <c r="CB150" i="17"/>
  <c r="CD187" i="17"/>
  <c r="CB187" i="17"/>
  <c r="CD161" i="17"/>
  <c r="CB161" i="17"/>
  <c r="CD185" i="17"/>
  <c r="CB185" i="17"/>
  <c r="CB159" i="17"/>
  <c r="CD159" i="17"/>
  <c r="CD164" i="17"/>
  <c r="CB164" i="17"/>
  <c r="CD148" i="17"/>
  <c r="CB148" i="17"/>
  <c r="CD151" i="17"/>
  <c r="CB151" i="17"/>
  <c r="CD186" i="17"/>
  <c r="CB186" i="17"/>
  <c r="CD188" i="17"/>
  <c r="CB188" i="17"/>
  <c r="DQ164" i="17"/>
  <c r="DS164" i="17"/>
  <c r="DR148" i="17"/>
  <c r="DP148" i="17"/>
  <c r="DP152" i="17"/>
  <c r="DR152" i="17"/>
  <c r="DR187" i="17"/>
  <c r="DP187" i="17"/>
  <c r="DV214" i="17"/>
  <c r="DT214" i="17"/>
  <c r="DR214" i="17"/>
  <c r="DP214" i="17"/>
  <c r="DQ148" i="17"/>
  <c r="DS148" i="17"/>
  <c r="DS152" i="17"/>
  <c r="DQ152" i="17"/>
  <c r="DS187" i="17"/>
  <c r="DQ187" i="17"/>
  <c r="DR164" i="17"/>
  <c r="DP164" i="17"/>
  <c r="DS161" i="17"/>
  <c r="DQ161" i="17"/>
  <c r="DR149" i="17"/>
  <c r="DP149" i="17"/>
  <c r="DR185" i="17"/>
  <c r="DP185" i="17"/>
  <c r="DR188" i="17"/>
  <c r="DP188" i="17"/>
  <c r="DR151" i="17"/>
  <c r="DP151" i="17"/>
  <c r="DS149" i="17"/>
  <c r="DQ149" i="17"/>
  <c r="DS185" i="17"/>
  <c r="DQ185" i="17"/>
  <c r="DS188" i="17"/>
  <c r="DQ188" i="17"/>
  <c r="DS151" i="17"/>
  <c r="DQ151" i="17"/>
  <c r="DV204" i="17"/>
  <c r="DT204" i="17"/>
  <c r="DR204" i="17"/>
  <c r="DP204" i="17"/>
  <c r="DR159" i="17"/>
  <c r="DP159" i="17"/>
  <c r="DR150" i="17"/>
  <c r="DP150" i="17"/>
  <c r="DP186" i="17"/>
  <c r="DR186" i="17"/>
  <c r="DP205" i="17"/>
  <c r="DR205" i="17"/>
  <c r="DT205" i="17"/>
  <c r="DV205" i="17"/>
  <c r="DR161" i="17"/>
  <c r="DP161" i="17"/>
  <c r="DW205" i="17"/>
  <c r="DU205" i="17"/>
  <c r="DS205" i="17"/>
  <c r="DQ205" i="17"/>
  <c r="DW214" i="17"/>
  <c r="DU214" i="17"/>
  <c r="DS214" i="17"/>
  <c r="DQ214" i="17"/>
  <c r="DW204" i="17"/>
  <c r="DU204" i="17"/>
  <c r="DS204" i="17"/>
  <c r="DQ204" i="17"/>
  <c r="DS159" i="17"/>
  <c r="DQ159" i="17"/>
  <c r="DQ150" i="17"/>
  <c r="DS150" i="17"/>
  <c r="DS186" i="17"/>
  <c r="DQ186" i="17"/>
  <c r="C161" i="17"/>
  <c r="C185" i="17"/>
  <c r="C204" i="17"/>
  <c r="C148" i="17"/>
  <c r="C149" i="17"/>
  <c r="C151" i="17"/>
  <c r="C152" i="17"/>
  <c r="C186" i="17"/>
  <c r="C214" i="17"/>
  <c r="C159" i="17"/>
  <c r="C187" i="17"/>
  <c r="C164" i="17"/>
  <c r="C188" i="17"/>
  <c r="C150" i="17"/>
  <c r="D206" i="17"/>
  <c r="E206" i="17"/>
  <c r="C205" i="17"/>
  <c r="E40" i="4"/>
  <c r="E41" i="4"/>
  <c r="E43" i="4"/>
  <c r="D40" i="4"/>
  <c r="D41" i="4"/>
  <c r="D43" i="4"/>
  <c r="CD40" i="4" l="1"/>
  <c r="CB40" i="4"/>
  <c r="CN40" i="4"/>
  <c r="CP40" i="4"/>
  <c r="CC43" i="4"/>
  <c r="CE43" i="4"/>
  <c r="CQ43" i="4"/>
  <c r="CO43" i="4"/>
  <c r="CB43" i="4"/>
  <c r="CD43" i="4"/>
  <c r="CN43" i="4"/>
  <c r="CP43" i="4"/>
  <c r="CE41" i="4"/>
  <c r="CC41" i="4"/>
  <c r="CO41" i="4"/>
  <c r="CQ41" i="4"/>
  <c r="CD41" i="4"/>
  <c r="CB41" i="4"/>
  <c r="CN41" i="4"/>
  <c r="CP41" i="4"/>
  <c r="CE40" i="4"/>
  <c r="CC40" i="4"/>
  <c r="CO40" i="4"/>
  <c r="CQ40" i="4"/>
  <c r="AH214" i="17"/>
  <c r="C43" i="4"/>
  <c r="AH209" i="17"/>
  <c r="AH210" i="17"/>
  <c r="AH205" i="17"/>
  <c r="AH212" i="17"/>
  <c r="AH204" i="17"/>
  <c r="AH208" i="17"/>
  <c r="AH211" i="17"/>
  <c r="AH207" i="17"/>
  <c r="D203" i="17"/>
  <c r="E203" i="17"/>
  <c r="C206" i="17"/>
  <c r="C41" i="4"/>
  <c r="C40" i="4"/>
  <c r="E165" i="17"/>
  <c r="E160" i="17"/>
  <c r="E189" i="17"/>
  <c r="E176" i="17"/>
  <c r="E190" i="17"/>
  <c r="E175" i="17"/>
  <c r="D169" i="17"/>
  <c r="CC169" i="17" s="1"/>
  <c r="E169" i="17"/>
  <c r="D170" i="17"/>
  <c r="CC170" i="17" s="1"/>
  <c r="E170" i="17"/>
  <c r="D171" i="17"/>
  <c r="CC171" i="17" s="1"/>
  <c r="E171" i="17"/>
  <c r="D168" i="17"/>
  <c r="CC168" i="17" s="1"/>
  <c r="E168" i="17"/>
  <c r="D172" i="17"/>
  <c r="CC172" i="17" s="1"/>
  <c r="E172" i="17"/>
  <c r="D162" i="17"/>
  <c r="CC162" i="17" s="1"/>
  <c r="E162" i="17"/>
  <c r="D167" i="17"/>
  <c r="CC167" i="17" s="1"/>
  <c r="E167" i="17"/>
  <c r="D166" i="17"/>
  <c r="CC166" i="17" s="1"/>
  <c r="E166" i="17"/>
  <c r="D174" i="17"/>
  <c r="CC174" i="17" s="1"/>
  <c r="E174" i="17"/>
  <c r="D180" i="17"/>
  <c r="CC180" i="17" s="1"/>
  <c r="E180" i="17"/>
  <c r="D173" i="17"/>
  <c r="CC173" i="17" s="1"/>
  <c r="E173" i="17"/>
  <c r="D177" i="17"/>
  <c r="CC177" i="17" s="1"/>
  <c r="E177" i="17"/>
  <c r="D178" i="17"/>
  <c r="CC178" i="17" s="1"/>
  <c r="E178" i="17"/>
  <c r="D154" i="17"/>
  <c r="CC154" i="17" s="1"/>
  <c r="E154" i="17"/>
  <c r="D153" i="17"/>
  <c r="CC153" i="17" s="1"/>
  <c r="E153" i="17"/>
  <c r="D181" i="17"/>
  <c r="CC181" i="17" s="1"/>
  <c r="E181" i="17"/>
  <c r="D155" i="17"/>
  <c r="CC155" i="17" s="1"/>
  <c r="E155" i="17"/>
  <c r="D182" i="17"/>
  <c r="CC182" i="17" s="1"/>
  <c r="E182" i="17"/>
  <c r="D156" i="17"/>
  <c r="CC156" i="17" s="1"/>
  <c r="E156" i="17"/>
  <c r="D183" i="17"/>
  <c r="CC183" i="17" s="1"/>
  <c r="E183" i="17"/>
  <c r="D184" i="17"/>
  <c r="CC184" i="17" s="1"/>
  <c r="E184" i="17"/>
  <c r="D157" i="17"/>
  <c r="CC157" i="17" s="1"/>
  <c r="E157" i="17"/>
  <c r="D158" i="17"/>
  <c r="CC158" i="17" s="1"/>
  <c r="E158" i="17"/>
  <c r="D165" i="17"/>
  <c r="CC165" i="17" s="1"/>
  <c r="D160" i="17"/>
  <c r="CC160" i="17" s="1"/>
  <c r="D189" i="17"/>
  <c r="CC189" i="17" s="1"/>
  <c r="D176" i="17"/>
  <c r="CC176" i="17" s="1"/>
  <c r="D190" i="17"/>
  <c r="CC190" i="17" s="1"/>
  <c r="D175" i="17"/>
  <c r="CC175" i="17" s="1"/>
  <c r="E146" i="17"/>
  <c r="CB146" i="17" s="1"/>
  <c r="D146" i="17"/>
  <c r="CA146" i="17" s="1"/>
  <c r="CA203" i="17" l="1"/>
  <c r="CG203" i="17"/>
  <c r="CC146" i="17"/>
  <c r="C146" i="17"/>
  <c r="CE203" i="17"/>
  <c r="CC203" i="17"/>
  <c r="CF203" i="17"/>
  <c r="CB203" i="17"/>
  <c r="DS203" i="17"/>
  <c r="CD203" i="17"/>
  <c r="DV203" i="17"/>
  <c r="DR203" i="17"/>
  <c r="DP203" i="17"/>
  <c r="DQ203" i="17"/>
  <c r="CA156" i="17"/>
  <c r="CA167" i="17"/>
  <c r="CA168" i="17"/>
  <c r="CA169" i="17"/>
  <c r="CA176" i="17"/>
  <c r="CA181" i="17"/>
  <c r="CA189" i="17"/>
  <c r="CA178" i="17"/>
  <c r="CA165" i="17"/>
  <c r="CA182" i="17"/>
  <c r="CA153" i="17"/>
  <c r="CA177" i="17"/>
  <c r="CA174" i="17"/>
  <c r="CA162" i="17"/>
  <c r="CA171" i="17"/>
  <c r="CA180" i="17"/>
  <c r="CA184" i="17"/>
  <c r="CA175" i="17"/>
  <c r="CA157" i="17"/>
  <c r="CA160" i="17"/>
  <c r="CA190" i="17"/>
  <c r="CA158" i="17"/>
  <c r="CA183" i="17"/>
  <c r="CA155" i="17"/>
  <c r="CA154" i="17"/>
  <c r="CA173" i="17"/>
  <c r="CA166" i="17"/>
  <c r="CA172" i="17"/>
  <c r="CA170" i="17"/>
  <c r="CD156" i="17"/>
  <c r="CB156" i="17"/>
  <c r="CD167" i="17"/>
  <c r="CB167" i="17"/>
  <c r="CD175" i="17"/>
  <c r="CB175" i="17"/>
  <c r="CD157" i="17"/>
  <c r="CB157" i="17"/>
  <c r="CD180" i="17"/>
  <c r="CB180" i="17"/>
  <c r="CD160" i="17"/>
  <c r="CB160" i="17"/>
  <c r="CB153" i="17"/>
  <c r="CD153" i="17"/>
  <c r="CD162" i="17"/>
  <c r="CB162" i="17"/>
  <c r="CD146" i="17"/>
  <c r="CD190" i="17"/>
  <c r="CB190" i="17"/>
  <c r="CD181" i="17"/>
  <c r="CB181" i="17"/>
  <c r="CD168" i="17"/>
  <c r="CB168" i="17"/>
  <c r="CB165" i="17"/>
  <c r="CD165" i="17"/>
  <c r="CB182" i="17"/>
  <c r="CD182" i="17"/>
  <c r="CD174" i="17"/>
  <c r="CB174" i="17"/>
  <c r="CD158" i="17"/>
  <c r="CB158" i="17"/>
  <c r="CD155" i="17"/>
  <c r="CB155" i="17"/>
  <c r="CD173" i="17"/>
  <c r="CB173" i="17"/>
  <c r="CD172" i="17"/>
  <c r="CB172" i="17"/>
  <c r="CD176" i="17"/>
  <c r="CB176" i="17"/>
  <c r="CD178" i="17"/>
  <c r="CB178" i="17"/>
  <c r="CD169" i="17"/>
  <c r="CB169" i="17"/>
  <c r="CD184" i="17"/>
  <c r="CB184" i="17"/>
  <c r="CB177" i="17"/>
  <c r="CD177" i="17"/>
  <c r="CB171" i="17"/>
  <c r="CD171" i="17"/>
  <c r="CB183" i="17"/>
  <c r="CD183" i="17"/>
  <c r="CD154" i="17"/>
  <c r="CB154" i="17"/>
  <c r="CD166" i="17"/>
  <c r="CB166" i="17"/>
  <c r="CD170" i="17"/>
  <c r="CB170" i="17"/>
  <c r="CB189" i="17"/>
  <c r="CD189" i="17"/>
  <c r="DR183" i="17"/>
  <c r="DP183" i="17"/>
  <c r="DS190" i="17"/>
  <c r="DQ190" i="17"/>
  <c r="DS156" i="17"/>
  <c r="DQ156" i="17"/>
  <c r="DS176" i="17"/>
  <c r="DQ176" i="17"/>
  <c r="DR158" i="17"/>
  <c r="DP158" i="17"/>
  <c r="DR173" i="17"/>
  <c r="DP173" i="17"/>
  <c r="DW203" i="17"/>
  <c r="DU203" i="17"/>
  <c r="DR175" i="17"/>
  <c r="DP175" i="17"/>
  <c r="DS157" i="17"/>
  <c r="DQ157" i="17"/>
  <c r="DQ182" i="17"/>
  <c r="DS182" i="17"/>
  <c r="DS154" i="17"/>
  <c r="DQ154" i="17"/>
  <c r="DQ180" i="17"/>
  <c r="DS180" i="17"/>
  <c r="DS162" i="17"/>
  <c r="DQ162" i="17"/>
  <c r="DS170" i="17"/>
  <c r="DQ170" i="17"/>
  <c r="DS160" i="17"/>
  <c r="DQ160" i="17"/>
  <c r="DT203" i="17"/>
  <c r="DR165" i="17"/>
  <c r="DP165" i="17"/>
  <c r="DP168" i="17"/>
  <c r="DR168" i="17"/>
  <c r="DS167" i="17"/>
  <c r="DQ167" i="17"/>
  <c r="DR153" i="17"/>
  <c r="DP153" i="17"/>
  <c r="DR171" i="17"/>
  <c r="DP171" i="17"/>
  <c r="DR157" i="17"/>
  <c r="DP157" i="17"/>
  <c r="DR180" i="17"/>
  <c r="DP180" i="17"/>
  <c r="DP170" i="17"/>
  <c r="DR170" i="17"/>
  <c r="DS165" i="17"/>
  <c r="DQ165" i="17"/>
  <c r="DR166" i="17"/>
  <c r="DP166" i="17"/>
  <c r="DS153" i="17"/>
  <c r="DQ153" i="17"/>
  <c r="DS171" i="17"/>
  <c r="DQ171" i="17"/>
  <c r="DS189" i="17"/>
  <c r="DQ189" i="17"/>
  <c r="DP162" i="17"/>
  <c r="DR162" i="17"/>
  <c r="DS155" i="17"/>
  <c r="DQ155" i="17"/>
  <c r="DS178" i="17"/>
  <c r="DQ178" i="17"/>
  <c r="DS174" i="17"/>
  <c r="DQ174" i="17"/>
  <c r="DQ172" i="17"/>
  <c r="DS172" i="17"/>
  <c r="DS169" i="17"/>
  <c r="DQ169" i="17"/>
  <c r="DR177" i="17"/>
  <c r="DP177" i="17"/>
  <c r="DS173" i="17"/>
  <c r="DQ173" i="17"/>
  <c r="DR182" i="17"/>
  <c r="DP182" i="17"/>
  <c r="DS184" i="17"/>
  <c r="DQ184" i="17"/>
  <c r="DR155" i="17"/>
  <c r="DP155" i="17"/>
  <c r="DR178" i="17"/>
  <c r="DP178" i="17"/>
  <c r="DR174" i="17"/>
  <c r="DP174" i="17"/>
  <c r="DR172" i="17"/>
  <c r="DP172" i="17"/>
  <c r="DR169" i="17"/>
  <c r="DP169" i="17"/>
  <c r="DR181" i="17"/>
  <c r="DP181" i="17"/>
  <c r="DQ158" i="17"/>
  <c r="DS158" i="17"/>
  <c r="DR156" i="17"/>
  <c r="DP156" i="17"/>
  <c r="DR167" i="17"/>
  <c r="DP167" i="17"/>
  <c r="DR190" i="17"/>
  <c r="DP190" i="17"/>
  <c r="DP154" i="17"/>
  <c r="DR154" i="17"/>
  <c r="DR176" i="17"/>
  <c r="DP176" i="17"/>
  <c r="DR189" i="17"/>
  <c r="DP189" i="17"/>
  <c r="DP184" i="17"/>
  <c r="DR184" i="17"/>
  <c r="DP160" i="17"/>
  <c r="DR160" i="17"/>
  <c r="DS183" i="17"/>
  <c r="DQ183" i="17"/>
  <c r="DS181" i="17"/>
  <c r="DQ181" i="17"/>
  <c r="DS177" i="17"/>
  <c r="DQ177" i="17"/>
  <c r="DQ166" i="17"/>
  <c r="DS166" i="17"/>
  <c r="DS168" i="17"/>
  <c r="DQ168" i="17"/>
  <c r="DS175" i="17"/>
  <c r="DQ175" i="17"/>
  <c r="DQ146" i="17"/>
  <c r="DS146" i="17"/>
  <c r="DR146" i="17"/>
  <c r="DP146" i="17"/>
  <c r="AV185" i="17"/>
  <c r="AV149" i="17"/>
  <c r="AV151" i="17"/>
  <c r="AV187" i="17"/>
  <c r="AV150" i="17"/>
  <c r="AV186" i="17"/>
  <c r="AV188" i="17"/>
  <c r="AV161" i="17"/>
  <c r="AV148" i="17"/>
  <c r="AV152" i="17"/>
  <c r="AV164" i="17"/>
  <c r="AV159" i="17"/>
  <c r="C203" i="17"/>
  <c r="C189" i="17"/>
  <c r="C190" i="17"/>
  <c r="C166" i="17"/>
  <c r="C156" i="17"/>
  <c r="C160" i="17"/>
  <c r="C183" i="17"/>
  <c r="C158" i="17"/>
  <c r="C173" i="17"/>
  <c r="C153" i="17"/>
  <c r="C182" i="17"/>
  <c r="C177" i="17"/>
  <c r="C168" i="17"/>
  <c r="C169" i="17"/>
  <c r="C181" i="17"/>
  <c r="C180" i="17"/>
  <c r="C167" i="17"/>
  <c r="C174" i="17"/>
  <c r="C170" i="17"/>
  <c r="C157" i="17"/>
  <c r="C154" i="17"/>
  <c r="C162" i="17"/>
  <c r="C155" i="17"/>
  <c r="C175" i="17"/>
  <c r="C165" i="17"/>
  <c r="C184" i="17"/>
  <c r="C178" i="17"/>
  <c r="C172" i="17"/>
  <c r="C171" i="17"/>
  <c r="C176" i="17"/>
  <c r="AV146" i="17" l="1"/>
  <c r="AH203" i="17"/>
  <c r="F195" i="17"/>
  <c r="D195" i="17" s="1"/>
  <c r="E198" i="17"/>
  <c r="D198" i="17"/>
  <c r="E197" i="17"/>
  <c r="D197" i="17"/>
  <c r="E196" i="17"/>
  <c r="D196" i="17"/>
  <c r="CA196" i="17" s="1"/>
  <c r="E195" i="17"/>
  <c r="CG196" i="17" l="1"/>
  <c r="CA198" i="17"/>
  <c r="CG198" i="17"/>
  <c r="CH197" i="17"/>
  <c r="CB197" i="17"/>
  <c r="CH196" i="17"/>
  <c r="CB196" i="17"/>
  <c r="CG197" i="17"/>
  <c r="CA197" i="17"/>
  <c r="CH198" i="17"/>
  <c r="CB198" i="17"/>
  <c r="CD196" i="17"/>
  <c r="CC198" i="17"/>
  <c r="CC197" i="17"/>
  <c r="CD198" i="17"/>
  <c r="CD197" i="17"/>
  <c r="CC196" i="17"/>
  <c r="DS195" i="17"/>
  <c r="DQ195" i="17"/>
  <c r="DR197" i="17"/>
  <c r="DP197" i="17"/>
  <c r="DR196" i="17"/>
  <c r="DP196" i="17"/>
  <c r="DS197" i="17"/>
  <c r="DQ197" i="17"/>
  <c r="DS198" i="17"/>
  <c r="DQ198" i="17"/>
  <c r="DS196" i="17"/>
  <c r="DQ196" i="17"/>
  <c r="DR198" i="17"/>
  <c r="DP198" i="17"/>
  <c r="DR195" i="17"/>
  <c r="DP195" i="17"/>
  <c r="AV173" i="17"/>
  <c r="AV182" i="17"/>
  <c r="AV158" i="17"/>
  <c r="AV171" i="17"/>
  <c r="AV184" i="17"/>
  <c r="AV156" i="17"/>
  <c r="AV174" i="17"/>
  <c r="AV189" i="17"/>
  <c r="AV190" i="17"/>
  <c r="AV178" i="17"/>
  <c r="AV154" i="17"/>
  <c r="AV181" i="17"/>
  <c r="AV172" i="17"/>
  <c r="AV169" i="17"/>
  <c r="AV162" i="17"/>
  <c r="AV155" i="17"/>
  <c r="AV177" i="17"/>
  <c r="AV168" i="17"/>
  <c r="AV170" i="17"/>
  <c r="AV157" i="17"/>
  <c r="AV153" i="17"/>
  <c r="AV180" i="17"/>
  <c r="AV166" i="17"/>
  <c r="AV167" i="17"/>
  <c r="AV160" i="17"/>
  <c r="AV175" i="17"/>
  <c r="AV176" i="17"/>
  <c r="AV183" i="17"/>
  <c r="AV165" i="17"/>
  <c r="C196" i="17"/>
  <c r="C197" i="17"/>
  <c r="C195" i="17"/>
  <c r="C198" i="17"/>
  <c r="D50" i="17"/>
  <c r="P59" i="17"/>
  <c r="S64" i="17"/>
  <c r="P64" i="17"/>
  <c r="F73" i="17"/>
  <c r="F64" i="17"/>
  <c r="F59" i="17"/>
  <c r="F56" i="17"/>
  <c r="O52" i="17"/>
  <c r="N52" i="17"/>
  <c r="M52" i="17"/>
  <c r="L52" i="17"/>
  <c r="K52" i="17"/>
  <c r="J52" i="17"/>
  <c r="I52" i="17"/>
  <c r="H52" i="17"/>
  <c r="G52" i="17"/>
  <c r="F52" i="17"/>
  <c r="O49" i="17"/>
  <c r="N49" i="17"/>
  <c r="M49" i="17"/>
  <c r="L49" i="17"/>
  <c r="K49" i="17"/>
  <c r="J49" i="17"/>
  <c r="I49" i="17"/>
  <c r="H49" i="17"/>
  <c r="G49" i="17"/>
  <c r="F49" i="17"/>
  <c r="E70" i="17"/>
  <c r="E72" i="17"/>
  <c r="E74" i="17"/>
  <c r="E69" i="17"/>
  <c r="E68" i="17"/>
  <c r="E67" i="17"/>
  <c r="E66" i="17"/>
  <c r="E65" i="17"/>
  <c r="E63" i="17"/>
  <c r="E62" i="17"/>
  <c r="E61" i="17"/>
  <c r="E60" i="17"/>
  <c r="E58" i="17"/>
  <c r="E57" i="17"/>
  <c r="E55" i="17"/>
  <c r="E54" i="17"/>
  <c r="E53" i="17"/>
  <c r="E51" i="17"/>
  <c r="E50" i="17"/>
  <c r="E48" i="17"/>
  <c r="E47" i="17"/>
  <c r="E46" i="17"/>
  <c r="EC46" i="17" s="1"/>
  <c r="D74" i="17"/>
  <c r="D72" i="17"/>
  <c r="D70" i="17"/>
  <c r="D69" i="17"/>
  <c r="D68" i="17"/>
  <c r="D67" i="17"/>
  <c r="D66" i="17"/>
  <c r="D65" i="17"/>
  <c r="D63" i="17"/>
  <c r="D62" i="17"/>
  <c r="D61" i="17"/>
  <c r="D60" i="17"/>
  <c r="D58" i="17"/>
  <c r="D57" i="17"/>
  <c r="D55" i="17"/>
  <c r="D54" i="17"/>
  <c r="D51" i="17"/>
  <c r="E45" i="17"/>
  <c r="D48" i="17"/>
  <c r="D47" i="17"/>
  <c r="D46" i="17"/>
  <c r="DZ46" i="17" s="1"/>
  <c r="D45" i="17"/>
  <c r="C105" i="17"/>
  <c r="CD105" i="17" s="1"/>
  <c r="C85" i="17"/>
  <c r="CC85" i="17" s="1"/>
  <c r="C102" i="17"/>
  <c r="C101" i="17"/>
  <c r="C100" i="17"/>
  <c r="C99" i="17"/>
  <c r="C98" i="17"/>
  <c r="C95" i="17"/>
  <c r="C94" i="17"/>
  <c r="C93" i="17"/>
  <c r="C92" i="17"/>
  <c r="C91" i="17"/>
  <c r="C89" i="17"/>
  <c r="C88" i="17"/>
  <c r="C87" i="17"/>
  <c r="C86" i="17"/>
  <c r="C84" i="17"/>
  <c r="C82" i="17"/>
  <c r="C81" i="17"/>
  <c r="C80" i="17"/>
  <c r="C79" i="17"/>
  <c r="C109" i="17"/>
  <c r="D131" i="17"/>
  <c r="E131" i="17"/>
  <c r="D70" i="4"/>
  <c r="C39" i="2"/>
  <c r="C38" i="2"/>
  <c r="C37" i="2"/>
  <c r="C36" i="2"/>
  <c r="C35" i="2"/>
  <c r="C40" i="2"/>
  <c r="C23" i="2"/>
  <c r="C22" i="2"/>
  <c r="C21" i="2"/>
  <c r="C18" i="2"/>
  <c r="C17" i="2"/>
  <c r="C16" i="2"/>
  <c r="C15" i="2"/>
  <c r="C14" i="2"/>
  <c r="C13" i="2"/>
  <c r="C12" i="2"/>
  <c r="DP45" i="17" l="1"/>
  <c r="CA45" i="17"/>
  <c r="CP36" i="2"/>
  <c r="CQ36" i="2"/>
  <c r="CQ37" i="2"/>
  <c r="CP37" i="2"/>
  <c r="CQ38" i="2"/>
  <c r="CP38" i="2"/>
  <c r="A172" i="2"/>
  <c r="CP35" i="2"/>
  <c r="CQ35" i="2"/>
  <c r="CR35" i="2"/>
  <c r="CA35" i="2"/>
  <c r="DU83" i="17"/>
  <c r="DT83" i="17"/>
  <c r="DS83" i="17"/>
  <c r="DR83" i="17"/>
  <c r="DU82" i="17"/>
  <c r="DS82" i="17"/>
  <c r="DT82" i="17"/>
  <c r="DR82" i="17"/>
  <c r="DU81" i="17"/>
  <c r="DT81" i="17"/>
  <c r="DS81" i="17"/>
  <c r="DR81" i="17"/>
  <c r="DU80" i="17"/>
  <c r="DS80" i="17"/>
  <c r="DR80" i="17"/>
  <c r="DT80" i="17"/>
  <c r="CB14" i="2"/>
  <c r="CQ14" i="2"/>
  <c r="CR14" i="2"/>
  <c r="CE14" i="2"/>
  <c r="CC14" i="2"/>
  <c r="CQ16" i="2"/>
  <c r="CB16" i="2"/>
  <c r="CR16" i="2"/>
  <c r="CE16" i="2"/>
  <c r="CC16" i="2"/>
  <c r="CB13" i="2"/>
  <c r="CC13" i="2"/>
  <c r="CR13" i="2"/>
  <c r="CE13" i="2"/>
  <c r="CQ13" i="2"/>
  <c r="CB15" i="2"/>
  <c r="CR15" i="2"/>
  <c r="CE15" i="2"/>
  <c r="CC15" i="2"/>
  <c r="CQ15" i="2"/>
  <c r="CR23" i="2"/>
  <c r="CC23" i="2"/>
  <c r="CB23" i="2"/>
  <c r="CE23" i="2"/>
  <c r="CQ23" i="2"/>
  <c r="CC12" i="2"/>
  <c r="CE12" i="2"/>
  <c r="CQ12" i="2"/>
  <c r="CB12" i="2"/>
  <c r="CR12" i="2"/>
  <c r="CB17" i="2"/>
  <c r="CQ17" i="2"/>
  <c r="CC17" i="2"/>
  <c r="CR17" i="2"/>
  <c r="CE17" i="2"/>
  <c r="CE18" i="2"/>
  <c r="CQ18" i="2"/>
  <c r="CR18" i="2"/>
  <c r="CC18" i="2"/>
  <c r="CB18" i="2"/>
  <c r="Y18" i="2" s="1"/>
  <c r="CC21" i="2"/>
  <c r="CR21" i="2"/>
  <c r="CE21" i="2"/>
  <c r="CQ21" i="2"/>
  <c r="CB21" i="2"/>
  <c r="CB22" i="2"/>
  <c r="CR22" i="2"/>
  <c r="CE22" i="2"/>
  <c r="CQ22" i="2"/>
  <c r="CC22" i="2"/>
  <c r="CG36" i="2"/>
  <c r="CG37" i="2"/>
  <c r="CG38" i="2"/>
  <c r="CG39" i="2"/>
  <c r="CG40" i="2"/>
  <c r="EC45" i="17"/>
  <c r="CN45" i="17"/>
  <c r="EA45" i="17"/>
  <c r="CL45" i="17"/>
  <c r="DZ45" i="17"/>
  <c r="CM45" i="17"/>
  <c r="CK45" i="17"/>
  <c r="DQ110" i="17"/>
  <c r="CD109" i="17"/>
  <c r="CE109" i="17"/>
  <c r="CF109" i="17"/>
  <c r="CC109" i="17"/>
  <c r="CG35" i="2"/>
  <c r="CV35" i="2"/>
  <c r="CU35" i="2"/>
  <c r="CS35" i="2"/>
  <c r="CT21" i="2"/>
  <c r="CH17" i="2"/>
  <c r="CA17" i="2"/>
  <c r="CI17" i="2"/>
  <c r="CF17" i="2"/>
  <c r="CI12" i="2"/>
  <c r="CA12" i="2"/>
  <c r="CF12" i="2"/>
  <c r="CH22" i="2"/>
  <c r="CF22" i="2"/>
  <c r="CA22" i="2"/>
  <c r="CI22" i="2"/>
  <c r="CH13" i="2"/>
  <c r="CA13" i="2"/>
  <c r="CF13" i="2"/>
  <c r="CI13" i="2"/>
  <c r="CA23" i="2"/>
  <c r="CI23" i="2"/>
  <c r="CH16" i="2"/>
  <c r="CA16" i="2"/>
  <c r="CI16" i="2"/>
  <c r="CF16" i="2"/>
  <c r="CH18" i="2"/>
  <c r="CI18" i="2"/>
  <c r="CF18" i="2"/>
  <c r="CA18" i="2"/>
  <c r="CH14" i="2"/>
  <c r="CA14" i="2"/>
  <c r="CF14" i="2"/>
  <c r="CI14" i="2"/>
  <c r="CH15" i="2"/>
  <c r="CA15" i="2"/>
  <c r="CI15" i="2"/>
  <c r="CF15" i="2"/>
  <c r="CG21" i="2"/>
  <c r="CI21" i="2"/>
  <c r="CA21" i="2"/>
  <c r="CH12" i="2"/>
  <c r="CH21" i="2"/>
  <c r="CH23" i="2"/>
  <c r="CP70" i="4"/>
  <c r="CB70" i="4"/>
  <c r="CD70" i="4"/>
  <c r="CN70" i="4"/>
  <c r="CA38" i="2"/>
  <c r="CR38" i="2"/>
  <c r="CD38" i="2"/>
  <c r="CT38" i="2"/>
  <c r="CF38" i="2"/>
  <c r="CU38" i="2"/>
  <c r="CV38" i="2"/>
  <c r="CH38" i="2"/>
  <c r="CO38" i="2"/>
  <c r="CD39" i="2"/>
  <c r="CS39" i="2"/>
  <c r="CE39" i="2"/>
  <c r="CR39" i="2"/>
  <c r="CU39" i="2"/>
  <c r="CV39" i="2"/>
  <c r="CH39" i="2"/>
  <c r="CO39" i="2"/>
  <c r="CA39" i="2"/>
  <c r="CV40" i="2"/>
  <c r="CH40" i="2"/>
  <c r="CO40" i="2"/>
  <c r="CU40" i="2"/>
  <c r="CA40" i="2"/>
  <c r="CR40" i="2"/>
  <c r="CD40" i="2"/>
  <c r="CS40" i="2"/>
  <c r="CE40" i="2"/>
  <c r="CF36" i="2"/>
  <c r="CU36" i="2"/>
  <c r="CT36" i="2"/>
  <c r="CV36" i="2"/>
  <c r="CH36" i="2"/>
  <c r="CO36" i="2"/>
  <c r="CA36" i="2"/>
  <c r="Y36" i="2" s="1"/>
  <c r="CR36" i="2"/>
  <c r="CD36" i="2"/>
  <c r="CH35" i="2"/>
  <c r="CO35" i="2"/>
  <c r="CE35" i="2"/>
  <c r="CD35" i="2"/>
  <c r="CH37" i="2"/>
  <c r="CV37" i="2"/>
  <c r="CO37" i="2"/>
  <c r="CA37" i="2"/>
  <c r="CR37" i="2"/>
  <c r="CD37" i="2"/>
  <c r="CS37" i="2"/>
  <c r="CE37" i="2"/>
  <c r="CU37" i="2"/>
  <c r="CK74" i="17"/>
  <c r="CM74" i="17"/>
  <c r="CN66" i="17"/>
  <c r="CL66" i="17"/>
  <c r="CL46" i="17"/>
  <c r="CN46" i="17"/>
  <c r="CL57" i="17"/>
  <c r="CN57" i="17"/>
  <c r="CL67" i="17"/>
  <c r="CN67" i="17"/>
  <c r="CK55" i="17"/>
  <c r="CM55" i="17"/>
  <c r="CM66" i="17"/>
  <c r="CK66" i="17"/>
  <c r="CL47" i="17"/>
  <c r="CN47" i="17"/>
  <c r="CL58" i="17"/>
  <c r="CN58" i="17"/>
  <c r="CL68" i="17"/>
  <c r="CN68" i="17"/>
  <c r="CM50" i="17"/>
  <c r="CK50" i="17"/>
  <c r="CN48" i="17"/>
  <c r="CL48" i="17"/>
  <c r="CN60" i="17"/>
  <c r="CL60" i="17"/>
  <c r="CN69" i="17"/>
  <c r="CL69" i="17"/>
  <c r="CM54" i="17"/>
  <c r="CK54" i="17"/>
  <c r="CK68" i="17"/>
  <c r="CM68" i="17"/>
  <c r="CN74" i="17"/>
  <c r="CL74" i="17"/>
  <c r="CL62" i="17"/>
  <c r="CN62" i="17"/>
  <c r="CM51" i="17"/>
  <c r="CK51" i="17"/>
  <c r="CN55" i="17"/>
  <c r="CL55" i="17"/>
  <c r="CM65" i="17"/>
  <c r="CK65" i="17"/>
  <c r="CK57" i="17"/>
  <c r="CM57" i="17"/>
  <c r="CK67" i="17"/>
  <c r="CM67" i="17"/>
  <c r="CK46" i="17"/>
  <c r="CM46" i="17"/>
  <c r="CK58" i="17"/>
  <c r="CM58" i="17"/>
  <c r="CL50" i="17"/>
  <c r="CN50" i="17"/>
  <c r="CL61" i="17"/>
  <c r="CN61" i="17"/>
  <c r="CK47" i="17"/>
  <c r="CM47" i="17"/>
  <c r="CM60" i="17"/>
  <c r="CK60" i="17"/>
  <c r="CM69" i="17"/>
  <c r="CK69" i="17"/>
  <c r="CL51" i="17"/>
  <c r="CN51" i="17"/>
  <c r="CL72" i="17"/>
  <c r="CN72" i="17"/>
  <c r="CK48" i="17"/>
  <c r="CM48" i="17"/>
  <c r="CM61" i="17"/>
  <c r="CK61" i="17"/>
  <c r="CM70" i="17"/>
  <c r="CK70" i="17"/>
  <c r="CN53" i="17"/>
  <c r="CL53" i="17"/>
  <c r="CN63" i="17"/>
  <c r="CL63" i="17"/>
  <c r="CL70" i="17"/>
  <c r="CN70" i="17"/>
  <c r="CK63" i="17"/>
  <c r="CM63" i="17"/>
  <c r="CM62" i="17"/>
  <c r="CK62" i="17"/>
  <c r="CM72" i="17"/>
  <c r="CK72" i="17"/>
  <c r="CN54" i="17"/>
  <c r="CL54" i="17"/>
  <c r="CN65" i="17"/>
  <c r="CL65" i="17"/>
  <c r="CP15" i="2"/>
  <c r="CT15" i="2"/>
  <c r="CU15" i="2"/>
  <c r="CW15" i="2"/>
  <c r="CX15" i="2"/>
  <c r="CP14" i="2"/>
  <c r="CT14" i="2"/>
  <c r="CU14" i="2"/>
  <c r="CW14" i="2"/>
  <c r="CX14" i="2"/>
  <c r="CT16" i="2"/>
  <c r="CU16" i="2"/>
  <c r="CW16" i="2"/>
  <c r="CP16" i="2"/>
  <c r="CX16" i="2"/>
  <c r="CT17" i="2"/>
  <c r="CU17" i="2"/>
  <c r="CW17" i="2"/>
  <c r="CX17" i="2"/>
  <c r="CP17" i="2"/>
  <c r="CU18" i="2"/>
  <c r="CW18" i="2"/>
  <c r="CX18" i="2"/>
  <c r="CP18" i="2"/>
  <c r="CT18" i="2"/>
  <c r="CX21" i="2"/>
  <c r="CP21" i="2"/>
  <c r="CV21" i="2"/>
  <c r="CW21" i="2"/>
  <c r="CP22" i="2"/>
  <c r="CT22" i="2"/>
  <c r="CU22" i="2"/>
  <c r="CX22" i="2"/>
  <c r="CW22" i="2"/>
  <c r="CW12" i="2"/>
  <c r="CX12" i="2"/>
  <c r="CP12" i="2"/>
  <c r="CT12" i="2"/>
  <c r="CU12" i="2"/>
  <c r="CX13" i="2"/>
  <c r="CP13" i="2"/>
  <c r="CW13" i="2"/>
  <c r="CT13" i="2"/>
  <c r="CU13" i="2"/>
  <c r="CP23" i="2"/>
  <c r="CG23" i="2"/>
  <c r="CT23" i="2"/>
  <c r="CV23" i="2"/>
  <c r="CW23" i="2"/>
  <c r="CX23" i="2"/>
  <c r="CC98" i="17"/>
  <c r="CD98" i="17"/>
  <c r="CC95" i="17"/>
  <c r="CD95" i="17"/>
  <c r="CD99" i="17"/>
  <c r="CC99" i="17"/>
  <c r="CC84" i="17"/>
  <c r="CD84" i="17"/>
  <c r="CD89" i="17"/>
  <c r="CC89" i="17"/>
  <c r="CC100" i="17"/>
  <c r="CD100" i="17"/>
  <c r="CC80" i="17"/>
  <c r="CD80" i="17"/>
  <c r="CC91" i="17"/>
  <c r="CD91" i="17"/>
  <c r="CC86" i="17"/>
  <c r="CD86" i="17"/>
  <c r="CD92" i="17"/>
  <c r="CC92" i="17"/>
  <c r="CD102" i="17"/>
  <c r="CC102" i="17"/>
  <c r="CD94" i="17"/>
  <c r="CC94" i="17"/>
  <c r="CD82" i="17"/>
  <c r="CC82" i="17"/>
  <c r="CC93" i="17"/>
  <c r="CD93" i="17"/>
  <c r="CD85" i="17"/>
  <c r="H85" i="17" s="1"/>
  <c r="CC105" i="17"/>
  <c r="H105" i="17" s="1"/>
  <c r="CC81" i="17"/>
  <c r="CD81" i="17"/>
  <c r="CD88" i="17"/>
  <c r="CC88" i="17"/>
  <c r="CD87" i="17"/>
  <c r="CC87" i="17"/>
  <c r="CC79" i="17"/>
  <c r="CD79" i="17"/>
  <c r="CC101" i="17"/>
  <c r="CD101" i="17"/>
  <c r="EB66" i="17"/>
  <c r="DZ66" i="17"/>
  <c r="DZ57" i="17"/>
  <c r="EB57" i="17"/>
  <c r="EC69" i="17"/>
  <c r="EA69" i="17"/>
  <c r="EB46" i="17"/>
  <c r="EC61" i="17"/>
  <c r="EA61" i="17"/>
  <c r="EA74" i="17"/>
  <c r="EC74" i="17"/>
  <c r="DZ47" i="17"/>
  <c r="EB47" i="17"/>
  <c r="DZ60" i="17"/>
  <c r="EB60" i="17"/>
  <c r="DZ69" i="17"/>
  <c r="EB69" i="17"/>
  <c r="EC51" i="17"/>
  <c r="EA51" i="17"/>
  <c r="EC62" i="17"/>
  <c r="EA62" i="17"/>
  <c r="EC72" i="17"/>
  <c r="EA72" i="17"/>
  <c r="EC47" i="17"/>
  <c r="EA47" i="17"/>
  <c r="EC60" i="17"/>
  <c r="EA60" i="17"/>
  <c r="EB58" i="17"/>
  <c r="DZ58" i="17"/>
  <c r="DZ61" i="17"/>
  <c r="EB61" i="17"/>
  <c r="DZ67" i="17"/>
  <c r="EB67" i="17"/>
  <c r="EC50" i="17"/>
  <c r="EA50" i="17"/>
  <c r="DZ70" i="17"/>
  <c r="EB70" i="17"/>
  <c r="EC70" i="17"/>
  <c r="EA70" i="17"/>
  <c r="DZ62" i="17"/>
  <c r="EB62" i="17"/>
  <c r="DZ72" i="17"/>
  <c r="EB72" i="17"/>
  <c r="EC54" i="17"/>
  <c r="EA54" i="17"/>
  <c r="EC65" i="17"/>
  <c r="EA65" i="17"/>
  <c r="EC58" i="17"/>
  <c r="EA58" i="17"/>
  <c r="DZ50" i="17"/>
  <c r="EB50" i="17"/>
  <c r="EC48" i="17"/>
  <c r="EA48" i="17"/>
  <c r="DZ48" i="17"/>
  <c r="EB48" i="17"/>
  <c r="EC53" i="17"/>
  <c r="EA53" i="17"/>
  <c r="EC63" i="17"/>
  <c r="EA63" i="17"/>
  <c r="DZ51" i="17"/>
  <c r="EB51" i="17"/>
  <c r="DZ63" i="17"/>
  <c r="EB63" i="17"/>
  <c r="DZ74" i="17"/>
  <c r="EB74" i="17"/>
  <c r="EC55" i="17"/>
  <c r="EA55" i="17"/>
  <c r="EC66" i="17"/>
  <c r="EA66" i="17"/>
  <c r="DZ55" i="17"/>
  <c r="EB55" i="17"/>
  <c r="DZ54" i="17"/>
  <c r="EB54" i="17"/>
  <c r="DZ65" i="17"/>
  <c r="EB65" i="17"/>
  <c r="EA46" i="17"/>
  <c r="EC57" i="17"/>
  <c r="EA57" i="17"/>
  <c r="EC67" i="17"/>
  <c r="EA67" i="17"/>
  <c r="EC68" i="17"/>
  <c r="EA68" i="17"/>
  <c r="EB45" i="17"/>
  <c r="DZ68" i="17"/>
  <c r="EB68" i="17"/>
  <c r="DR90" i="17"/>
  <c r="DU90" i="17"/>
  <c r="DS90" i="17"/>
  <c r="DT90" i="17"/>
  <c r="DT97" i="17"/>
  <c r="DR97" i="17"/>
  <c r="DS97" i="17"/>
  <c r="DU97" i="17"/>
  <c r="DT104" i="17"/>
  <c r="DU104" i="17"/>
  <c r="DS104" i="17"/>
  <c r="DR104" i="17"/>
  <c r="DT94" i="17"/>
  <c r="DU94" i="17"/>
  <c r="DS94" i="17"/>
  <c r="DR94" i="17"/>
  <c r="DR96" i="17"/>
  <c r="DU96" i="17"/>
  <c r="DT96" i="17"/>
  <c r="DS96" i="17"/>
  <c r="DT103" i="17"/>
  <c r="DR103" i="17"/>
  <c r="DS103" i="17"/>
  <c r="DU103" i="17"/>
  <c r="DT92" i="17"/>
  <c r="DS92" i="17"/>
  <c r="DR92" i="17"/>
  <c r="DU92" i="17"/>
  <c r="DU99" i="17"/>
  <c r="DT99" i="17"/>
  <c r="DS99" i="17"/>
  <c r="DR99" i="17"/>
  <c r="DT110" i="17"/>
  <c r="DS110" i="17"/>
  <c r="DR110" i="17"/>
  <c r="DR100" i="17"/>
  <c r="DU100" i="17"/>
  <c r="DT100" i="17"/>
  <c r="DS100" i="17"/>
  <c r="DR106" i="17"/>
  <c r="DU106" i="17"/>
  <c r="DS106" i="17"/>
  <c r="DT106" i="17"/>
  <c r="DU95" i="17"/>
  <c r="DT95" i="17"/>
  <c r="DS95" i="17"/>
  <c r="DR95" i="17"/>
  <c r="DT93" i="17"/>
  <c r="DS93" i="17"/>
  <c r="DR93" i="17"/>
  <c r="DU93" i="17"/>
  <c r="DR89" i="17"/>
  <c r="DT89" i="17"/>
  <c r="DU89" i="17"/>
  <c r="DS89" i="17"/>
  <c r="DR88" i="17"/>
  <c r="DU88" i="17"/>
  <c r="DT88" i="17"/>
  <c r="DS88" i="17"/>
  <c r="DU87" i="17"/>
  <c r="DT87" i="17"/>
  <c r="DS87" i="17"/>
  <c r="DR87" i="17"/>
  <c r="DR86" i="17"/>
  <c r="DT86" i="17"/>
  <c r="DU86" i="17"/>
  <c r="DS86" i="17"/>
  <c r="DU102" i="17"/>
  <c r="DT102" i="17"/>
  <c r="DS102" i="17"/>
  <c r="DR102" i="17"/>
  <c r="DU101" i="17"/>
  <c r="DT101" i="17"/>
  <c r="DS101" i="17"/>
  <c r="DR101" i="17"/>
  <c r="C76" i="4"/>
  <c r="D52" i="17"/>
  <c r="C46" i="17"/>
  <c r="C45" i="17"/>
  <c r="E52" i="17"/>
  <c r="D49" i="17"/>
  <c r="C74" i="17"/>
  <c r="E49" i="17"/>
  <c r="C131" i="17"/>
  <c r="CG131" i="17" s="1"/>
  <c r="M131" i="17" s="1"/>
  <c r="Y38" i="2" l="1"/>
  <c r="Y37" i="2"/>
  <c r="Y23" i="2"/>
  <c r="Y13" i="2"/>
  <c r="Y16" i="2"/>
  <c r="Y14" i="2"/>
  <c r="Y15" i="2"/>
  <c r="Y17" i="2"/>
  <c r="Y22" i="2"/>
  <c r="Y21" i="2"/>
  <c r="Y12" i="2"/>
  <c r="H93" i="17"/>
  <c r="H100" i="17"/>
  <c r="H89" i="17"/>
  <c r="H102" i="17"/>
  <c r="H99" i="17"/>
  <c r="H81" i="17"/>
  <c r="H91" i="17"/>
  <c r="H95" i="17"/>
  <c r="T57" i="17"/>
  <c r="T72" i="17"/>
  <c r="H101" i="17"/>
  <c r="H84" i="17"/>
  <c r="T46" i="17"/>
  <c r="T68" i="17"/>
  <c r="T66" i="17"/>
  <c r="H82" i="17"/>
  <c r="H88" i="17"/>
  <c r="T60" i="17"/>
  <c r="T47" i="17"/>
  <c r="T70" i="17"/>
  <c r="T65" i="17"/>
  <c r="T54" i="17"/>
  <c r="T50" i="17"/>
  <c r="O109" i="17"/>
  <c r="H86" i="17"/>
  <c r="T48" i="17"/>
  <c r="T74" i="17"/>
  <c r="H94" i="17"/>
  <c r="T62" i="17"/>
  <c r="T53" i="17"/>
  <c r="T58" i="17"/>
  <c r="H98" i="17"/>
  <c r="T51" i="17"/>
  <c r="H79" i="17"/>
  <c r="H80" i="17"/>
  <c r="T63" i="17"/>
  <c r="T67" i="17"/>
  <c r="H87" i="17"/>
  <c r="H92" i="17"/>
  <c r="T61" i="17"/>
  <c r="T69" i="17"/>
  <c r="T55" i="17"/>
  <c r="Y35" i="2"/>
  <c r="AV197" i="17"/>
  <c r="AV198" i="17"/>
  <c r="AV196" i="17"/>
  <c r="E33" i="5"/>
  <c r="E31" i="5"/>
  <c r="L23" i="16"/>
  <c r="L20" i="16"/>
  <c r="G43" i="16"/>
  <c r="F15" i="6"/>
  <c r="F21" i="6" s="1"/>
  <c r="F38" i="6"/>
  <c r="E48" i="6"/>
  <c r="B27" i="18"/>
  <c r="B13" i="18"/>
  <c r="E110" i="7"/>
  <c r="E106" i="7"/>
  <c r="CW106" i="7" s="1"/>
  <c r="E100" i="7"/>
  <c r="E99" i="7"/>
  <c r="E95" i="7"/>
  <c r="E94" i="7"/>
  <c r="E90" i="7"/>
  <c r="E85" i="7"/>
  <c r="E84" i="7"/>
  <c r="E75" i="7"/>
  <c r="D110" i="7"/>
  <c r="CX110" i="7" s="1"/>
  <c r="D100" i="7"/>
  <c r="CX100" i="7" s="1"/>
  <c r="D99" i="7"/>
  <c r="CX99" i="7" s="1"/>
  <c r="D94" i="7"/>
  <c r="CX94" i="7" s="1"/>
  <c r="D95" i="7"/>
  <c r="CX95" i="7" s="1"/>
  <c r="D85" i="7"/>
  <c r="CX85" i="7" s="1"/>
  <c r="D84" i="7"/>
  <c r="CX84" i="7" s="1"/>
  <c r="D75" i="7"/>
  <c r="CW90" i="7" l="1"/>
  <c r="CB90" i="7"/>
  <c r="CO90" i="7"/>
  <c r="CO110" i="7"/>
  <c r="CN110" i="7"/>
  <c r="CA110" i="7"/>
  <c r="CW110" i="7"/>
  <c r="CB110" i="7"/>
  <c r="CB84" i="7"/>
  <c r="CA84" i="7"/>
  <c r="CO84" i="7"/>
  <c r="CN84" i="7"/>
  <c r="CW84" i="7"/>
  <c r="CN94" i="7"/>
  <c r="CA94" i="7"/>
  <c r="CW94" i="7"/>
  <c r="CB94" i="7"/>
  <c r="CO94" i="7"/>
  <c r="CN95" i="7"/>
  <c r="CA95" i="7"/>
  <c r="CW95" i="7"/>
  <c r="CB95" i="7"/>
  <c r="CO95" i="7"/>
  <c r="CB85" i="7"/>
  <c r="CA85" i="7"/>
  <c r="CO85" i="7"/>
  <c r="CN85" i="7"/>
  <c r="CW85" i="7"/>
  <c r="CW99" i="7"/>
  <c r="CN99" i="7"/>
  <c r="CA99" i="7"/>
  <c r="CN100" i="7"/>
  <c r="CA100" i="7"/>
  <c r="CW100" i="7"/>
  <c r="CP75" i="7"/>
  <c r="CX75" i="7"/>
  <c r="CO75" i="7"/>
  <c r="CB75" i="7"/>
  <c r="CN75" i="7"/>
  <c r="CW75" i="7"/>
  <c r="CA75" i="7"/>
  <c r="CR48" i="6"/>
  <c r="CT48" i="6"/>
  <c r="CC48" i="6"/>
  <c r="CP48" i="6"/>
  <c r="CG48" i="6"/>
  <c r="CE48" i="6"/>
  <c r="BB13" i="18"/>
  <c r="BA13" i="18"/>
  <c r="BJ13" i="18"/>
  <c r="BI13" i="18"/>
  <c r="CS95" i="7"/>
  <c r="CQ95" i="7"/>
  <c r="CJ95" i="7"/>
  <c r="CF95" i="7"/>
  <c r="CD95" i="7"/>
  <c r="CJ100" i="7"/>
  <c r="CS100" i="7"/>
  <c r="CF100" i="7"/>
  <c r="CQ100" i="7"/>
  <c r="CD100" i="7"/>
  <c r="CP99" i="7"/>
  <c r="CE99" i="7"/>
  <c r="CC99" i="7"/>
  <c r="CK99" i="7"/>
  <c r="CR99" i="7"/>
  <c r="CR75" i="7"/>
  <c r="CE75" i="7"/>
  <c r="CK75" i="7"/>
  <c r="CC75" i="7"/>
  <c r="CJ106" i="7"/>
  <c r="CD106" i="7"/>
  <c r="CQ106" i="7"/>
  <c r="CF106" i="7"/>
  <c r="CS106" i="7"/>
  <c r="CQ99" i="7"/>
  <c r="CF99" i="7"/>
  <c r="CD99" i="7"/>
  <c r="CS99" i="7"/>
  <c r="CJ99" i="7"/>
  <c r="CP110" i="7"/>
  <c r="CE110" i="7"/>
  <c r="CR110" i="7"/>
  <c r="CC110" i="7"/>
  <c r="CK110" i="7"/>
  <c r="CQ84" i="7"/>
  <c r="CJ84" i="7"/>
  <c r="CF84" i="7"/>
  <c r="CS84" i="7"/>
  <c r="CD84" i="7"/>
  <c r="CQ110" i="7"/>
  <c r="CF110" i="7"/>
  <c r="CJ110" i="7"/>
  <c r="CD110" i="7"/>
  <c r="CS110" i="7"/>
  <c r="CK85" i="7"/>
  <c r="CR85" i="7"/>
  <c r="CC85" i="7"/>
  <c r="CP85" i="7"/>
  <c r="CE85" i="7"/>
  <c r="CS85" i="7"/>
  <c r="CQ85" i="7"/>
  <c r="CD85" i="7"/>
  <c r="CJ85" i="7"/>
  <c r="CF85" i="7"/>
  <c r="CQ75" i="7"/>
  <c r="CS75" i="7"/>
  <c r="CF75" i="7"/>
  <c r="CD75" i="7"/>
  <c r="CJ75" i="7"/>
  <c r="CR95" i="7"/>
  <c r="CK95" i="7"/>
  <c r="CE95" i="7"/>
  <c r="CC95" i="7"/>
  <c r="CP95" i="7"/>
  <c r="CD90" i="7"/>
  <c r="CQ90" i="7"/>
  <c r="CJ90" i="7"/>
  <c r="CS90" i="7"/>
  <c r="CF90" i="7"/>
  <c r="CP100" i="7"/>
  <c r="CK100" i="7"/>
  <c r="CE100" i="7"/>
  <c r="CC100" i="7"/>
  <c r="CR100" i="7"/>
  <c r="CE84" i="7"/>
  <c r="CP84" i="7"/>
  <c r="CC84" i="7"/>
  <c r="CR84" i="7"/>
  <c r="CK84" i="7"/>
  <c r="CP94" i="7"/>
  <c r="CE94" i="7"/>
  <c r="CR94" i="7"/>
  <c r="CC94" i="7"/>
  <c r="CK94" i="7"/>
  <c r="CQ94" i="7"/>
  <c r="CF94" i="7"/>
  <c r="CJ94" i="7"/>
  <c r="CD94" i="7"/>
  <c r="CS94" i="7"/>
  <c r="BI27" i="18"/>
  <c r="BJ27" i="18"/>
  <c r="BK27" i="18"/>
  <c r="BL27" i="18"/>
  <c r="BA27" i="18"/>
  <c r="BB27" i="18"/>
  <c r="CD31" i="5"/>
  <c r="CB31" i="5"/>
  <c r="CB33" i="5"/>
  <c r="CD33" i="5"/>
  <c r="DP33" i="5"/>
  <c r="DP31" i="5"/>
  <c r="C94" i="7"/>
  <c r="C110" i="7"/>
  <c r="C95" i="7"/>
  <c r="C100" i="7"/>
  <c r="E48" i="7"/>
  <c r="E39" i="7"/>
  <c r="E38" i="7"/>
  <c r="E37" i="7"/>
  <c r="E33" i="7"/>
  <c r="E32" i="7"/>
  <c r="D23" i="7"/>
  <c r="CX23" i="7" s="1"/>
  <c r="D22" i="7"/>
  <c r="CX22" i="7" s="1"/>
  <c r="E23" i="7"/>
  <c r="E22" i="7"/>
  <c r="E13" i="7"/>
  <c r="CW13" i="7" s="1"/>
  <c r="D48" i="7"/>
  <c r="CX48" i="7" s="1"/>
  <c r="D38" i="7"/>
  <c r="CX38" i="7" s="1"/>
  <c r="D37" i="7"/>
  <c r="CX37" i="7" s="1"/>
  <c r="D33" i="7"/>
  <c r="CX33" i="7" s="1"/>
  <c r="D32" i="7"/>
  <c r="CX32" i="7" s="1"/>
  <c r="D13" i="7"/>
  <c r="E63" i="7"/>
  <c r="E64" i="7"/>
  <c r="D64" i="7"/>
  <c r="D63" i="7"/>
  <c r="E69" i="7"/>
  <c r="CB69" i="7" s="1"/>
  <c r="D69" i="7"/>
  <c r="CA69" i="7" s="1"/>
  <c r="E125" i="7"/>
  <c r="D125" i="7"/>
  <c r="D52" i="16"/>
  <c r="D51" i="16"/>
  <c r="F52" i="16"/>
  <c r="E67" i="16"/>
  <c r="AM67" i="16" s="1"/>
  <c r="E66" i="16"/>
  <c r="AM66" i="16" s="1"/>
  <c r="E65" i="16"/>
  <c r="AM65" i="16" s="1"/>
  <c r="E64" i="16"/>
  <c r="AM64" i="16" s="1"/>
  <c r="E63" i="16"/>
  <c r="AM63" i="16" s="1"/>
  <c r="E61" i="16"/>
  <c r="AM61" i="16" s="1"/>
  <c r="E60" i="16"/>
  <c r="AM60" i="16" s="1"/>
  <c r="E58" i="16"/>
  <c r="AM58" i="16" s="1"/>
  <c r="D66" i="16"/>
  <c r="D67" i="16"/>
  <c r="D65" i="16"/>
  <c r="D64" i="16"/>
  <c r="D63" i="16"/>
  <c r="D61" i="16"/>
  <c r="D60" i="16"/>
  <c r="D59" i="16"/>
  <c r="O67" i="16"/>
  <c r="O66" i="16"/>
  <c r="O65" i="16"/>
  <c r="O64" i="16"/>
  <c r="O63" i="16"/>
  <c r="O61" i="16"/>
  <c r="O60" i="16"/>
  <c r="O59" i="16"/>
  <c r="O58" i="16"/>
  <c r="L67" i="16"/>
  <c r="L66" i="16"/>
  <c r="L65" i="16"/>
  <c r="L64" i="16"/>
  <c r="L63" i="16"/>
  <c r="L61" i="16"/>
  <c r="L60" i="16"/>
  <c r="L59" i="16"/>
  <c r="L58" i="16"/>
  <c r="I67" i="16"/>
  <c r="I66" i="16"/>
  <c r="I65" i="16"/>
  <c r="I64" i="16"/>
  <c r="I63" i="16"/>
  <c r="I60" i="16"/>
  <c r="I59" i="16"/>
  <c r="I58" i="16"/>
  <c r="F67" i="16"/>
  <c r="F66" i="16"/>
  <c r="F65" i="16"/>
  <c r="F64" i="16"/>
  <c r="F63" i="16"/>
  <c r="F61" i="16"/>
  <c r="F60" i="16"/>
  <c r="F59" i="16"/>
  <c r="F58" i="16"/>
  <c r="K43" i="16"/>
  <c r="J43" i="16"/>
  <c r="M43" i="16"/>
  <c r="N43" i="16"/>
  <c r="Q43" i="16"/>
  <c r="P43" i="16"/>
  <c r="D19" i="6"/>
  <c r="D16" i="6"/>
  <c r="E19" i="6"/>
  <c r="E18" i="6"/>
  <c r="E17" i="6"/>
  <c r="E16" i="6"/>
  <c r="D18" i="6"/>
  <c r="D17" i="6"/>
  <c r="E14" i="6"/>
  <c r="E13" i="6"/>
  <c r="D14" i="6"/>
  <c r="D13" i="6"/>
  <c r="E37" i="6"/>
  <c r="E36" i="6"/>
  <c r="E35" i="6"/>
  <c r="D37" i="6"/>
  <c r="D36" i="6"/>
  <c r="D35" i="6"/>
  <c r="E57" i="6"/>
  <c r="E56" i="6"/>
  <c r="E55" i="6"/>
  <c r="E54" i="6"/>
  <c r="E58" i="4"/>
  <c r="CD58" i="4" s="1"/>
  <c r="D77" i="4"/>
  <c r="E13" i="5"/>
  <c r="D13" i="5"/>
  <c r="CA13" i="5" s="1"/>
  <c r="E29" i="5"/>
  <c r="C65" i="4"/>
  <c r="D66" i="4"/>
  <c r="E82" i="5"/>
  <c r="D82" i="5"/>
  <c r="E69" i="5"/>
  <c r="D69" i="5"/>
  <c r="E74" i="5"/>
  <c r="D74" i="5"/>
  <c r="E60" i="4"/>
  <c r="CD60" i="4" s="1"/>
  <c r="E37" i="4"/>
  <c r="D22" i="4"/>
  <c r="D21" i="4"/>
  <c r="E19" i="4"/>
  <c r="D19" i="4"/>
  <c r="E17" i="4"/>
  <c r="D17" i="4"/>
  <c r="E16" i="4"/>
  <c r="D16" i="4"/>
  <c r="D13" i="4"/>
  <c r="CB29" i="5" l="1"/>
  <c r="DK29" i="5"/>
  <c r="CN17" i="4"/>
  <c r="CP17" i="4"/>
  <c r="CQ16" i="4"/>
  <c r="CO16" i="4"/>
  <c r="CN19" i="4"/>
  <c r="CP19" i="4"/>
  <c r="CO39" i="7"/>
  <c r="CA39" i="7"/>
  <c r="CW39" i="7"/>
  <c r="CN39" i="7"/>
  <c r="CC19" i="4"/>
  <c r="CQ19" i="4"/>
  <c r="CO19" i="4"/>
  <c r="CD21" i="4"/>
  <c r="CB21" i="4"/>
  <c r="CN21" i="4"/>
  <c r="CP21" i="4"/>
  <c r="CO17" i="4"/>
  <c r="CQ17" i="4"/>
  <c r="CO22" i="7"/>
  <c r="CA22" i="7"/>
  <c r="CW22" i="7"/>
  <c r="CN22" i="7"/>
  <c r="CO23" i="7"/>
  <c r="CA23" i="7"/>
  <c r="CW23" i="7"/>
  <c r="CN23" i="7"/>
  <c r="CA48" i="7"/>
  <c r="CW48" i="7"/>
  <c r="CN48" i="7"/>
  <c r="CO48" i="7"/>
  <c r="CN32" i="7"/>
  <c r="CW32" i="7"/>
  <c r="CO32" i="7"/>
  <c r="CA32" i="7"/>
  <c r="CD22" i="4"/>
  <c r="CB22" i="4"/>
  <c r="CP22" i="4"/>
  <c r="CN22" i="4"/>
  <c r="CW33" i="7"/>
  <c r="CN33" i="7"/>
  <c r="CO33" i="7"/>
  <c r="CA33" i="7"/>
  <c r="C37" i="4"/>
  <c r="CE37" i="4"/>
  <c r="CC37" i="4"/>
  <c r="CO37" i="4"/>
  <c r="CQ37" i="4"/>
  <c r="CN13" i="4"/>
  <c r="CP13" i="4"/>
  <c r="CN37" i="7"/>
  <c r="CA37" i="7"/>
  <c r="CW37" i="7"/>
  <c r="CP16" i="4"/>
  <c r="CN16" i="4"/>
  <c r="CA38" i="7"/>
  <c r="CW38" i="7"/>
  <c r="CN38" i="7"/>
  <c r="CX13" i="7"/>
  <c r="CK13" i="7"/>
  <c r="CG56" i="6"/>
  <c r="CP56" i="6"/>
  <c r="CR56" i="6"/>
  <c r="CE56" i="6"/>
  <c r="CC56" i="6"/>
  <c r="CT56" i="6"/>
  <c r="CR57" i="6"/>
  <c r="CG57" i="6"/>
  <c r="CP57" i="6"/>
  <c r="CE57" i="6"/>
  <c r="CT57" i="6"/>
  <c r="CC57" i="6"/>
  <c r="CD35" i="6"/>
  <c r="CS35" i="6"/>
  <c r="CF35" i="6"/>
  <c r="CO35" i="6"/>
  <c r="CQ35" i="6"/>
  <c r="CB35" i="6"/>
  <c r="CO36" i="6"/>
  <c r="CS36" i="6"/>
  <c r="CB36" i="6"/>
  <c r="CQ36" i="6"/>
  <c r="CD36" i="6"/>
  <c r="CF36" i="6"/>
  <c r="CD37" i="6"/>
  <c r="CS37" i="6"/>
  <c r="CB37" i="6"/>
  <c r="CF37" i="6"/>
  <c r="CQ37" i="6"/>
  <c r="CO37" i="6"/>
  <c r="CC35" i="6"/>
  <c r="CR35" i="6"/>
  <c r="CE35" i="6"/>
  <c r="CT35" i="6"/>
  <c r="CG35" i="6"/>
  <c r="CP35" i="6"/>
  <c r="CG36" i="6"/>
  <c r="CT36" i="6"/>
  <c r="CP36" i="6"/>
  <c r="CE36" i="6"/>
  <c r="CC36" i="6"/>
  <c r="CR36" i="6"/>
  <c r="CC37" i="6"/>
  <c r="CR37" i="6"/>
  <c r="CE37" i="6"/>
  <c r="CT37" i="6"/>
  <c r="CG37" i="6"/>
  <c r="CP37" i="6"/>
  <c r="CP18" i="6"/>
  <c r="CG18" i="6"/>
  <c r="CC18" i="6"/>
  <c r="CR18" i="6"/>
  <c r="CT18" i="6"/>
  <c r="CE18" i="6"/>
  <c r="CR19" i="6"/>
  <c r="CG19" i="6"/>
  <c r="CC19" i="6"/>
  <c r="CE19" i="6"/>
  <c r="CT19" i="6"/>
  <c r="CP19" i="6"/>
  <c r="CQ19" i="6"/>
  <c r="CS19" i="6"/>
  <c r="CB19" i="6"/>
  <c r="CD19" i="6"/>
  <c r="CF19" i="6"/>
  <c r="CO19" i="6"/>
  <c r="CO18" i="6"/>
  <c r="CF18" i="6"/>
  <c r="CQ18" i="6"/>
  <c r="CS18" i="6"/>
  <c r="CB18" i="6"/>
  <c r="CD18" i="6"/>
  <c r="CR14" i="6"/>
  <c r="CP14" i="6"/>
  <c r="CG14" i="6"/>
  <c r="CT14" i="6"/>
  <c r="CC14" i="6"/>
  <c r="CE14" i="6"/>
  <c r="CO14" i="6"/>
  <c r="CB14" i="6"/>
  <c r="CQ14" i="6"/>
  <c r="CS14" i="6"/>
  <c r="CD14" i="6"/>
  <c r="CF14" i="6"/>
  <c r="U27" i="18"/>
  <c r="S13" i="18"/>
  <c r="CA13" i="7"/>
  <c r="CO13" i="7"/>
  <c r="CN13" i="7"/>
  <c r="CJ13" i="7"/>
  <c r="CP54" i="6"/>
  <c r="CR54" i="6"/>
  <c r="CT54" i="6"/>
  <c r="CE55" i="6"/>
  <c r="CC55" i="6"/>
  <c r="CP55" i="6"/>
  <c r="CT55" i="6"/>
  <c r="CR55" i="6"/>
  <c r="CG55" i="6"/>
  <c r="CS17" i="6"/>
  <c r="CQ17" i="6"/>
  <c r="CF17" i="6"/>
  <c r="CB17" i="6"/>
  <c r="CO17" i="6"/>
  <c r="CD17" i="6"/>
  <c r="CR16" i="6"/>
  <c r="CC16" i="6"/>
  <c r="CP16" i="6"/>
  <c r="CG16" i="6"/>
  <c r="CE16" i="6"/>
  <c r="CT16" i="6"/>
  <c r="CP17" i="6"/>
  <c r="CE17" i="6"/>
  <c r="CG17" i="6"/>
  <c r="CC17" i="6"/>
  <c r="CR17" i="6"/>
  <c r="CT17" i="6"/>
  <c r="CS16" i="6"/>
  <c r="CO16" i="6"/>
  <c r="CB16" i="6"/>
  <c r="CD16" i="6"/>
  <c r="CF16" i="6"/>
  <c r="CQ16" i="6"/>
  <c r="CO13" i="6"/>
  <c r="CF13" i="6"/>
  <c r="CQ13" i="6"/>
  <c r="CS13" i="6"/>
  <c r="CD13" i="6"/>
  <c r="CB13" i="6"/>
  <c r="CR13" i="6"/>
  <c r="CE13" i="6"/>
  <c r="CP13" i="6"/>
  <c r="CC13" i="6"/>
  <c r="CT13" i="6"/>
  <c r="CG13" i="6"/>
  <c r="CQ13" i="7"/>
  <c r="CF13" i="7"/>
  <c r="CD13" i="7"/>
  <c r="CE13" i="7"/>
  <c r="CC13" i="7"/>
  <c r="DN29" i="5"/>
  <c r="DL29" i="5"/>
  <c r="CD29" i="5"/>
  <c r="CB13" i="5"/>
  <c r="CD13" i="5"/>
  <c r="CD66" i="4"/>
  <c r="CB66" i="4"/>
  <c r="CP66" i="4"/>
  <c r="CN66" i="4"/>
  <c r="CD17" i="4"/>
  <c r="CB17" i="4"/>
  <c r="CC16" i="4"/>
  <c r="CE16" i="4"/>
  <c r="CE17" i="4"/>
  <c r="CC17" i="4"/>
  <c r="CD19" i="4"/>
  <c r="CB19" i="4"/>
  <c r="CB13" i="4"/>
  <c r="CD13" i="4"/>
  <c r="CE19" i="4"/>
  <c r="CP60" i="4"/>
  <c r="CB60" i="4"/>
  <c r="CN60" i="4"/>
  <c r="CP77" i="4"/>
  <c r="CN77" i="4"/>
  <c r="CD77" i="4"/>
  <c r="CB77" i="4"/>
  <c r="CP58" i="4"/>
  <c r="CB58" i="4"/>
  <c r="CN58" i="4"/>
  <c r="CD16" i="4"/>
  <c r="CB16" i="4"/>
  <c r="CS43" i="4"/>
  <c r="CF48" i="7"/>
  <c r="CD48" i="7"/>
  <c r="CU100" i="7"/>
  <c r="CT100" i="7"/>
  <c r="CI100" i="7"/>
  <c r="CV100" i="7"/>
  <c r="CI95" i="7"/>
  <c r="AY95" i="7" s="1"/>
  <c r="CU95" i="7"/>
  <c r="CV95" i="7"/>
  <c r="CT95" i="7"/>
  <c r="CN69" i="7"/>
  <c r="CO69" i="7"/>
  <c r="CT110" i="7"/>
  <c r="CI110" i="7"/>
  <c r="CV110" i="7"/>
  <c r="CU110" i="7"/>
  <c r="CC48" i="7"/>
  <c r="CE48" i="7"/>
  <c r="CU94" i="7"/>
  <c r="CV94" i="7"/>
  <c r="CT94" i="7"/>
  <c r="CI94" i="7"/>
  <c r="CA69" i="5"/>
  <c r="DM69" i="5"/>
  <c r="CC69" i="5"/>
  <c r="DK69" i="5"/>
  <c r="CC13" i="5"/>
  <c r="DK13" i="5"/>
  <c r="DM13" i="5"/>
  <c r="DN69" i="5"/>
  <c r="CB69" i="5"/>
  <c r="DL69" i="5"/>
  <c r="CD69" i="5"/>
  <c r="CA82" i="5"/>
  <c r="DM82" i="5"/>
  <c r="CC82" i="5"/>
  <c r="DK82" i="5"/>
  <c r="CB82" i="5"/>
  <c r="DN82" i="5"/>
  <c r="CD82" i="5"/>
  <c r="DL82" i="5"/>
  <c r="CC74" i="5"/>
  <c r="DM74" i="5"/>
  <c r="CA74" i="5"/>
  <c r="DK74" i="5"/>
  <c r="DL13" i="5"/>
  <c r="DN13" i="5"/>
  <c r="CD74" i="5"/>
  <c r="DN74" i="5"/>
  <c r="CB74" i="5"/>
  <c r="DL74" i="5"/>
  <c r="AQ66" i="16"/>
  <c r="AL66" i="16"/>
  <c r="AS66" i="16"/>
  <c r="AJ66" i="16"/>
  <c r="AT67" i="16"/>
  <c r="AR67" i="16"/>
  <c r="AK67" i="16"/>
  <c r="AJ60" i="16"/>
  <c r="AS60" i="16"/>
  <c r="AQ60" i="16"/>
  <c r="AL60" i="16"/>
  <c r="AK60" i="16"/>
  <c r="AT60" i="16"/>
  <c r="AR60" i="16"/>
  <c r="AQ51" i="16"/>
  <c r="AL51" i="16"/>
  <c r="AJ51" i="16"/>
  <c r="AS51" i="16"/>
  <c r="AL61" i="16"/>
  <c r="AS61" i="16"/>
  <c r="AJ61" i="16"/>
  <c r="AQ61" i="16"/>
  <c r="AK61" i="16"/>
  <c r="AT61" i="16"/>
  <c r="AR61" i="16"/>
  <c r="AQ52" i="16"/>
  <c r="AL52" i="16"/>
  <c r="AJ52" i="16"/>
  <c r="AS52" i="16"/>
  <c r="AT58" i="16"/>
  <c r="AR58" i="16"/>
  <c r="AK58" i="16"/>
  <c r="R58" i="16" s="1"/>
  <c r="AQ63" i="16"/>
  <c r="AL63" i="16"/>
  <c r="AJ63" i="16"/>
  <c r="AS63" i="16"/>
  <c r="AR63" i="16"/>
  <c r="AK63" i="16"/>
  <c r="AT63" i="16"/>
  <c r="AJ67" i="16"/>
  <c r="AQ67" i="16"/>
  <c r="AS67" i="16"/>
  <c r="AL67" i="16"/>
  <c r="AJ59" i="16"/>
  <c r="AS59" i="16"/>
  <c r="AQ59" i="16"/>
  <c r="AL59" i="16"/>
  <c r="AS64" i="16"/>
  <c r="AQ64" i="16"/>
  <c r="AJ64" i="16"/>
  <c r="AL64" i="16"/>
  <c r="AR64" i="16"/>
  <c r="AK64" i="16"/>
  <c r="AT64" i="16"/>
  <c r="AT66" i="16"/>
  <c r="AR66" i="16"/>
  <c r="AK66" i="16"/>
  <c r="AS65" i="16"/>
  <c r="AL65" i="16"/>
  <c r="AQ65" i="16"/>
  <c r="AJ65" i="16"/>
  <c r="AT65" i="16"/>
  <c r="AR65" i="16"/>
  <c r="AK65" i="16"/>
  <c r="CD33" i="7"/>
  <c r="CS33" i="7"/>
  <c r="CJ33" i="7"/>
  <c r="CQ33" i="7"/>
  <c r="CF33" i="7"/>
  <c r="CS37" i="7"/>
  <c r="CJ37" i="7"/>
  <c r="CD37" i="7"/>
  <c r="CF37" i="7"/>
  <c r="CQ37" i="7"/>
  <c r="CQ38" i="7"/>
  <c r="CS38" i="7"/>
  <c r="CJ38" i="7"/>
  <c r="CD38" i="7"/>
  <c r="CF38" i="7"/>
  <c r="CR38" i="7"/>
  <c r="CC38" i="7"/>
  <c r="CK38" i="7"/>
  <c r="CE38" i="7"/>
  <c r="CP38" i="7"/>
  <c r="CD22" i="7"/>
  <c r="CF22" i="7"/>
  <c r="CS22" i="7"/>
  <c r="CQ22" i="7"/>
  <c r="CJ22" i="7"/>
  <c r="CQ39" i="7"/>
  <c r="CJ39" i="7"/>
  <c r="CD39" i="7"/>
  <c r="CS39" i="7"/>
  <c r="CF39" i="7"/>
  <c r="CK48" i="7"/>
  <c r="CR48" i="7"/>
  <c r="CP48" i="7"/>
  <c r="CD23" i="7"/>
  <c r="CQ23" i="7"/>
  <c r="CJ23" i="7"/>
  <c r="CF23" i="7"/>
  <c r="CS23" i="7"/>
  <c r="CS48" i="7"/>
  <c r="CQ48" i="7"/>
  <c r="CJ48" i="7"/>
  <c r="CP32" i="7"/>
  <c r="CE32" i="7"/>
  <c r="CK32" i="7"/>
  <c r="CC32" i="7"/>
  <c r="CR32" i="7"/>
  <c r="CE22" i="7"/>
  <c r="CC22" i="7"/>
  <c r="CR22" i="7"/>
  <c r="CK22" i="7"/>
  <c r="CP22" i="7"/>
  <c r="CK33" i="7"/>
  <c r="CC33" i="7"/>
  <c r="CR33" i="7"/>
  <c r="CP33" i="7"/>
  <c r="CE33" i="7"/>
  <c r="CE23" i="7"/>
  <c r="CC23" i="7"/>
  <c r="CP23" i="7"/>
  <c r="CK23" i="7"/>
  <c r="CR23" i="7"/>
  <c r="CR37" i="7"/>
  <c r="CC37" i="7"/>
  <c r="CK37" i="7"/>
  <c r="CE37" i="7"/>
  <c r="CP37" i="7"/>
  <c r="CF32" i="7"/>
  <c r="CD32" i="7"/>
  <c r="CS32" i="7"/>
  <c r="CJ32" i="7"/>
  <c r="CQ32" i="7"/>
  <c r="CR13" i="7"/>
  <c r="CP13" i="7"/>
  <c r="CS13" i="7"/>
  <c r="CC54" i="6"/>
  <c r="CG54" i="6"/>
  <c r="CE54" i="6"/>
  <c r="DN43" i="5"/>
  <c r="DN42" i="5"/>
  <c r="DN41" i="5"/>
  <c r="DN40" i="5"/>
  <c r="DN39" i="5"/>
  <c r="DN38" i="5"/>
  <c r="DN36" i="5"/>
  <c r="DN37" i="5"/>
  <c r="DN34" i="5"/>
  <c r="DN30" i="5"/>
  <c r="DN31" i="5"/>
  <c r="DP29" i="5"/>
  <c r="DN32" i="5"/>
  <c r="DN33" i="5"/>
  <c r="DN35" i="5"/>
  <c r="C29" i="5"/>
  <c r="C66" i="16"/>
  <c r="C48" i="7"/>
  <c r="C58" i="16"/>
  <c r="C32" i="7"/>
  <c r="C82" i="5"/>
  <c r="C57" i="4"/>
  <c r="C33" i="7"/>
  <c r="C60" i="16"/>
  <c r="C65" i="16"/>
  <c r="C67" i="16"/>
  <c r="C13" i="7"/>
  <c r="C63" i="16"/>
  <c r="C74" i="5"/>
  <c r="C59" i="16"/>
  <c r="C61" i="16"/>
  <c r="C64" i="16"/>
  <c r="S38" i="6"/>
  <c r="R38" i="6"/>
  <c r="Q38" i="6"/>
  <c r="P38" i="6"/>
  <c r="M38" i="6"/>
  <c r="L38" i="6"/>
  <c r="K38" i="6"/>
  <c r="J38" i="6"/>
  <c r="W29" i="6"/>
  <c r="V29" i="6"/>
  <c r="U29" i="6"/>
  <c r="T29" i="6"/>
  <c r="S29" i="6"/>
  <c r="R29" i="6"/>
  <c r="Q29" i="6"/>
  <c r="P29" i="6"/>
  <c r="S20" i="6"/>
  <c r="R20" i="6"/>
  <c r="S15" i="6"/>
  <c r="R15" i="6"/>
  <c r="Q20" i="6"/>
  <c r="P20" i="6"/>
  <c r="Q15" i="6"/>
  <c r="P15" i="6"/>
  <c r="M20" i="6"/>
  <c r="L20" i="6"/>
  <c r="M15" i="6"/>
  <c r="L15" i="6"/>
  <c r="O20" i="6"/>
  <c r="N20" i="6"/>
  <c r="O15" i="6"/>
  <c r="N15" i="6"/>
  <c r="AA20" i="6"/>
  <c r="Z20" i="6"/>
  <c r="AA15" i="6"/>
  <c r="Z15" i="6"/>
  <c r="CG43" i="4" l="1"/>
  <c r="AS21" i="4"/>
  <c r="AL13" i="5"/>
  <c r="AB56" i="6"/>
  <c r="AB57" i="6"/>
  <c r="AB37" i="6"/>
  <c r="AB35" i="6"/>
  <c r="AB36" i="6"/>
  <c r="AB19" i="6"/>
  <c r="AB18" i="6"/>
  <c r="AB14" i="6"/>
  <c r="AB17" i="6"/>
  <c r="AB16" i="6"/>
  <c r="AB13" i="6"/>
  <c r="AY94" i="7"/>
  <c r="CI13" i="7"/>
  <c r="R51" i="16"/>
  <c r="R59" i="16"/>
  <c r="R63" i="16"/>
  <c r="R64" i="16"/>
  <c r="R67" i="16"/>
  <c r="R60" i="16"/>
  <c r="R65" i="16"/>
  <c r="R61" i="16"/>
  <c r="R52" i="16"/>
  <c r="R66" i="16"/>
  <c r="AY110" i="7"/>
  <c r="R69" i="7"/>
  <c r="AY100" i="7"/>
  <c r="AL82" i="5"/>
  <c r="AL74" i="5"/>
  <c r="AL69" i="5"/>
  <c r="CU33" i="7"/>
  <c r="CT33" i="7"/>
  <c r="CI33" i="7"/>
  <c r="CV33" i="7"/>
  <c r="CU48" i="7"/>
  <c r="CT48" i="7"/>
  <c r="CI48" i="7"/>
  <c r="CV48" i="7"/>
  <c r="CV32" i="7"/>
  <c r="CU32" i="7"/>
  <c r="CT32" i="7"/>
  <c r="CI32" i="7"/>
  <c r="CV13" i="7"/>
  <c r="CU13" i="7"/>
  <c r="CT13" i="7"/>
  <c r="AB54" i="6"/>
  <c r="AA21" i="6"/>
  <c r="Q21" i="6"/>
  <c r="L21" i="6"/>
  <c r="M21" i="6"/>
  <c r="N21" i="6"/>
  <c r="R21" i="6"/>
  <c r="O21" i="6"/>
  <c r="S21" i="6"/>
  <c r="Z21" i="6"/>
  <c r="P21" i="6"/>
  <c r="AY33" i="7" l="1"/>
  <c r="AY48" i="7"/>
  <c r="AY32" i="7"/>
  <c r="AY13" i="7"/>
  <c r="M73" i="17"/>
  <c r="L73" i="17"/>
  <c r="M71" i="17"/>
  <c r="L71" i="17"/>
  <c r="M64" i="17"/>
  <c r="L64" i="17"/>
  <c r="M59" i="17"/>
  <c r="L59" i="17"/>
  <c r="M56" i="17"/>
  <c r="L56" i="17"/>
  <c r="K73" i="17"/>
  <c r="J73" i="17"/>
  <c r="K71" i="17"/>
  <c r="J71" i="17"/>
  <c r="K64" i="17"/>
  <c r="J64" i="17"/>
  <c r="K59" i="17"/>
  <c r="J59" i="17"/>
  <c r="K56" i="17"/>
  <c r="J56" i="17"/>
  <c r="I73" i="17"/>
  <c r="H73" i="17"/>
  <c r="I71" i="17"/>
  <c r="H71" i="17"/>
  <c r="I64" i="17"/>
  <c r="H64" i="17"/>
  <c r="I59" i="17"/>
  <c r="H59" i="17"/>
  <c r="I56" i="17"/>
  <c r="H56" i="17"/>
  <c r="DT45" i="17" l="1"/>
  <c r="CE45" i="17"/>
  <c r="CC45" i="17"/>
  <c r="DR45" i="17"/>
  <c r="DU45" i="17"/>
  <c r="CF45" i="17"/>
  <c r="DV45" i="17"/>
  <c r="CG45" i="17"/>
  <c r="DW45" i="17"/>
  <c r="CH45" i="17"/>
  <c r="DS45" i="17"/>
  <c r="CD45" i="17"/>
  <c r="E71" i="5"/>
  <c r="D71" i="5"/>
  <c r="E68" i="5"/>
  <c r="D68" i="5"/>
  <c r="E59" i="5"/>
  <c r="D59" i="5"/>
  <c r="E51" i="5"/>
  <c r="D51" i="5"/>
  <c r="E37" i="5"/>
  <c r="D37" i="5"/>
  <c r="CD59" i="5" l="1"/>
  <c r="DN59" i="5"/>
  <c r="CB59" i="5"/>
  <c r="DL59" i="5"/>
  <c r="CC68" i="5"/>
  <c r="DM68" i="5"/>
  <c r="CA68" i="5"/>
  <c r="DK68" i="5"/>
  <c r="CD71" i="5"/>
  <c r="DN71" i="5"/>
  <c r="CB71" i="5"/>
  <c r="DL71" i="5"/>
  <c r="CC59" i="5"/>
  <c r="DM59" i="5"/>
  <c r="CA59" i="5"/>
  <c r="DK59" i="5"/>
  <c r="CD68" i="5"/>
  <c r="DN68" i="5"/>
  <c r="CB68" i="5"/>
  <c r="DL68" i="5"/>
  <c r="CC71" i="5"/>
  <c r="DM71" i="5"/>
  <c r="CA71" i="5"/>
  <c r="DK71" i="5"/>
  <c r="CC37" i="5"/>
  <c r="CA37" i="5"/>
  <c r="CD37" i="5"/>
  <c r="CB37" i="5"/>
  <c r="CA51" i="5"/>
  <c r="DM51" i="5"/>
  <c r="CC51" i="5"/>
  <c r="DK51" i="5"/>
  <c r="DN51" i="5"/>
  <c r="CB51" i="5"/>
  <c r="DL51" i="5"/>
  <c r="CD51" i="5"/>
  <c r="DM42" i="5"/>
  <c r="DM43" i="5"/>
  <c r="DM40" i="5"/>
  <c r="DM39" i="5"/>
  <c r="DP37" i="5"/>
  <c r="DM36" i="5"/>
  <c r="C68" i="5"/>
  <c r="C37" i="5"/>
  <c r="C71" i="5"/>
  <c r="C51" i="5"/>
  <c r="E67" i="5"/>
  <c r="D67" i="5"/>
  <c r="E58" i="5"/>
  <c r="D58" i="5"/>
  <c r="E36" i="5"/>
  <c r="D36" i="5"/>
  <c r="C36" i="5" l="1"/>
  <c r="AL71" i="5"/>
  <c r="AL59" i="5"/>
  <c r="AL68" i="5"/>
  <c r="DK67" i="5"/>
  <c r="CA67" i="5"/>
  <c r="DM67" i="5"/>
  <c r="CC67" i="5"/>
  <c r="AL51" i="5"/>
  <c r="DL67" i="5"/>
  <c r="CB67" i="5"/>
  <c r="DN67" i="5"/>
  <c r="CD67" i="5"/>
  <c r="CB36" i="5"/>
  <c r="CD36" i="5"/>
  <c r="DK58" i="5"/>
  <c r="CA58" i="5"/>
  <c r="DM58" i="5"/>
  <c r="CC58" i="5"/>
  <c r="AL37" i="5"/>
  <c r="CA36" i="5"/>
  <c r="CC36" i="5"/>
  <c r="DL58" i="5"/>
  <c r="CB58" i="5"/>
  <c r="DN58" i="5"/>
  <c r="CD58" i="5"/>
  <c r="DP36" i="5"/>
  <c r="DL36" i="5"/>
  <c r="DK36" i="5"/>
  <c r="DO36" i="5"/>
  <c r="C67" i="5"/>
  <c r="C58" i="5"/>
  <c r="AL36" i="5" l="1"/>
  <c r="AL67" i="5"/>
  <c r="AL58" i="5"/>
  <c r="E147" i="17"/>
  <c r="D147" i="17"/>
  <c r="CC147" i="17" s="1"/>
  <c r="CA147" i="17" l="1"/>
  <c r="CD147" i="17"/>
  <c r="CB147" i="17"/>
  <c r="DR147" i="17"/>
  <c r="DP147" i="17"/>
  <c r="DS147" i="17"/>
  <c r="DQ147" i="17"/>
  <c r="J112" i="17" l="1"/>
  <c r="D133" i="17" l="1"/>
  <c r="K135" i="17"/>
  <c r="L135" i="17"/>
  <c r="F135" i="17"/>
  <c r="E134" i="17"/>
  <c r="D134" i="17"/>
  <c r="E133" i="17"/>
  <c r="E132" i="17"/>
  <c r="D132" i="17"/>
  <c r="E83" i="4"/>
  <c r="E78" i="4"/>
  <c r="CE78" i="4" s="1"/>
  <c r="E84" i="4"/>
  <c r="D84" i="4"/>
  <c r="D83" i="4"/>
  <c r="E82" i="4"/>
  <c r="CE82" i="4" s="1"/>
  <c r="D82" i="4"/>
  <c r="E81" i="4"/>
  <c r="CE81" i="4" s="1"/>
  <c r="D81" i="4"/>
  <c r="E80" i="4"/>
  <c r="D78" i="4"/>
  <c r="E77" i="4"/>
  <c r="CE77" i="4" s="1"/>
  <c r="D60" i="4"/>
  <c r="E59" i="4"/>
  <c r="CD59" i="4" s="1"/>
  <c r="D59" i="4"/>
  <c r="D58" i="4"/>
  <c r="CE80" i="4" l="1"/>
  <c r="C80" i="4"/>
  <c r="CO84" i="4"/>
  <c r="CQ84" i="4"/>
  <c r="CE84" i="4"/>
  <c r="CC84" i="4"/>
  <c r="CO83" i="4"/>
  <c r="CQ83" i="4"/>
  <c r="CC83" i="4"/>
  <c r="CE83" i="4"/>
  <c r="CP83" i="4"/>
  <c r="CD83" i="4"/>
  <c r="CN83" i="4"/>
  <c r="CB83" i="4"/>
  <c r="AR83" i="4" s="1"/>
  <c r="CB84" i="4"/>
  <c r="CN84" i="4"/>
  <c r="CP84" i="4"/>
  <c r="CD84" i="4"/>
  <c r="CA60" i="4"/>
  <c r="CC60" i="4"/>
  <c r="CM60" i="4"/>
  <c r="CO60" i="4"/>
  <c r="CQ82" i="4"/>
  <c r="CO82" i="4"/>
  <c r="CC82" i="4"/>
  <c r="CP80" i="4"/>
  <c r="CN80" i="4"/>
  <c r="CD80" i="4"/>
  <c r="CB80" i="4"/>
  <c r="CP82" i="4"/>
  <c r="CN82" i="4"/>
  <c r="CD82" i="4"/>
  <c r="CB82" i="4"/>
  <c r="AR82" i="4" s="1"/>
  <c r="CQ77" i="4"/>
  <c r="CO77" i="4"/>
  <c r="CC77" i="4"/>
  <c r="AR77" i="4" s="1"/>
  <c r="CQ80" i="4"/>
  <c r="CO80" i="4"/>
  <c r="CC80" i="4"/>
  <c r="CQ78" i="4"/>
  <c r="CO78" i="4"/>
  <c r="CC78" i="4"/>
  <c r="CP81" i="4"/>
  <c r="CN81" i="4"/>
  <c r="CD81" i="4"/>
  <c r="CB81" i="4"/>
  <c r="CP59" i="4"/>
  <c r="CB59" i="4"/>
  <c r="CN59" i="4"/>
  <c r="CP78" i="4"/>
  <c r="CN78" i="4"/>
  <c r="CD78" i="4"/>
  <c r="CB78" i="4"/>
  <c r="CA58" i="4"/>
  <c r="CO58" i="4"/>
  <c r="CC58" i="4"/>
  <c r="CM58" i="4"/>
  <c r="CA59" i="4"/>
  <c r="CC59" i="4"/>
  <c r="CM59" i="4"/>
  <c r="CO59" i="4"/>
  <c r="CQ81" i="4"/>
  <c r="CO81" i="4"/>
  <c r="CC81" i="4"/>
  <c r="C134" i="17"/>
  <c r="CG134" i="17" s="1"/>
  <c r="M134" i="17" s="1"/>
  <c r="C82" i="4"/>
  <c r="C77" i="4"/>
  <c r="C79" i="4"/>
  <c r="C83" i="4"/>
  <c r="C78" i="4"/>
  <c r="C81" i="4"/>
  <c r="C84" i="4"/>
  <c r="C132" i="17"/>
  <c r="CG132" i="17" s="1"/>
  <c r="M132" i="17" s="1"/>
  <c r="C133" i="17"/>
  <c r="CG133" i="17" s="1"/>
  <c r="M133" i="17" s="1"/>
  <c r="C59" i="4"/>
  <c r="C60" i="4"/>
  <c r="C58" i="4"/>
  <c r="C87" i="5"/>
  <c r="C86" i="5"/>
  <c r="C85" i="5"/>
  <c r="C84" i="5"/>
  <c r="E81" i="5"/>
  <c r="D81" i="5"/>
  <c r="E80" i="5"/>
  <c r="D80" i="5"/>
  <c r="E73" i="5"/>
  <c r="D73" i="5"/>
  <c r="E72" i="5"/>
  <c r="D72" i="5"/>
  <c r="E70" i="5"/>
  <c r="D70" i="5"/>
  <c r="E65" i="5"/>
  <c r="D65" i="5"/>
  <c r="E64" i="5"/>
  <c r="D64" i="5"/>
  <c r="E63" i="5"/>
  <c r="D63" i="5"/>
  <c r="E60" i="5"/>
  <c r="D60" i="5"/>
  <c r="E57" i="5"/>
  <c r="D57" i="5"/>
  <c r="E56" i="5"/>
  <c r="D56" i="5"/>
  <c r="E55" i="5"/>
  <c r="D55" i="5"/>
  <c r="E54" i="5"/>
  <c r="D54" i="5"/>
  <c r="E53" i="5"/>
  <c r="D53" i="5"/>
  <c r="E52" i="5"/>
  <c r="D52" i="5"/>
  <c r="E50" i="5"/>
  <c r="D50" i="5"/>
  <c r="AR84" i="4" l="1"/>
  <c r="AR81" i="4"/>
  <c r="AR80" i="4"/>
  <c r="AR78" i="4"/>
  <c r="AR58" i="4"/>
  <c r="AR60" i="4"/>
  <c r="AR59" i="4"/>
  <c r="DN60" i="5"/>
  <c r="CB60" i="5"/>
  <c r="DL60" i="5"/>
  <c r="CD60" i="5"/>
  <c r="DN63" i="5"/>
  <c r="CB63" i="5"/>
  <c r="DL63" i="5"/>
  <c r="CD63" i="5"/>
  <c r="DK73" i="5"/>
  <c r="CA73" i="5"/>
  <c r="DM73" i="5"/>
  <c r="CC73" i="5"/>
  <c r="CA63" i="5"/>
  <c r="DM63" i="5"/>
  <c r="CC63" i="5"/>
  <c r="DK63" i="5"/>
  <c r="CA54" i="5"/>
  <c r="DM54" i="5"/>
  <c r="CC54" i="5"/>
  <c r="DK54" i="5"/>
  <c r="DL64" i="5"/>
  <c r="CB64" i="5"/>
  <c r="DN64" i="5"/>
  <c r="CD64" i="5"/>
  <c r="DK70" i="5"/>
  <c r="CA70" i="5"/>
  <c r="DM70" i="5"/>
  <c r="CC70" i="5"/>
  <c r="DK52" i="5"/>
  <c r="CA52" i="5"/>
  <c r="DM52" i="5"/>
  <c r="CC52" i="5"/>
  <c r="DL73" i="5"/>
  <c r="CB73" i="5"/>
  <c r="DN73" i="5"/>
  <c r="CD73" i="5"/>
  <c r="CD53" i="5"/>
  <c r="DN53" i="5"/>
  <c r="CB53" i="5"/>
  <c r="DL53" i="5"/>
  <c r="DK81" i="5"/>
  <c r="CC81" i="5"/>
  <c r="CA81" i="5"/>
  <c r="DM81" i="5"/>
  <c r="CC65" i="5"/>
  <c r="DM65" i="5"/>
  <c r="CA65" i="5"/>
  <c r="DK65" i="5"/>
  <c r="CD65" i="5"/>
  <c r="DN65" i="5"/>
  <c r="CB65" i="5"/>
  <c r="DL65" i="5"/>
  <c r="DL70" i="5"/>
  <c r="CB70" i="5"/>
  <c r="DN70" i="5"/>
  <c r="CD70" i="5"/>
  <c r="DL52" i="5"/>
  <c r="CB52" i="5"/>
  <c r="DN52" i="5"/>
  <c r="CD52" i="5"/>
  <c r="DM80" i="5"/>
  <c r="DK80" i="5"/>
  <c r="CC80" i="5"/>
  <c r="CA80" i="5"/>
  <c r="DK64" i="5"/>
  <c r="CA64" i="5"/>
  <c r="DM64" i="5"/>
  <c r="CC64" i="5"/>
  <c r="DL81" i="5"/>
  <c r="CD81" i="5"/>
  <c r="CB81" i="5"/>
  <c r="DN81" i="5"/>
  <c r="DL55" i="5"/>
  <c r="CB55" i="5"/>
  <c r="DN55" i="5"/>
  <c r="CD55" i="5"/>
  <c r="CA57" i="5"/>
  <c r="DM57" i="5"/>
  <c r="CC57" i="5"/>
  <c r="DK57" i="5"/>
  <c r="CA60" i="5"/>
  <c r="DM60" i="5"/>
  <c r="CC60" i="5"/>
  <c r="DK60" i="5"/>
  <c r="CC53" i="5"/>
  <c r="DM53" i="5"/>
  <c r="CA53" i="5"/>
  <c r="DK53" i="5"/>
  <c r="DN80" i="5"/>
  <c r="DL80" i="5"/>
  <c r="CD80" i="5"/>
  <c r="CB80" i="5"/>
  <c r="DN54" i="5"/>
  <c r="CB54" i="5"/>
  <c r="DL54" i="5"/>
  <c r="CD54" i="5"/>
  <c r="DK55" i="5"/>
  <c r="CA55" i="5"/>
  <c r="DM55" i="5"/>
  <c r="CC55" i="5"/>
  <c r="CC56" i="5"/>
  <c r="DM56" i="5"/>
  <c r="CA56" i="5"/>
  <c r="DK56" i="5"/>
  <c r="CD56" i="5"/>
  <c r="DN56" i="5"/>
  <c r="CB56" i="5"/>
  <c r="DL56" i="5"/>
  <c r="CC50" i="5"/>
  <c r="DM50" i="5"/>
  <c r="CA50" i="5"/>
  <c r="DK50" i="5"/>
  <c r="CA72" i="5"/>
  <c r="DM72" i="5"/>
  <c r="CC72" i="5"/>
  <c r="DK72" i="5"/>
  <c r="CD50" i="5"/>
  <c r="DN50" i="5"/>
  <c r="CB50" i="5"/>
  <c r="DL50" i="5"/>
  <c r="DN57" i="5"/>
  <c r="CB57" i="5"/>
  <c r="DL57" i="5"/>
  <c r="CD57" i="5"/>
  <c r="DN72" i="5"/>
  <c r="CB72" i="5"/>
  <c r="DL72" i="5"/>
  <c r="CD72" i="5"/>
  <c r="C55" i="5"/>
  <c r="C77" i="5"/>
  <c r="C65" i="5"/>
  <c r="C81" i="5"/>
  <c r="C80" i="5"/>
  <c r="C54" i="5"/>
  <c r="C50" i="5"/>
  <c r="C53" i="5"/>
  <c r="C60" i="5"/>
  <c r="C63" i="5"/>
  <c r="C49" i="5"/>
  <c r="C59" i="5"/>
  <c r="C64" i="5"/>
  <c r="C70" i="5"/>
  <c r="C73" i="5"/>
  <c r="C69" i="5"/>
  <c r="C57" i="5"/>
  <c r="C56" i="5"/>
  <c r="C66" i="5"/>
  <c r="C52" i="5"/>
  <c r="C62" i="5"/>
  <c r="C72" i="5"/>
  <c r="J135" i="17"/>
  <c r="I135" i="17"/>
  <c r="H135" i="17"/>
  <c r="G135" i="17"/>
  <c r="AL53" i="5" l="1"/>
  <c r="AL65" i="5"/>
  <c r="AL81" i="5"/>
  <c r="AL64" i="5"/>
  <c r="AL52" i="5"/>
  <c r="AL73" i="5"/>
  <c r="AL56" i="5"/>
  <c r="AL57" i="5"/>
  <c r="AL54" i="5"/>
  <c r="AL72" i="5"/>
  <c r="AL80" i="5"/>
  <c r="AL60" i="5"/>
  <c r="AL50" i="5"/>
  <c r="AL55" i="5"/>
  <c r="AL70" i="5"/>
  <c r="AL63" i="5"/>
  <c r="E135" i="17"/>
  <c r="D135" i="17"/>
  <c r="C135" i="17" l="1"/>
  <c r="E117" i="7" l="1"/>
  <c r="D117" i="7"/>
  <c r="CX117" i="7" s="1"/>
  <c r="E116" i="7"/>
  <c r="D116" i="7"/>
  <c r="CX116" i="7" s="1"/>
  <c r="E115" i="7"/>
  <c r="D115" i="7"/>
  <c r="CX115" i="7" s="1"/>
  <c r="E114" i="7"/>
  <c r="D114" i="7"/>
  <c r="CX114" i="7" s="1"/>
  <c r="E52" i="7"/>
  <c r="D52" i="7"/>
  <c r="CX52" i="7" s="1"/>
  <c r="E55" i="7"/>
  <c r="D55" i="7"/>
  <c r="CX55" i="7" s="1"/>
  <c r="E54" i="7"/>
  <c r="D54" i="7"/>
  <c r="CX54" i="7" s="1"/>
  <c r="E53" i="7"/>
  <c r="D53" i="7"/>
  <c r="CX53" i="7" s="1"/>
  <c r="CN114" i="7" l="1"/>
  <c r="CA114" i="7"/>
  <c r="CW114" i="7"/>
  <c r="CB114" i="7"/>
  <c r="CO114" i="7"/>
  <c r="CN54" i="7"/>
  <c r="CO54" i="7"/>
  <c r="CA54" i="7"/>
  <c r="CW54" i="7"/>
  <c r="CN55" i="7"/>
  <c r="CO55" i="7"/>
  <c r="CW55" i="7"/>
  <c r="CA55" i="7"/>
  <c r="CN52" i="7"/>
  <c r="CO52" i="7"/>
  <c r="CA52" i="7"/>
  <c r="CW52" i="7"/>
  <c r="CN53" i="7"/>
  <c r="CO53" i="7"/>
  <c r="CA53" i="7"/>
  <c r="CW53" i="7"/>
  <c r="CN115" i="7"/>
  <c r="CA115" i="7"/>
  <c r="CW115" i="7"/>
  <c r="CB115" i="7"/>
  <c r="CO115" i="7"/>
  <c r="CN116" i="7"/>
  <c r="CA116" i="7"/>
  <c r="CW116" i="7"/>
  <c r="CB116" i="7"/>
  <c r="CO116" i="7"/>
  <c r="CN117" i="7"/>
  <c r="CA117" i="7"/>
  <c r="CW117" i="7"/>
  <c r="CB117" i="7"/>
  <c r="CO117" i="7"/>
  <c r="CR115" i="7"/>
  <c r="CK115" i="7"/>
  <c r="CE115" i="7"/>
  <c r="CC115" i="7"/>
  <c r="CP115" i="7"/>
  <c r="CS115" i="7"/>
  <c r="CQ115" i="7"/>
  <c r="CD115" i="7"/>
  <c r="CJ115" i="7"/>
  <c r="CF115" i="7"/>
  <c r="CK116" i="7"/>
  <c r="CC116" i="7"/>
  <c r="CP116" i="7"/>
  <c r="CE116" i="7"/>
  <c r="CR116" i="7"/>
  <c r="CP114" i="7"/>
  <c r="CE114" i="7"/>
  <c r="CR114" i="7"/>
  <c r="CC114" i="7"/>
  <c r="CK114" i="7"/>
  <c r="CJ116" i="7"/>
  <c r="CS116" i="7"/>
  <c r="CF116" i="7"/>
  <c r="CD116" i="7"/>
  <c r="CQ116" i="7"/>
  <c r="CE117" i="7"/>
  <c r="CK117" i="7"/>
  <c r="CC117" i="7"/>
  <c r="CR117" i="7"/>
  <c r="CP117" i="7"/>
  <c r="CQ114" i="7"/>
  <c r="CF114" i="7"/>
  <c r="CJ114" i="7"/>
  <c r="CS114" i="7"/>
  <c r="CD114" i="7"/>
  <c r="CD117" i="7"/>
  <c r="CQ117" i="7"/>
  <c r="CJ117" i="7"/>
  <c r="CF117" i="7"/>
  <c r="CS117" i="7"/>
  <c r="CC53" i="7"/>
  <c r="CR53" i="7"/>
  <c r="CE53" i="7"/>
  <c r="CK53" i="7"/>
  <c r="CP53" i="7"/>
  <c r="CR54" i="7"/>
  <c r="CC54" i="7"/>
  <c r="CK54" i="7"/>
  <c r="CP54" i="7"/>
  <c r="CE54" i="7"/>
  <c r="CS54" i="7"/>
  <c r="CJ54" i="7"/>
  <c r="CQ54" i="7"/>
  <c r="CD54" i="7"/>
  <c r="CF54" i="7"/>
  <c r="CS53" i="7"/>
  <c r="CD53" i="7"/>
  <c r="CJ53" i="7"/>
  <c r="CQ53" i="7"/>
  <c r="CF53" i="7"/>
  <c r="CP55" i="7"/>
  <c r="CC55" i="7"/>
  <c r="CE55" i="7"/>
  <c r="CK55" i="7"/>
  <c r="CR55" i="7"/>
  <c r="CP52" i="7"/>
  <c r="CK52" i="7"/>
  <c r="CC52" i="7"/>
  <c r="CE52" i="7"/>
  <c r="CR52" i="7"/>
  <c r="CD55" i="7"/>
  <c r="CF55" i="7"/>
  <c r="CJ55" i="7"/>
  <c r="CS55" i="7"/>
  <c r="CQ55" i="7"/>
  <c r="CQ52" i="7"/>
  <c r="CJ52" i="7"/>
  <c r="CD52" i="7"/>
  <c r="CS52" i="7"/>
  <c r="CF52" i="7"/>
  <c r="C53" i="7"/>
  <c r="C55" i="7"/>
  <c r="C114" i="7"/>
  <c r="C52" i="7"/>
  <c r="C54" i="7"/>
  <c r="C117" i="7"/>
  <c r="C115" i="7"/>
  <c r="C116" i="7"/>
  <c r="CU116" i="7" l="1"/>
  <c r="CT116" i="7"/>
  <c r="CI116" i="7"/>
  <c r="CV116" i="7"/>
  <c r="CI115" i="7"/>
  <c r="CV115" i="7"/>
  <c r="CT115" i="7"/>
  <c r="CU115" i="7"/>
  <c r="CV117" i="7"/>
  <c r="CU117" i="7"/>
  <c r="CI117" i="7"/>
  <c r="CT117" i="7"/>
  <c r="CT114" i="7"/>
  <c r="CI114" i="7"/>
  <c r="CV114" i="7"/>
  <c r="CU114" i="7"/>
  <c r="CV54" i="7"/>
  <c r="CU54" i="7"/>
  <c r="CI54" i="7"/>
  <c r="CT54" i="7"/>
  <c r="CV52" i="7"/>
  <c r="CU52" i="7"/>
  <c r="CT52" i="7"/>
  <c r="CI52" i="7"/>
  <c r="CV55" i="7"/>
  <c r="CU55" i="7"/>
  <c r="CI55" i="7"/>
  <c r="CT55" i="7"/>
  <c r="CV53" i="7"/>
  <c r="CU53" i="7"/>
  <c r="CT53" i="7"/>
  <c r="CI53" i="7"/>
  <c r="D56" i="7"/>
  <c r="CX56" i="7" s="1"/>
  <c r="E56" i="7"/>
  <c r="AY116" i="7" l="1"/>
  <c r="CN56" i="7"/>
  <c r="CO56" i="7"/>
  <c r="CW56" i="7"/>
  <c r="CA56" i="7"/>
  <c r="AY115" i="7"/>
  <c r="AY53" i="7"/>
  <c r="AY114" i="7"/>
  <c r="AY117" i="7"/>
  <c r="CE56" i="7"/>
  <c r="CR56" i="7"/>
  <c r="CK56" i="7"/>
  <c r="CC56" i="7"/>
  <c r="CP56" i="7"/>
  <c r="CF56" i="7"/>
  <c r="CS56" i="7"/>
  <c r="CD56" i="7"/>
  <c r="CQ56" i="7"/>
  <c r="CJ56" i="7"/>
  <c r="AY55" i="7"/>
  <c r="AY52" i="7"/>
  <c r="AY54" i="7"/>
  <c r="C56" i="7"/>
  <c r="CU56" i="7" l="1"/>
  <c r="CT56" i="7"/>
  <c r="CI56" i="7"/>
  <c r="CV56" i="7"/>
  <c r="AY56" i="7" l="1"/>
  <c r="L124" i="2"/>
  <c r="K124" i="2"/>
  <c r="J124" i="2"/>
  <c r="I124" i="2"/>
  <c r="H124" i="2"/>
  <c r="G124" i="2"/>
  <c r="F124" i="2"/>
  <c r="E124" i="2"/>
  <c r="C124" i="2" l="1"/>
  <c r="D14" i="12" l="1"/>
  <c r="C25" i="2" l="1"/>
  <c r="D41" i="7"/>
  <c r="CX41" i="7" s="1"/>
  <c r="CR41" i="7" l="1"/>
  <c r="CK41" i="7"/>
  <c r="CC41" i="7"/>
  <c r="CP41" i="7"/>
  <c r="CE41" i="7"/>
  <c r="E120" i="7"/>
  <c r="E119" i="7"/>
  <c r="E118" i="7"/>
  <c r="E113" i="7"/>
  <c r="E112" i="7"/>
  <c r="E111" i="7"/>
  <c r="E108" i="7"/>
  <c r="CW108" i="7" s="1"/>
  <c r="E107" i="7"/>
  <c r="CW107" i="7" s="1"/>
  <c r="E105" i="7"/>
  <c r="E104" i="7"/>
  <c r="E103" i="7"/>
  <c r="E102" i="7"/>
  <c r="E101" i="7"/>
  <c r="E98" i="7"/>
  <c r="E97" i="7"/>
  <c r="E96" i="7"/>
  <c r="E93" i="7"/>
  <c r="E92" i="7"/>
  <c r="E91" i="7"/>
  <c r="E89" i="7"/>
  <c r="E88" i="7"/>
  <c r="E87" i="7"/>
  <c r="E86" i="7"/>
  <c r="E82" i="7"/>
  <c r="E81" i="7"/>
  <c r="D120" i="7"/>
  <c r="CX120" i="7" s="1"/>
  <c r="D118" i="7"/>
  <c r="CX118" i="7" s="1"/>
  <c r="D113" i="7"/>
  <c r="CX113" i="7" s="1"/>
  <c r="D112" i="7"/>
  <c r="CX112" i="7" s="1"/>
  <c r="D111" i="7"/>
  <c r="CX111" i="7" s="1"/>
  <c r="D108" i="7"/>
  <c r="CX108" i="7" s="1"/>
  <c r="D107" i="7"/>
  <c r="CX107" i="7" s="1"/>
  <c r="D106" i="7"/>
  <c r="CX106" i="7" s="1"/>
  <c r="D105" i="7"/>
  <c r="CX105" i="7" s="1"/>
  <c r="D104" i="7"/>
  <c r="CX104" i="7" s="1"/>
  <c r="D103" i="7"/>
  <c r="CX103" i="7" s="1"/>
  <c r="D102" i="7"/>
  <c r="CX102" i="7" s="1"/>
  <c r="D101" i="7"/>
  <c r="CX101" i="7" s="1"/>
  <c r="D98" i="7"/>
  <c r="CX98" i="7" s="1"/>
  <c r="D97" i="7"/>
  <c r="CX97" i="7" s="1"/>
  <c r="D96" i="7"/>
  <c r="CX96" i="7" s="1"/>
  <c r="D93" i="7"/>
  <c r="CX93" i="7" s="1"/>
  <c r="D92" i="7"/>
  <c r="CX92" i="7" s="1"/>
  <c r="D91" i="7"/>
  <c r="CX91" i="7" s="1"/>
  <c r="D89" i="7"/>
  <c r="CX89" i="7" s="1"/>
  <c r="D88" i="7"/>
  <c r="CX88" i="7" s="1"/>
  <c r="D87" i="7"/>
  <c r="CX87" i="7" s="1"/>
  <c r="D86" i="7"/>
  <c r="CX86" i="7" s="1"/>
  <c r="CX83" i="7"/>
  <c r="D82" i="7"/>
  <c r="CX82" i="7" s="1"/>
  <c r="D81" i="7"/>
  <c r="CX81" i="7" s="1"/>
  <c r="CW83" i="7" l="1"/>
  <c r="CB83" i="7"/>
  <c r="CA83" i="7"/>
  <c r="CO83" i="7"/>
  <c r="CN83" i="7"/>
  <c r="CW118" i="7"/>
  <c r="CB118" i="7"/>
  <c r="CO118" i="7"/>
  <c r="CN118" i="7"/>
  <c r="CA118" i="7"/>
  <c r="CB105" i="7"/>
  <c r="CO105" i="7"/>
  <c r="CN105" i="7"/>
  <c r="CA105" i="7"/>
  <c r="CW105" i="7"/>
  <c r="CO111" i="7"/>
  <c r="CN111" i="7"/>
  <c r="CA111" i="7"/>
  <c r="CW111" i="7"/>
  <c r="CB111" i="7"/>
  <c r="CN113" i="7"/>
  <c r="CA113" i="7"/>
  <c r="CW113" i="7"/>
  <c r="CB113" i="7"/>
  <c r="CO113" i="7"/>
  <c r="CN92" i="7"/>
  <c r="CA92" i="7"/>
  <c r="CW92" i="7"/>
  <c r="CB92" i="7"/>
  <c r="CO92" i="7"/>
  <c r="CB119" i="7"/>
  <c r="CO119" i="7"/>
  <c r="CN119" i="7"/>
  <c r="CA119" i="7"/>
  <c r="CW119" i="7"/>
  <c r="CN93" i="7"/>
  <c r="CA93" i="7"/>
  <c r="CW93" i="7"/>
  <c r="CB93" i="7"/>
  <c r="CO93" i="7"/>
  <c r="CB120" i="7"/>
  <c r="CO120" i="7"/>
  <c r="CN120" i="7"/>
  <c r="CA120" i="7"/>
  <c r="CW120" i="7"/>
  <c r="CO88" i="7"/>
  <c r="CN88" i="7"/>
  <c r="CB88" i="7"/>
  <c r="CW88" i="7"/>
  <c r="CA88" i="7"/>
  <c r="CN96" i="7"/>
  <c r="CA96" i="7"/>
  <c r="CW96" i="7"/>
  <c r="CB96" i="7"/>
  <c r="CO96" i="7"/>
  <c r="CN81" i="7"/>
  <c r="CW81" i="7"/>
  <c r="CO81" i="7"/>
  <c r="CB81" i="7"/>
  <c r="CA81" i="7"/>
  <c r="CO112" i="7"/>
  <c r="CN112" i="7"/>
  <c r="CA112" i="7"/>
  <c r="CW112" i="7"/>
  <c r="CB112" i="7"/>
  <c r="CN91" i="7"/>
  <c r="CA91" i="7"/>
  <c r="CW91" i="7"/>
  <c r="CB91" i="7"/>
  <c r="CO91" i="7"/>
  <c r="CN97" i="7"/>
  <c r="CA97" i="7"/>
  <c r="CW97" i="7"/>
  <c r="CW82" i="7"/>
  <c r="CB82" i="7"/>
  <c r="CO82" i="7"/>
  <c r="CA82" i="7"/>
  <c r="CN82" i="7"/>
  <c r="CO87" i="7"/>
  <c r="CN87" i="7"/>
  <c r="CW87" i="7"/>
  <c r="CB87" i="7"/>
  <c r="CA87" i="7"/>
  <c r="CN98" i="7"/>
  <c r="CA98" i="7"/>
  <c r="CW98" i="7"/>
  <c r="CB103" i="7"/>
  <c r="CO103" i="7"/>
  <c r="CN103" i="7"/>
  <c r="CA103" i="7"/>
  <c r="CW103" i="7"/>
  <c r="CO89" i="7"/>
  <c r="CN89" i="7"/>
  <c r="CB89" i="7"/>
  <c r="CA89" i="7"/>
  <c r="CW89" i="7"/>
  <c r="CB101" i="7"/>
  <c r="CO101" i="7"/>
  <c r="CN101" i="7"/>
  <c r="CA101" i="7"/>
  <c r="CW101" i="7"/>
  <c r="CB104" i="7"/>
  <c r="CO104" i="7"/>
  <c r="CN104" i="7"/>
  <c r="CA104" i="7"/>
  <c r="CW104" i="7"/>
  <c r="CO86" i="7"/>
  <c r="CN86" i="7"/>
  <c r="CW86" i="7"/>
  <c r="CB86" i="7"/>
  <c r="CA86" i="7"/>
  <c r="CB102" i="7"/>
  <c r="CO102" i="7"/>
  <c r="CN102" i="7"/>
  <c r="CA102" i="7"/>
  <c r="CW102" i="7"/>
  <c r="CJ92" i="7"/>
  <c r="CS92" i="7"/>
  <c r="CQ92" i="7"/>
  <c r="CD92" i="7"/>
  <c r="CF92" i="7"/>
  <c r="C119" i="7"/>
  <c r="CS119" i="7"/>
  <c r="CQ119" i="7"/>
  <c r="CD119" i="7"/>
  <c r="CJ119" i="7"/>
  <c r="CF119" i="7"/>
  <c r="CK86" i="7"/>
  <c r="CC86" i="7"/>
  <c r="CP86" i="7"/>
  <c r="CE86" i="7"/>
  <c r="CR86" i="7"/>
  <c r="CP97" i="7"/>
  <c r="CE97" i="7"/>
  <c r="CR97" i="7"/>
  <c r="CC97" i="7"/>
  <c r="CK97" i="7"/>
  <c r="CC107" i="7"/>
  <c r="CP107" i="7"/>
  <c r="CK107" i="7"/>
  <c r="CR107" i="7"/>
  <c r="CE107" i="7"/>
  <c r="CD82" i="7"/>
  <c r="CJ82" i="7"/>
  <c r="CS82" i="7"/>
  <c r="CQ82" i="7"/>
  <c r="CF82" i="7"/>
  <c r="CD93" i="7"/>
  <c r="CJ93" i="7"/>
  <c r="CQ93" i="7"/>
  <c r="CF93" i="7"/>
  <c r="CS93" i="7"/>
  <c r="CD105" i="7"/>
  <c r="CQ105" i="7"/>
  <c r="CJ105" i="7"/>
  <c r="CF105" i="7"/>
  <c r="CS105" i="7"/>
  <c r="CJ120" i="7"/>
  <c r="CS120" i="7"/>
  <c r="CF120" i="7"/>
  <c r="CD120" i="7"/>
  <c r="CQ120" i="7"/>
  <c r="CE83" i="7"/>
  <c r="CK83" i="7"/>
  <c r="CC83" i="7"/>
  <c r="CR83" i="7"/>
  <c r="CP83" i="7"/>
  <c r="CJ96" i="7"/>
  <c r="CS96" i="7"/>
  <c r="CQ96" i="7"/>
  <c r="CF96" i="7"/>
  <c r="CD96" i="7"/>
  <c r="CQ107" i="7"/>
  <c r="CF107" i="7"/>
  <c r="CS107" i="7"/>
  <c r="CJ107" i="7"/>
  <c r="CD107" i="7"/>
  <c r="CS81" i="7"/>
  <c r="CQ81" i="7"/>
  <c r="CF81" i="7"/>
  <c r="CJ81" i="7"/>
  <c r="CD81" i="7"/>
  <c r="CC98" i="7"/>
  <c r="CR98" i="7"/>
  <c r="CE98" i="7"/>
  <c r="CP98" i="7"/>
  <c r="CK98" i="7"/>
  <c r="CR111" i="7"/>
  <c r="CC111" i="7"/>
  <c r="CP111" i="7"/>
  <c r="CE111" i="7"/>
  <c r="CK111" i="7"/>
  <c r="CS108" i="7"/>
  <c r="CD108" i="7"/>
  <c r="CQ108" i="7"/>
  <c r="CJ108" i="7"/>
  <c r="CF108" i="7"/>
  <c r="CP102" i="7"/>
  <c r="CE102" i="7"/>
  <c r="CC102" i="7"/>
  <c r="CR102" i="7"/>
  <c r="CK102" i="7"/>
  <c r="CK112" i="7"/>
  <c r="CC112" i="7"/>
  <c r="CP112" i="7"/>
  <c r="CE112" i="7"/>
  <c r="CR112" i="7"/>
  <c r="CF87" i="7"/>
  <c r="CS87" i="7"/>
  <c r="CD87" i="7"/>
  <c r="CQ87" i="7"/>
  <c r="CJ87" i="7"/>
  <c r="CJ98" i="7"/>
  <c r="CS98" i="7"/>
  <c r="CQ98" i="7"/>
  <c r="CF98" i="7"/>
  <c r="CD98" i="7"/>
  <c r="CS111" i="7"/>
  <c r="CQ111" i="7"/>
  <c r="CD111" i="7"/>
  <c r="CJ111" i="7"/>
  <c r="CF111" i="7"/>
  <c r="CK96" i="7"/>
  <c r="CC96" i="7"/>
  <c r="CR96" i="7"/>
  <c r="CE96" i="7"/>
  <c r="CP96" i="7"/>
  <c r="CJ104" i="7"/>
  <c r="CS104" i="7"/>
  <c r="CF104" i="7"/>
  <c r="CQ104" i="7"/>
  <c r="CD104" i="7"/>
  <c r="CE108" i="7"/>
  <c r="CR108" i="7"/>
  <c r="CC108" i="7"/>
  <c r="CP108" i="7"/>
  <c r="CK108" i="7"/>
  <c r="CE101" i="7"/>
  <c r="CK101" i="7"/>
  <c r="CC101" i="7"/>
  <c r="CR101" i="7"/>
  <c r="CP101" i="7"/>
  <c r="CS86" i="7"/>
  <c r="CF86" i="7"/>
  <c r="CQ86" i="7"/>
  <c r="CD86" i="7"/>
  <c r="CJ86" i="7"/>
  <c r="CQ97" i="7"/>
  <c r="CF97" i="7"/>
  <c r="CD97" i="7"/>
  <c r="CS97" i="7"/>
  <c r="CJ97" i="7"/>
  <c r="CK89" i="7"/>
  <c r="CC89" i="7"/>
  <c r="CR89" i="7"/>
  <c r="CP89" i="7"/>
  <c r="CE89" i="7"/>
  <c r="CR91" i="7"/>
  <c r="CE91" i="7"/>
  <c r="CC91" i="7"/>
  <c r="CP91" i="7"/>
  <c r="CK91" i="7"/>
  <c r="CR103" i="7"/>
  <c r="CK103" i="7"/>
  <c r="CE103" i="7"/>
  <c r="CC103" i="7"/>
  <c r="CP103" i="7"/>
  <c r="CE113" i="7"/>
  <c r="CK113" i="7"/>
  <c r="CC113" i="7"/>
  <c r="CR113" i="7"/>
  <c r="CP113" i="7"/>
  <c r="CJ88" i="7"/>
  <c r="CS88" i="7"/>
  <c r="CF88" i="7"/>
  <c r="CQ88" i="7"/>
  <c r="CD88" i="7"/>
  <c r="CD101" i="7"/>
  <c r="CJ101" i="7"/>
  <c r="CS101" i="7"/>
  <c r="CF101" i="7"/>
  <c r="CQ101" i="7"/>
  <c r="CJ112" i="7"/>
  <c r="CS112" i="7"/>
  <c r="CF112" i="7"/>
  <c r="CD112" i="7"/>
  <c r="CQ112" i="7"/>
  <c r="CE87" i="7"/>
  <c r="CK87" i="7"/>
  <c r="CC87" i="7"/>
  <c r="CR87" i="7"/>
  <c r="CP87" i="7"/>
  <c r="CR88" i="7"/>
  <c r="CP88" i="7"/>
  <c r="CE88" i="7"/>
  <c r="CK88" i="7"/>
  <c r="CC88" i="7"/>
  <c r="CE92" i="7"/>
  <c r="CP92" i="7"/>
  <c r="CK92" i="7"/>
  <c r="CC92" i="7"/>
  <c r="CR92" i="7"/>
  <c r="CK104" i="7"/>
  <c r="CC104" i="7"/>
  <c r="CP104" i="7"/>
  <c r="CE104" i="7"/>
  <c r="CR104" i="7"/>
  <c r="CP118" i="7"/>
  <c r="CE118" i="7"/>
  <c r="CR118" i="7"/>
  <c r="CK118" i="7"/>
  <c r="CC118" i="7"/>
  <c r="CD89" i="7"/>
  <c r="CF89" i="7"/>
  <c r="CS89" i="7"/>
  <c r="CJ89" i="7"/>
  <c r="CQ89" i="7"/>
  <c r="CQ102" i="7"/>
  <c r="CF102" i="7"/>
  <c r="CJ102" i="7"/>
  <c r="CS102" i="7"/>
  <c r="CD102" i="7"/>
  <c r="CD113" i="7"/>
  <c r="CF113" i="7"/>
  <c r="CS113" i="7"/>
  <c r="CQ113" i="7"/>
  <c r="CJ113" i="7"/>
  <c r="CK106" i="7"/>
  <c r="CR106" i="7"/>
  <c r="CP106" i="7"/>
  <c r="CE106" i="7"/>
  <c r="CC106" i="7"/>
  <c r="CJ83" i="7"/>
  <c r="CQ83" i="7"/>
  <c r="CD83" i="7"/>
  <c r="CS83" i="7"/>
  <c r="CF83" i="7"/>
  <c r="CR81" i="7"/>
  <c r="CP81" i="7"/>
  <c r="CE81" i="7"/>
  <c r="CK81" i="7"/>
  <c r="CC81" i="7"/>
  <c r="CK82" i="7"/>
  <c r="CC82" i="7"/>
  <c r="CR82" i="7"/>
  <c r="CE82" i="7"/>
  <c r="CP82" i="7"/>
  <c r="CK93" i="7"/>
  <c r="CC93" i="7"/>
  <c r="CE93" i="7"/>
  <c r="CR93" i="7"/>
  <c r="CP93" i="7"/>
  <c r="CE105" i="7"/>
  <c r="CK105" i="7"/>
  <c r="CC105" i="7"/>
  <c r="CR105" i="7"/>
  <c r="CP105" i="7"/>
  <c r="CK120" i="7"/>
  <c r="CC120" i="7"/>
  <c r="CP120" i="7"/>
  <c r="CE120" i="7"/>
  <c r="CR120" i="7"/>
  <c r="CQ91" i="7"/>
  <c r="CJ91" i="7"/>
  <c r="CS91" i="7"/>
  <c r="CF91" i="7"/>
  <c r="CD91" i="7"/>
  <c r="CS103" i="7"/>
  <c r="CQ103" i="7"/>
  <c r="CD103" i="7"/>
  <c r="CF103" i="7"/>
  <c r="CJ103" i="7"/>
  <c r="CQ118" i="7"/>
  <c r="CF118" i="7"/>
  <c r="CJ118" i="7"/>
  <c r="CD118" i="7"/>
  <c r="CS118" i="7"/>
  <c r="C102" i="7"/>
  <c r="C103" i="7"/>
  <c r="C104" i="7"/>
  <c r="C101" i="7"/>
  <c r="C105" i="7"/>
  <c r="C75" i="7"/>
  <c r="E58" i="7"/>
  <c r="E57" i="7"/>
  <c r="E51" i="7"/>
  <c r="E50" i="7"/>
  <c r="E49" i="7"/>
  <c r="E47" i="7"/>
  <c r="E46" i="7"/>
  <c r="CW46" i="7" s="1"/>
  <c r="E45" i="7"/>
  <c r="CW45" i="7" s="1"/>
  <c r="E44" i="7"/>
  <c r="CW44" i="7" s="1"/>
  <c r="E43" i="7"/>
  <c r="E42" i="7"/>
  <c r="E41" i="7"/>
  <c r="E36" i="7"/>
  <c r="E35" i="7"/>
  <c r="E34" i="7"/>
  <c r="E31" i="7"/>
  <c r="E30" i="7"/>
  <c r="E29" i="7"/>
  <c r="E27" i="7"/>
  <c r="E26" i="7"/>
  <c r="E25" i="7"/>
  <c r="E24" i="7"/>
  <c r="E20" i="7"/>
  <c r="E19" i="7"/>
  <c r="D58" i="7"/>
  <c r="CX58" i="7" s="1"/>
  <c r="D57" i="7"/>
  <c r="CX57" i="7" s="1"/>
  <c r="D51" i="7"/>
  <c r="CX51" i="7" s="1"/>
  <c r="D50" i="7"/>
  <c r="CX50" i="7" s="1"/>
  <c r="D49" i="7"/>
  <c r="CX49" i="7" s="1"/>
  <c r="D47" i="7"/>
  <c r="CX47" i="7" s="1"/>
  <c r="D46" i="7"/>
  <c r="CX46" i="7" s="1"/>
  <c r="D45" i="7"/>
  <c r="CX45" i="7" s="1"/>
  <c r="D44" i="7"/>
  <c r="CX44" i="7" s="1"/>
  <c r="D43" i="7"/>
  <c r="CX43" i="7" s="1"/>
  <c r="D42" i="7"/>
  <c r="CX42" i="7" s="1"/>
  <c r="D39" i="7"/>
  <c r="CX39" i="7" s="1"/>
  <c r="D36" i="7"/>
  <c r="CX36" i="7" s="1"/>
  <c r="D35" i="7"/>
  <c r="CX35" i="7" s="1"/>
  <c r="D34" i="7"/>
  <c r="CX34" i="7" s="1"/>
  <c r="D31" i="7"/>
  <c r="CX31" i="7" s="1"/>
  <c r="D30" i="7"/>
  <c r="CX30" i="7" s="1"/>
  <c r="D29" i="7"/>
  <c r="CX29" i="7" s="1"/>
  <c r="D27" i="7"/>
  <c r="CX27" i="7" s="1"/>
  <c r="D26" i="7"/>
  <c r="CX26" i="7" s="1"/>
  <c r="D25" i="7"/>
  <c r="CX25" i="7" s="1"/>
  <c r="CW58" i="7" l="1"/>
  <c r="CO58" i="7"/>
  <c r="CA58" i="7"/>
  <c r="CN58" i="7"/>
  <c r="CW35" i="7"/>
  <c r="CN35" i="7"/>
  <c r="CA35" i="7"/>
  <c r="CO42" i="7"/>
  <c r="CW42" i="7"/>
  <c r="CA42" i="7"/>
  <c r="CN42" i="7"/>
  <c r="CW43" i="7"/>
  <c r="CO43" i="7"/>
  <c r="CA43" i="7"/>
  <c r="CN43" i="7"/>
  <c r="CN36" i="7"/>
  <c r="CA36" i="7"/>
  <c r="CW36" i="7"/>
  <c r="CN20" i="7"/>
  <c r="CO20" i="7"/>
  <c r="CA20" i="7"/>
  <c r="CW20" i="7"/>
  <c r="CO21" i="7"/>
  <c r="CA21" i="7"/>
  <c r="CW21" i="7"/>
  <c r="CN21" i="7"/>
  <c r="CW34" i="7"/>
  <c r="CN34" i="7"/>
  <c r="CO34" i="7"/>
  <c r="CA34" i="7"/>
  <c r="CW24" i="7"/>
  <c r="CA24" i="7"/>
  <c r="CN24" i="7"/>
  <c r="CO24" i="7"/>
  <c r="CA47" i="7"/>
  <c r="CW47" i="7"/>
  <c r="CN47" i="7"/>
  <c r="CO47" i="7"/>
  <c r="CW25" i="7"/>
  <c r="CA25" i="7"/>
  <c r="CN25" i="7"/>
  <c r="CO25" i="7"/>
  <c r="CW49" i="7"/>
  <c r="CN49" i="7"/>
  <c r="CO49" i="7"/>
  <c r="CA49" i="7"/>
  <c r="CN30" i="7"/>
  <c r="CO30" i="7"/>
  <c r="CW30" i="7"/>
  <c r="CA30" i="7"/>
  <c r="CW26" i="7"/>
  <c r="CA26" i="7"/>
  <c r="CN26" i="7"/>
  <c r="CO26" i="7"/>
  <c r="CW50" i="7"/>
  <c r="CN50" i="7"/>
  <c r="CO50" i="7"/>
  <c r="CA50" i="7"/>
  <c r="CN31" i="7"/>
  <c r="CW31" i="7"/>
  <c r="CO31" i="7"/>
  <c r="CA31" i="7"/>
  <c r="CA27" i="7"/>
  <c r="CN27" i="7"/>
  <c r="CO27" i="7"/>
  <c r="CW27" i="7"/>
  <c r="CW51" i="7"/>
  <c r="CN51" i="7"/>
  <c r="CO51" i="7"/>
  <c r="CA51" i="7"/>
  <c r="CO41" i="7"/>
  <c r="CW41" i="7"/>
  <c r="CA41" i="7"/>
  <c r="CN41" i="7"/>
  <c r="CN19" i="7"/>
  <c r="CO19" i="7"/>
  <c r="CA19" i="7"/>
  <c r="CW19" i="7"/>
  <c r="CA29" i="7"/>
  <c r="CN29" i="7"/>
  <c r="CO29" i="7"/>
  <c r="CW29" i="7"/>
  <c r="CW57" i="7"/>
  <c r="CO57" i="7"/>
  <c r="CA57" i="7"/>
  <c r="CN57" i="7"/>
  <c r="CI119" i="7"/>
  <c r="CV119" i="7"/>
  <c r="CU119" i="7"/>
  <c r="CT119" i="7"/>
  <c r="CE47" i="7"/>
  <c r="CC47" i="7"/>
  <c r="CV105" i="7"/>
  <c r="CU105" i="7"/>
  <c r="CI105" i="7"/>
  <c r="CT105" i="7"/>
  <c r="CU104" i="7"/>
  <c r="CT104" i="7"/>
  <c r="CI104" i="7"/>
  <c r="CV104" i="7"/>
  <c r="CI103" i="7"/>
  <c r="CV103" i="7"/>
  <c r="CT103" i="7"/>
  <c r="CU103" i="7"/>
  <c r="CV101" i="7"/>
  <c r="CU101" i="7"/>
  <c r="CT101" i="7"/>
  <c r="CI101" i="7"/>
  <c r="CT102" i="7"/>
  <c r="CV102" i="7"/>
  <c r="CI102" i="7"/>
  <c r="CU102" i="7"/>
  <c r="CV75" i="7"/>
  <c r="CI75" i="7"/>
  <c r="CU75" i="7"/>
  <c r="CT75" i="7"/>
  <c r="CD47" i="7"/>
  <c r="CF47" i="7"/>
  <c r="CR51" i="7"/>
  <c r="CP51" i="7"/>
  <c r="CE51" i="7"/>
  <c r="CK51" i="7"/>
  <c r="CC51" i="7"/>
  <c r="CD50" i="7"/>
  <c r="CJ50" i="7"/>
  <c r="CS50" i="7"/>
  <c r="CQ50" i="7"/>
  <c r="CF50" i="7"/>
  <c r="CJ26" i="7"/>
  <c r="CD26" i="7"/>
  <c r="CF26" i="7"/>
  <c r="CQ26" i="7"/>
  <c r="CS26" i="7"/>
  <c r="CQ41" i="7"/>
  <c r="CJ41" i="7"/>
  <c r="CF41" i="7"/>
  <c r="CS41" i="7"/>
  <c r="CD41" i="7"/>
  <c r="CP29" i="7"/>
  <c r="CE29" i="7"/>
  <c r="CK29" i="7"/>
  <c r="CC29" i="7"/>
  <c r="CR29" i="7"/>
  <c r="CE43" i="7"/>
  <c r="CR43" i="7"/>
  <c r="CK43" i="7"/>
  <c r="CC43" i="7"/>
  <c r="CP43" i="7"/>
  <c r="CR57" i="7"/>
  <c r="CK57" i="7"/>
  <c r="CC57" i="7"/>
  <c r="CP57" i="7"/>
  <c r="CE57" i="7"/>
  <c r="CS27" i="7"/>
  <c r="CD27" i="7"/>
  <c r="CF27" i="7"/>
  <c r="CQ27" i="7"/>
  <c r="CJ27" i="7"/>
  <c r="CF42" i="7"/>
  <c r="CS42" i="7"/>
  <c r="CD42" i="7"/>
  <c r="CQ42" i="7"/>
  <c r="CJ42" i="7"/>
  <c r="CS51" i="7"/>
  <c r="CQ51" i="7"/>
  <c r="CF51" i="7"/>
  <c r="CD51" i="7"/>
  <c r="CJ51" i="7"/>
  <c r="CE42" i="7"/>
  <c r="CR42" i="7"/>
  <c r="CK42" i="7"/>
  <c r="CC42" i="7"/>
  <c r="CP42" i="7"/>
  <c r="CE58" i="7"/>
  <c r="CR58" i="7"/>
  <c r="CK58" i="7"/>
  <c r="CC58" i="7"/>
  <c r="CP58" i="7"/>
  <c r="CR31" i="7"/>
  <c r="CP31" i="7"/>
  <c r="CE31" i="7"/>
  <c r="CK31" i="7"/>
  <c r="CC31" i="7"/>
  <c r="CE45" i="7"/>
  <c r="CC45" i="7"/>
  <c r="CR45" i="7"/>
  <c r="CK45" i="7"/>
  <c r="CP45" i="7"/>
  <c r="CD19" i="7"/>
  <c r="CJ19" i="7"/>
  <c r="CF19" i="7"/>
  <c r="CS19" i="7"/>
  <c r="CQ19" i="7"/>
  <c r="CD30" i="7"/>
  <c r="CS30" i="7"/>
  <c r="CJ30" i="7"/>
  <c r="CQ30" i="7"/>
  <c r="CF30" i="7"/>
  <c r="CQ44" i="7"/>
  <c r="CD44" i="7"/>
  <c r="CJ44" i="7"/>
  <c r="CS44" i="7"/>
  <c r="CF44" i="7"/>
  <c r="CF58" i="7"/>
  <c r="CS58" i="7"/>
  <c r="CD58" i="7"/>
  <c r="CQ58" i="7"/>
  <c r="CJ58" i="7"/>
  <c r="CE30" i="7"/>
  <c r="CK30" i="7"/>
  <c r="CC30" i="7"/>
  <c r="CR30" i="7"/>
  <c r="CP30" i="7"/>
  <c r="CQ29" i="7"/>
  <c r="CF29" i="7"/>
  <c r="CD29" i="7"/>
  <c r="CS29" i="7"/>
  <c r="CJ29" i="7"/>
  <c r="CP34" i="7"/>
  <c r="CR34" i="7"/>
  <c r="CE34" i="7"/>
  <c r="CK34" i="7"/>
  <c r="CC34" i="7"/>
  <c r="CS31" i="7"/>
  <c r="CJ31" i="7"/>
  <c r="CQ31" i="7"/>
  <c r="CF31" i="7"/>
  <c r="CD31" i="7"/>
  <c r="CF45" i="7"/>
  <c r="CD45" i="7"/>
  <c r="CS45" i="7"/>
  <c r="CQ45" i="7"/>
  <c r="CJ45" i="7"/>
  <c r="CD57" i="7"/>
  <c r="CQ57" i="7"/>
  <c r="CJ57" i="7"/>
  <c r="CF57" i="7"/>
  <c r="CS57" i="7"/>
  <c r="CD20" i="7"/>
  <c r="CJ20" i="7"/>
  <c r="CQ20" i="7"/>
  <c r="CF20" i="7"/>
  <c r="CS20" i="7"/>
  <c r="CP47" i="7"/>
  <c r="CK47" i="7"/>
  <c r="CR47" i="7"/>
  <c r="CS46" i="7"/>
  <c r="CD46" i="7"/>
  <c r="CQ46" i="7"/>
  <c r="CJ46" i="7"/>
  <c r="CF46" i="7"/>
  <c r="CK25" i="7"/>
  <c r="CR25" i="7"/>
  <c r="CP25" i="7"/>
  <c r="CE25" i="7"/>
  <c r="CC25" i="7"/>
  <c r="CD35" i="7"/>
  <c r="CF35" i="7"/>
  <c r="CQ35" i="7"/>
  <c r="CJ35" i="7"/>
  <c r="CS35" i="7"/>
  <c r="CK27" i="7"/>
  <c r="CR27" i="7"/>
  <c r="CE27" i="7"/>
  <c r="CP27" i="7"/>
  <c r="CC27" i="7"/>
  <c r="CE44" i="7"/>
  <c r="CP44" i="7"/>
  <c r="CC44" i="7"/>
  <c r="CK44" i="7"/>
  <c r="CR44" i="7"/>
  <c r="CS43" i="7"/>
  <c r="CD43" i="7"/>
  <c r="CQ43" i="7"/>
  <c r="CJ43" i="7"/>
  <c r="CF43" i="7"/>
  <c r="CE46" i="7"/>
  <c r="CR46" i="7"/>
  <c r="CK46" i="7"/>
  <c r="CC46" i="7"/>
  <c r="CP46" i="7"/>
  <c r="CC35" i="7"/>
  <c r="CK35" i="7"/>
  <c r="CE35" i="7"/>
  <c r="CP35" i="7"/>
  <c r="CR35" i="7"/>
  <c r="CF21" i="7"/>
  <c r="CD21" i="7"/>
  <c r="CQ21" i="7"/>
  <c r="CJ21" i="7"/>
  <c r="CS21" i="7"/>
  <c r="CS34" i="7"/>
  <c r="CQ34" i="7"/>
  <c r="CF34" i="7"/>
  <c r="CD34" i="7"/>
  <c r="CJ34" i="7"/>
  <c r="CC36" i="7"/>
  <c r="CK36" i="7"/>
  <c r="CE36" i="7"/>
  <c r="CP36" i="7"/>
  <c r="CR36" i="7"/>
  <c r="CR49" i="7"/>
  <c r="CP49" i="7"/>
  <c r="CE49" i="7"/>
  <c r="CK49" i="7"/>
  <c r="CC49" i="7"/>
  <c r="CD24" i="7"/>
  <c r="CS24" i="7"/>
  <c r="CJ24" i="7"/>
  <c r="CF24" i="7"/>
  <c r="CQ24" i="7"/>
  <c r="CJ47" i="7"/>
  <c r="CS47" i="7"/>
  <c r="CQ47" i="7"/>
  <c r="CP26" i="7"/>
  <c r="CK26" i="7"/>
  <c r="CC26" i="7"/>
  <c r="CR26" i="7"/>
  <c r="CE26" i="7"/>
  <c r="CP39" i="7"/>
  <c r="CC39" i="7"/>
  <c r="CK39" i="7"/>
  <c r="CE39" i="7"/>
  <c r="CR39" i="7"/>
  <c r="CK50" i="7"/>
  <c r="CC50" i="7"/>
  <c r="CR50" i="7"/>
  <c r="CP50" i="7"/>
  <c r="CE50" i="7"/>
  <c r="CD25" i="7"/>
  <c r="CS25" i="7"/>
  <c r="CJ25" i="7"/>
  <c r="CQ25" i="7"/>
  <c r="CF25" i="7"/>
  <c r="CS36" i="7"/>
  <c r="CJ36" i="7"/>
  <c r="CD36" i="7"/>
  <c r="CF36" i="7"/>
  <c r="CQ36" i="7"/>
  <c r="CQ49" i="7"/>
  <c r="CF49" i="7"/>
  <c r="CD49" i="7"/>
  <c r="CJ49" i="7"/>
  <c r="CS49" i="7"/>
  <c r="C41" i="7"/>
  <c r="C39" i="7"/>
  <c r="C42" i="7"/>
  <c r="C43" i="7"/>
  <c r="CX21" i="7"/>
  <c r="D20" i="7"/>
  <c r="CX20" i="7" s="1"/>
  <c r="C19" i="7"/>
  <c r="E126" i="7"/>
  <c r="AY101" i="7" l="1"/>
  <c r="AY104" i="7"/>
  <c r="AY103" i="7"/>
  <c r="AY75" i="7"/>
  <c r="AY102" i="7"/>
  <c r="AY105" i="7"/>
  <c r="AY119" i="7"/>
  <c r="CI19" i="7"/>
  <c r="CU19" i="7"/>
  <c r="CT19" i="7"/>
  <c r="CV19" i="7"/>
  <c r="CR20" i="7"/>
  <c r="CP20" i="7"/>
  <c r="CK20" i="7"/>
  <c r="CE20" i="7"/>
  <c r="CC20" i="7"/>
  <c r="CP21" i="7"/>
  <c r="CE21" i="7"/>
  <c r="CC21" i="7"/>
  <c r="CK21" i="7"/>
  <c r="CR21" i="7"/>
  <c r="CT43" i="7"/>
  <c r="CI43" i="7"/>
  <c r="CV43" i="7"/>
  <c r="CU43" i="7"/>
  <c r="CV42" i="7"/>
  <c r="CU42" i="7"/>
  <c r="CT42" i="7"/>
  <c r="CI42" i="7"/>
  <c r="CI39" i="7"/>
  <c r="CV39" i="7"/>
  <c r="CU39" i="7"/>
  <c r="CT39" i="7"/>
  <c r="CI41" i="7"/>
  <c r="CV41" i="7"/>
  <c r="CU41" i="7"/>
  <c r="CT41" i="7"/>
  <c r="C125" i="7"/>
  <c r="C126" i="7"/>
  <c r="C69" i="7"/>
  <c r="N41" i="16"/>
  <c r="M41" i="16"/>
  <c r="J41" i="16"/>
  <c r="G41" i="16"/>
  <c r="G34" i="16"/>
  <c r="G29" i="16"/>
  <c r="G26" i="16"/>
  <c r="H26" i="16"/>
  <c r="H22" i="16"/>
  <c r="G22" i="16"/>
  <c r="E30" i="16"/>
  <c r="AM30" i="16" s="1"/>
  <c r="F30" i="16"/>
  <c r="E35" i="16"/>
  <c r="AM35" i="16" s="1"/>
  <c r="AY39" i="7" l="1"/>
  <c r="AY41" i="7"/>
  <c r="AY42" i="7"/>
  <c r="AY43" i="7"/>
  <c r="AR35" i="16"/>
  <c r="AK35" i="16"/>
  <c r="AT35" i="16"/>
  <c r="AR30" i="16"/>
  <c r="AT30" i="16"/>
  <c r="AK30" i="16"/>
  <c r="AY19" i="7"/>
  <c r="C48" i="6"/>
  <c r="C26" i="6"/>
  <c r="B21" i="18"/>
  <c r="BC21" i="18" s="1"/>
  <c r="C147" i="17"/>
  <c r="E38" i="4"/>
  <c r="D38" i="4"/>
  <c r="CE38" i="4" l="1"/>
  <c r="CC38" i="4"/>
  <c r="CO38" i="4"/>
  <c r="CQ38" i="4"/>
  <c r="CD38" i="4"/>
  <c r="CB38" i="4"/>
  <c r="CN38" i="4"/>
  <c r="CP38" i="4"/>
  <c r="BJ21" i="18"/>
  <c r="BL21" i="18"/>
  <c r="BB21" i="18"/>
  <c r="BK21" i="18"/>
  <c r="BA21" i="18"/>
  <c r="BI21" i="18"/>
  <c r="C18" i="4"/>
  <c r="B12" i="18"/>
  <c r="C38" i="4"/>
  <c r="CR43" i="4" s="1"/>
  <c r="C19" i="4"/>
  <c r="C90" i="7"/>
  <c r="AR76" i="4" l="1"/>
  <c r="AS47" i="4"/>
  <c r="AS45" i="4"/>
  <c r="AS46" i="4"/>
  <c r="U21" i="18"/>
  <c r="CA18" i="4"/>
  <c r="AS18" i="4" s="1"/>
  <c r="CM18" i="4"/>
  <c r="CA19" i="4"/>
  <c r="AS19" i="4" s="1"/>
  <c r="CM19" i="4"/>
  <c r="CR42" i="4"/>
  <c r="CF41" i="4"/>
  <c r="AS41" i="4" s="1"/>
  <c r="CF43" i="4"/>
  <c r="AS43" i="4" s="1"/>
  <c r="CR41" i="4"/>
  <c r="CR40" i="4"/>
  <c r="CF40" i="4"/>
  <c r="CI90" i="7"/>
  <c r="CV90" i="7"/>
  <c r="CU90" i="7"/>
  <c r="CT90" i="7"/>
  <c r="CF42" i="4"/>
  <c r="AS42" i="4" s="1"/>
  <c r="AV147" i="17"/>
  <c r="C28" i="7"/>
  <c r="C23" i="4"/>
  <c r="E44" i="4"/>
  <c r="D44" i="4"/>
  <c r="C71" i="16"/>
  <c r="CE44" i="4" l="1"/>
  <c r="CC44" i="4"/>
  <c r="CO44" i="4"/>
  <c r="CQ44" i="4"/>
  <c r="CD44" i="4"/>
  <c r="CB44" i="4"/>
  <c r="CN44" i="4"/>
  <c r="CP44" i="4"/>
  <c r="AY90" i="7"/>
  <c r="CI28" i="7"/>
  <c r="CU28" i="7"/>
  <c r="CT28" i="7"/>
  <c r="CV28" i="7"/>
  <c r="C44" i="4"/>
  <c r="CR44" i="4" s="1"/>
  <c r="AY28" i="7" l="1"/>
  <c r="CF44" i="4"/>
  <c r="AS44" i="4" s="1"/>
  <c r="E30" i="5" l="1"/>
  <c r="J74" i="2"/>
  <c r="G74" i="2"/>
  <c r="Y20" i="6"/>
  <c r="Y15" i="6"/>
  <c r="V15" i="6"/>
  <c r="C111" i="17"/>
  <c r="CE111" i="17" s="1"/>
  <c r="E112" i="17"/>
  <c r="C140" i="17"/>
  <c r="E71" i="4"/>
  <c r="CE71" i="4" s="1"/>
  <c r="D71" i="4"/>
  <c r="E70" i="4"/>
  <c r="CE70" i="4" s="1"/>
  <c r="L103" i="16"/>
  <c r="L102" i="16"/>
  <c r="L93" i="16"/>
  <c r="C91" i="16"/>
  <c r="CB111" i="17" l="1"/>
  <c r="CF111" i="17"/>
  <c r="CQ70" i="4"/>
  <c r="CC70" i="4"/>
  <c r="AR70" i="4" s="1"/>
  <c r="CO70" i="4"/>
  <c r="CP71" i="4"/>
  <c r="CB71" i="4"/>
  <c r="CD71" i="4"/>
  <c r="CN71" i="4"/>
  <c r="CQ71" i="4"/>
  <c r="CC71" i="4"/>
  <c r="CO71" i="4"/>
  <c r="CB30" i="5"/>
  <c r="CD30" i="5"/>
  <c r="DP30" i="5"/>
  <c r="DT112" i="17"/>
  <c r="CC111" i="17"/>
  <c r="DS112" i="17"/>
  <c r="DR112" i="17"/>
  <c r="DQ112" i="17"/>
  <c r="CD111" i="17"/>
  <c r="C85" i="7"/>
  <c r="C23" i="7"/>
  <c r="C57" i="7"/>
  <c r="C22" i="7"/>
  <c r="Y21" i="6"/>
  <c r="C84" i="7"/>
  <c r="C52" i="16"/>
  <c r="C31" i="5"/>
  <c r="L101" i="16"/>
  <c r="L100" i="16"/>
  <c r="L99" i="16"/>
  <c r="L98" i="16"/>
  <c r="L97" i="16"/>
  <c r="L96" i="16"/>
  <c r="L95" i="16"/>
  <c r="L94" i="16"/>
  <c r="L92" i="16"/>
  <c r="L91" i="16"/>
  <c r="O111" i="17" l="1"/>
  <c r="CI85" i="7"/>
  <c r="CV85" i="7"/>
  <c r="CT85" i="7"/>
  <c r="CU85" i="7"/>
  <c r="CV84" i="7"/>
  <c r="CU84" i="7"/>
  <c r="CI84" i="7"/>
  <c r="CT84" i="7"/>
  <c r="AL30" i="5"/>
  <c r="CI22" i="7"/>
  <c r="CT22" i="7"/>
  <c r="CU22" i="7"/>
  <c r="CV22" i="7"/>
  <c r="CI57" i="7"/>
  <c r="CV57" i="7"/>
  <c r="CU57" i="7"/>
  <c r="CT57" i="7"/>
  <c r="CI23" i="7"/>
  <c r="CV23" i="7"/>
  <c r="CU23" i="7"/>
  <c r="CT23" i="7"/>
  <c r="A5" i="2"/>
  <c r="P22" i="16"/>
  <c r="P26" i="16"/>
  <c r="DC33" i="5"/>
  <c r="DB33" i="5"/>
  <c r="DA33" i="5"/>
  <c r="CZ33" i="5"/>
  <c r="CY33" i="5"/>
  <c r="CX33" i="5"/>
  <c r="CW33" i="5"/>
  <c r="CV33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DE31" i="5"/>
  <c r="DD31" i="5"/>
  <c r="DC31" i="5"/>
  <c r="DB31" i="5"/>
  <c r="DA31" i="5"/>
  <c r="CZ31" i="5"/>
  <c r="CY31" i="5"/>
  <c r="CX31" i="5"/>
  <c r="CW31" i="5"/>
  <c r="CV31" i="5"/>
  <c r="CU31" i="5"/>
  <c r="CT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DD29" i="5"/>
  <c r="DC29" i="5"/>
  <c r="DB29" i="5"/>
  <c r="DA29" i="5"/>
  <c r="CZ29" i="5"/>
  <c r="CY29" i="5"/>
  <c r="CX29" i="5"/>
  <c r="CW29" i="5"/>
  <c r="CV29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I33" i="16"/>
  <c r="I25" i="16"/>
  <c r="I27" i="16"/>
  <c r="I28" i="16"/>
  <c r="D11" i="12"/>
  <c r="H43" i="16"/>
  <c r="D50" i="16"/>
  <c r="B16" i="18"/>
  <c r="BB16" i="18" s="1"/>
  <c r="DU140" i="17"/>
  <c r="D76" i="16"/>
  <c r="I42" i="16"/>
  <c r="I30" i="16"/>
  <c r="I23" i="16"/>
  <c r="D23" i="16"/>
  <c r="Q22" i="16"/>
  <c r="N22" i="16"/>
  <c r="M22" i="16"/>
  <c r="E28" i="4"/>
  <c r="D28" i="4"/>
  <c r="C45" i="7"/>
  <c r="E32" i="5"/>
  <c r="E74" i="2"/>
  <c r="D40" i="16"/>
  <c r="D35" i="16"/>
  <c r="N73" i="17"/>
  <c r="G73" i="17"/>
  <c r="S73" i="17"/>
  <c r="R73" i="17"/>
  <c r="Q73" i="17"/>
  <c r="O73" i="17"/>
  <c r="S71" i="17"/>
  <c r="R71" i="17"/>
  <c r="Q71" i="17"/>
  <c r="P71" i="17"/>
  <c r="O71" i="17"/>
  <c r="N71" i="17"/>
  <c r="G71" i="17"/>
  <c r="R64" i="17"/>
  <c r="Q64" i="17"/>
  <c r="O64" i="17"/>
  <c r="N64" i="17"/>
  <c r="D64" i="17" s="1"/>
  <c r="G64" i="17"/>
  <c r="S59" i="17"/>
  <c r="R59" i="17"/>
  <c r="Q59" i="17"/>
  <c r="O59" i="17"/>
  <c r="N59" i="17"/>
  <c r="D59" i="17" s="1"/>
  <c r="G59" i="17"/>
  <c r="S56" i="17"/>
  <c r="R56" i="17"/>
  <c r="Q56" i="17"/>
  <c r="P56" i="17"/>
  <c r="O56" i="17"/>
  <c r="N56" i="17"/>
  <c r="D56" i="17" s="1"/>
  <c r="G56" i="17"/>
  <c r="S52" i="17"/>
  <c r="R52" i="17"/>
  <c r="Q52" i="17"/>
  <c r="P52" i="17"/>
  <c r="S49" i="17"/>
  <c r="R49" i="17"/>
  <c r="Q49" i="17"/>
  <c r="P49" i="17"/>
  <c r="E42" i="16"/>
  <c r="AM42" i="16" s="1"/>
  <c r="E40" i="16"/>
  <c r="AM40" i="16" s="1"/>
  <c r="E39" i="16"/>
  <c r="AM39" i="16" s="1"/>
  <c r="E38" i="16"/>
  <c r="AM38" i="16" s="1"/>
  <c r="E37" i="16"/>
  <c r="AM37" i="16" s="1"/>
  <c r="E36" i="16"/>
  <c r="AM36" i="16" s="1"/>
  <c r="E33" i="16"/>
  <c r="AM33" i="16" s="1"/>
  <c r="E32" i="16"/>
  <c r="AM32" i="16" s="1"/>
  <c r="E31" i="16"/>
  <c r="AM31" i="16" s="1"/>
  <c r="E28" i="16"/>
  <c r="AM28" i="16" s="1"/>
  <c r="E27" i="16"/>
  <c r="AM27" i="16" s="1"/>
  <c r="E25" i="16"/>
  <c r="AM25" i="16" s="1"/>
  <c r="E24" i="16"/>
  <c r="AM24" i="16" s="1"/>
  <c r="E23" i="16"/>
  <c r="AM23" i="16" s="1"/>
  <c r="E21" i="16"/>
  <c r="AM21" i="16" s="1"/>
  <c r="E20" i="16"/>
  <c r="AM20" i="16" s="1"/>
  <c r="E18" i="16"/>
  <c r="AM18" i="16" s="1"/>
  <c r="E16" i="16"/>
  <c r="AM16" i="16" s="1"/>
  <c r="D42" i="16"/>
  <c r="D39" i="16"/>
  <c r="D38" i="16"/>
  <c r="D37" i="16"/>
  <c r="D36" i="16"/>
  <c r="D33" i="16"/>
  <c r="D32" i="16"/>
  <c r="D31" i="16"/>
  <c r="D30" i="16"/>
  <c r="D28" i="16"/>
  <c r="D27" i="16"/>
  <c r="D25" i="16"/>
  <c r="D24" i="16"/>
  <c r="D21" i="16"/>
  <c r="D20" i="16"/>
  <c r="D18" i="16"/>
  <c r="D17" i="16"/>
  <c r="O30" i="16"/>
  <c r="L30" i="16"/>
  <c r="F23" i="16"/>
  <c r="O42" i="16"/>
  <c r="L42" i="16"/>
  <c r="F42" i="16"/>
  <c r="O40" i="16"/>
  <c r="O39" i="16"/>
  <c r="O38" i="16"/>
  <c r="O37" i="16"/>
  <c r="O36" i="16"/>
  <c r="O35" i="16"/>
  <c r="L40" i="16"/>
  <c r="L39" i="16"/>
  <c r="L38" i="16"/>
  <c r="L37" i="16"/>
  <c r="L36" i="16"/>
  <c r="L35" i="16"/>
  <c r="I40" i="16"/>
  <c r="I39" i="16"/>
  <c r="I38" i="16"/>
  <c r="I37" i="16"/>
  <c r="I36" i="16"/>
  <c r="I35" i="16"/>
  <c r="F40" i="16"/>
  <c r="F39" i="16"/>
  <c r="F38" i="16"/>
  <c r="F37" i="16"/>
  <c r="F36" i="16"/>
  <c r="F35" i="16"/>
  <c r="Q41" i="16"/>
  <c r="P41" i="16"/>
  <c r="K41" i="16"/>
  <c r="D41" i="16"/>
  <c r="H41" i="16"/>
  <c r="O33" i="16"/>
  <c r="O32" i="16"/>
  <c r="O31" i="16"/>
  <c r="L33" i="16"/>
  <c r="L32" i="16"/>
  <c r="L31" i="16"/>
  <c r="I32" i="16"/>
  <c r="I31" i="16"/>
  <c r="F31" i="16"/>
  <c r="F33" i="16"/>
  <c r="F32" i="16"/>
  <c r="Q34" i="16"/>
  <c r="P34" i="16"/>
  <c r="N34" i="16"/>
  <c r="M34" i="16"/>
  <c r="K34" i="16"/>
  <c r="J34" i="16"/>
  <c r="D34" i="16" s="1"/>
  <c r="H34" i="16"/>
  <c r="O28" i="16"/>
  <c r="O27" i="16"/>
  <c r="O25" i="16"/>
  <c r="O24" i="16"/>
  <c r="O23" i="16"/>
  <c r="L28" i="16"/>
  <c r="L27" i="16"/>
  <c r="L25" i="16"/>
  <c r="L24" i="16"/>
  <c r="J26" i="16"/>
  <c r="D26" i="16" s="1"/>
  <c r="I24" i="16"/>
  <c r="F28" i="16"/>
  <c r="F27" i="16"/>
  <c r="F25" i="16"/>
  <c r="F24" i="16"/>
  <c r="Q29" i="16"/>
  <c r="P29" i="16"/>
  <c r="Q26" i="16"/>
  <c r="N29" i="16"/>
  <c r="M29" i="16"/>
  <c r="N26" i="16"/>
  <c r="M26" i="16"/>
  <c r="K29" i="16"/>
  <c r="J29" i="16"/>
  <c r="D29" i="16" s="1"/>
  <c r="K26" i="16"/>
  <c r="E26" i="16" s="1"/>
  <c r="H29" i="16"/>
  <c r="O21" i="16"/>
  <c r="O20" i="16"/>
  <c r="L21" i="16"/>
  <c r="I20" i="16"/>
  <c r="I21" i="16"/>
  <c r="F21" i="16"/>
  <c r="F16" i="16"/>
  <c r="K22" i="16"/>
  <c r="E22" i="16" s="1"/>
  <c r="O18" i="16"/>
  <c r="O17" i="16"/>
  <c r="O16" i="16"/>
  <c r="L18" i="16"/>
  <c r="L17" i="16"/>
  <c r="L16" i="16"/>
  <c r="I18" i="16"/>
  <c r="I17" i="16"/>
  <c r="I16" i="16"/>
  <c r="F17" i="16"/>
  <c r="F18" i="16"/>
  <c r="E54" i="16"/>
  <c r="AM54" i="16" s="1"/>
  <c r="E53" i="16"/>
  <c r="AM53" i="16" s="1"/>
  <c r="E50" i="16"/>
  <c r="AM50" i="16" s="1"/>
  <c r="D54" i="16"/>
  <c r="D53" i="16"/>
  <c r="O54" i="16"/>
  <c r="O53" i="16"/>
  <c r="O52" i="16"/>
  <c r="O51" i="16"/>
  <c r="O50" i="16"/>
  <c r="O49" i="16"/>
  <c r="L54" i="16"/>
  <c r="L53" i="16"/>
  <c r="L52" i="16"/>
  <c r="L51" i="16"/>
  <c r="L50" i="16"/>
  <c r="L49" i="16"/>
  <c r="I54" i="16"/>
  <c r="I53" i="16"/>
  <c r="I52" i="16"/>
  <c r="I50" i="16"/>
  <c r="I49" i="16"/>
  <c r="F54" i="16"/>
  <c r="F53" i="16"/>
  <c r="F51" i="16"/>
  <c r="F50" i="16"/>
  <c r="F49" i="16"/>
  <c r="E76" i="16"/>
  <c r="AM76" i="16" s="1"/>
  <c r="E75" i="16"/>
  <c r="AM75" i="16" s="1"/>
  <c r="E74" i="16"/>
  <c r="AM74" i="16" s="1"/>
  <c r="E73" i="16"/>
  <c r="AM73" i="16" s="1"/>
  <c r="E72" i="16"/>
  <c r="AM72" i="16" s="1"/>
  <c r="D75" i="16"/>
  <c r="D74" i="16"/>
  <c r="D73" i="16"/>
  <c r="D72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I103" i="16"/>
  <c r="I102" i="16"/>
  <c r="I101" i="16"/>
  <c r="I100" i="16"/>
  <c r="I99" i="16"/>
  <c r="I98" i="16"/>
  <c r="I97" i="16"/>
  <c r="I96" i="16"/>
  <c r="I95" i="16"/>
  <c r="I94" i="16"/>
  <c r="I93" i="16"/>
  <c r="I92" i="16"/>
  <c r="I91" i="16"/>
  <c r="O76" i="16"/>
  <c r="O75" i="16"/>
  <c r="O74" i="16"/>
  <c r="O73" i="16"/>
  <c r="O72" i="16"/>
  <c r="L76" i="16"/>
  <c r="L75" i="16"/>
  <c r="L74" i="16"/>
  <c r="L73" i="16"/>
  <c r="L72" i="16"/>
  <c r="I76" i="16"/>
  <c r="I75" i="16"/>
  <c r="I74" i="16"/>
  <c r="I73" i="16"/>
  <c r="I72" i="16"/>
  <c r="F72" i="16"/>
  <c r="F73" i="16"/>
  <c r="F74" i="16"/>
  <c r="F75" i="16"/>
  <c r="F76" i="16"/>
  <c r="I141" i="17"/>
  <c r="H141" i="17"/>
  <c r="G141" i="17"/>
  <c r="F141" i="17"/>
  <c r="E141" i="17"/>
  <c r="D141" i="17"/>
  <c r="C139" i="17"/>
  <c r="K112" i="17"/>
  <c r="I112" i="17"/>
  <c r="H112" i="17"/>
  <c r="G112" i="17"/>
  <c r="F112" i="17"/>
  <c r="D112" i="17"/>
  <c r="C110" i="17"/>
  <c r="DP111" i="17" s="1"/>
  <c r="A5" i="17"/>
  <c r="E22" i="4"/>
  <c r="D14" i="4"/>
  <c r="A3" i="13"/>
  <c r="C36" i="7"/>
  <c r="C49" i="7"/>
  <c r="C120" i="7"/>
  <c r="G15" i="6"/>
  <c r="H15" i="6"/>
  <c r="I15" i="6"/>
  <c r="J15" i="6"/>
  <c r="K15" i="6"/>
  <c r="T15" i="6"/>
  <c r="U15" i="6"/>
  <c r="W15" i="6"/>
  <c r="X15" i="6"/>
  <c r="G20" i="6"/>
  <c r="H20" i="6"/>
  <c r="I20" i="6"/>
  <c r="J20" i="6"/>
  <c r="K20" i="6"/>
  <c r="T20" i="6"/>
  <c r="U20" i="6"/>
  <c r="V20" i="6"/>
  <c r="V21" i="6" s="1"/>
  <c r="W20" i="6"/>
  <c r="X20" i="6"/>
  <c r="H29" i="6"/>
  <c r="I29" i="6"/>
  <c r="J29" i="6"/>
  <c r="K29" i="6"/>
  <c r="L29" i="6"/>
  <c r="M29" i="6"/>
  <c r="N29" i="6"/>
  <c r="O29" i="6"/>
  <c r="X29" i="6"/>
  <c r="Y29" i="6"/>
  <c r="Z29" i="6"/>
  <c r="AA29" i="6"/>
  <c r="G38" i="6"/>
  <c r="H38" i="6"/>
  <c r="I38" i="6"/>
  <c r="N38" i="6"/>
  <c r="O38" i="6"/>
  <c r="T38" i="6"/>
  <c r="U38" i="6"/>
  <c r="V38" i="6"/>
  <c r="W38" i="6"/>
  <c r="X38" i="6"/>
  <c r="Y38" i="6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D14" i="5"/>
  <c r="E14" i="5"/>
  <c r="D15" i="5"/>
  <c r="E15" i="5"/>
  <c r="D16" i="5"/>
  <c r="E16" i="5"/>
  <c r="D17" i="5"/>
  <c r="E17" i="5"/>
  <c r="D18" i="5"/>
  <c r="E18" i="5"/>
  <c r="DQ29" i="5"/>
  <c r="DR29" i="5"/>
  <c r="DS29" i="5"/>
  <c r="DT29" i="5"/>
  <c r="DU29" i="5"/>
  <c r="DV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DO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DQ33" i="5"/>
  <c r="DR33" i="5"/>
  <c r="DS33" i="5"/>
  <c r="DT33" i="5"/>
  <c r="DU33" i="5"/>
  <c r="DV33" i="5"/>
  <c r="DW33" i="5"/>
  <c r="DX33" i="5"/>
  <c r="DY33" i="5"/>
  <c r="DZ33" i="5"/>
  <c r="EA33" i="5"/>
  <c r="EB33" i="5"/>
  <c r="EC33" i="5"/>
  <c r="ED33" i="5"/>
  <c r="EE33" i="5"/>
  <c r="EF33" i="5"/>
  <c r="EG33" i="5"/>
  <c r="EH33" i="5"/>
  <c r="EI33" i="5"/>
  <c r="EJ33" i="5"/>
  <c r="EK33" i="5"/>
  <c r="EL33" i="5"/>
  <c r="EM33" i="5"/>
  <c r="EN33" i="5"/>
  <c r="EO33" i="5"/>
  <c r="EP33" i="5"/>
  <c r="D34" i="5"/>
  <c r="E34" i="5"/>
  <c r="DQ34" i="5"/>
  <c r="DR34" i="5"/>
  <c r="DS34" i="5"/>
  <c r="DT34" i="5"/>
  <c r="DU34" i="5"/>
  <c r="DV34" i="5"/>
  <c r="DW34" i="5"/>
  <c r="DX34" i="5"/>
  <c r="DY34" i="5"/>
  <c r="DZ34" i="5"/>
  <c r="EA34" i="5"/>
  <c r="EB34" i="5"/>
  <c r="EC34" i="5"/>
  <c r="ED34" i="5"/>
  <c r="EE34" i="5"/>
  <c r="EF34" i="5"/>
  <c r="EG34" i="5"/>
  <c r="EH34" i="5"/>
  <c r="EI34" i="5"/>
  <c r="EJ34" i="5"/>
  <c r="EK34" i="5"/>
  <c r="EL34" i="5"/>
  <c r="EM34" i="5"/>
  <c r="EN34" i="5"/>
  <c r="EO34" i="5"/>
  <c r="EP34" i="5"/>
  <c r="EQ34" i="5"/>
  <c r="ER34" i="5"/>
  <c r="D35" i="5"/>
  <c r="CA35" i="5" s="1"/>
  <c r="E35" i="5"/>
  <c r="DM37" i="5"/>
  <c r="E13" i="4"/>
  <c r="E14" i="4"/>
  <c r="C20" i="4"/>
  <c r="E24" i="4"/>
  <c r="D29" i="4"/>
  <c r="E29" i="4"/>
  <c r="D30" i="4"/>
  <c r="E30" i="4"/>
  <c r="D31" i="4"/>
  <c r="E31" i="4"/>
  <c r="D32" i="4"/>
  <c r="E32" i="4"/>
  <c r="D33" i="4"/>
  <c r="E33" i="4"/>
  <c r="D34" i="4"/>
  <c r="E34" i="4"/>
  <c r="D35" i="4"/>
  <c r="E35" i="4"/>
  <c r="D36" i="4"/>
  <c r="E36" i="4"/>
  <c r="D39" i="4"/>
  <c r="E39" i="4"/>
  <c r="E66" i="4"/>
  <c r="CE66" i="4" s="1"/>
  <c r="D67" i="4"/>
  <c r="E67" i="4"/>
  <c r="CE67" i="4" s="1"/>
  <c r="D68" i="4"/>
  <c r="E68" i="4"/>
  <c r="CE68" i="4" s="1"/>
  <c r="C67" i="2"/>
  <c r="E69" i="2"/>
  <c r="CB69" i="2" s="1"/>
  <c r="F69" i="2"/>
  <c r="CC69" i="2" s="1"/>
  <c r="G69" i="2"/>
  <c r="CD69" i="2" s="1"/>
  <c r="H69" i="2"/>
  <c r="CE69" i="2" s="1"/>
  <c r="I69" i="2"/>
  <c r="CF69" i="2" s="1"/>
  <c r="J69" i="2"/>
  <c r="K69" i="2"/>
  <c r="CH69" i="2" s="1"/>
  <c r="L69" i="2"/>
  <c r="CI69" i="2" s="1"/>
  <c r="C71" i="2"/>
  <c r="C72" i="2"/>
  <c r="C73" i="2"/>
  <c r="F74" i="2"/>
  <c r="H74" i="2"/>
  <c r="I74" i="2"/>
  <c r="K74" i="2"/>
  <c r="L74" i="2"/>
  <c r="J22" i="16"/>
  <c r="DO30" i="5"/>
  <c r="DL30" i="5"/>
  <c r="DK30" i="5"/>
  <c r="DL31" i="5"/>
  <c r="DM30" i="5"/>
  <c r="C30" i="5"/>
  <c r="C70" i="4"/>
  <c r="C69" i="4"/>
  <c r="C12" i="6"/>
  <c r="C51" i="16"/>
  <c r="DM31" i="5"/>
  <c r="C71" i="4"/>
  <c r="C98" i="7"/>
  <c r="C108" i="7"/>
  <c r="DM33" i="5"/>
  <c r="DO33" i="5"/>
  <c r="DP112" i="17"/>
  <c r="C81" i="7"/>
  <c r="D12" i="5" l="1"/>
  <c r="E12" i="5"/>
  <c r="CA71" i="4"/>
  <c r="DX45" i="17"/>
  <c r="CI45" i="17"/>
  <c r="DQ45" i="17"/>
  <c r="CB45" i="17"/>
  <c r="CJ45" i="17"/>
  <c r="DY45" i="17"/>
  <c r="CE28" i="4"/>
  <c r="CC28" i="4"/>
  <c r="CO28" i="4"/>
  <c r="CQ28" i="4"/>
  <c r="CD29" i="4"/>
  <c r="CB29" i="4"/>
  <c r="CN29" i="4"/>
  <c r="CP29" i="4"/>
  <c r="CE22" i="4"/>
  <c r="CC22" i="4"/>
  <c r="CQ22" i="4"/>
  <c r="CO22" i="4"/>
  <c r="CE36" i="4"/>
  <c r="CC36" i="4"/>
  <c r="CO36" i="4"/>
  <c r="CQ36" i="4"/>
  <c r="CD36" i="4"/>
  <c r="CB36" i="4"/>
  <c r="CN36" i="4"/>
  <c r="CP36" i="4"/>
  <c r="CC35" i="4"/>
  <c r="CE35" i="4"/>
  <c r="CQ35" i="4"/>
  <c r="CO35" i="4"/>
  <c r="CQ14" i="4"/>
  <c r="CO14" i="4"/>
  <c r="CO13" i="4"/>
  <c r="CQ13" i="4"/>
  <c r="CC34" i="4"/>
  <c r="CE34" i="4"/>
  <c r="CO34" i="4"/>
  <c r="CQ34" i="4"/>
  <c r="CE24" i="4"/>
  <c r="CC24" i="4"/>
  <c r="CQ24" i="4"/>
  <c r="CO24" i="4"/>
  <c r="CB35" i="4"/>
  <c r="CD35" i="4"/>
  <c r="CP35" i="4"/>
  <c r="CN35" i="4"/>
  <c r="CB34" i="4"/>
  <c r="CD34" i="4"/>
  <c r="CN34" i="4"/>
  <c r="CP34" i="4"/>
  <c r="CB33" i="4"/>
  <c r="CD33" i="4"/>
  <c r="CN33" i="4"/>
  <c r="CP33" i="4"/>
  <c r="CD39" i="4"/>
  <c r="CB39" i="4"/>
  <c r="CN39" i="4"/>
  <c r="CP39" i="4"/>
  <c r="CC32" i="4"/>
  <c r="CE32" i="4"/>
  <c r="CQ32" i="4"/>
  <c r="CO32" i="4"/>
  <c r="CC33" i="4"/>
  <c r="CE33" i="4"/>
  <c r="CO33" i="4"/>
  <c r="CQ33" i="4"/>
  <c r="CB32" i="4"/>
  <c r="CD32" i="4"/>
  <c r="CN32" i="4"/>
  <c r="CP32" i="4"/>
  <c r="CB31" i="4"/>
  <c r="CD31" i="4"/>
  <c r="CN31" i="4"/>
  <c r="CP31" i="4"/>
  <c r="CC30" i="4"/>
  <c r="CE30" i="4"/>
  <c r="CQ30" i="4"/>
  <c r="CO30" i="4"/>
  <c r="CC31" i="4"/>
  <c r="CE31" i="4"/>
  <c r="CQ31" i="4"/>
  <c r="CO31" i="4"/>
  <c r="CD30" i="4"/>
  <c r="CB30" i="4"/>
  <c r="CN30" i="4"/>
  <c r="CP30" i="4"/>
  <c r="CE39" i="4"/>
  <c r="CC39" i="4"/>
  <c r="CO39" i="4"/>
  <c r="CQ39" i="4"/>
  <c r="CC29" i="4"/>
  <c r="CE29" i="4"/>
  <c r="CO29" i="4"/>
  <c r="CQ29" i="4"/>
  <c r="CN14" i="4"/>
  <c r="CP14" i="4"/>
  <c r="CD28" i="4"/>
  <c r="CB28" i="4"/>
  <c r="CN28" i="4"/>
  <c r="CP28" i="4"/>
  <c r="AL31" i="5"/>
  <c r="CC17" i="5"/>
  <c r="CA17" i="5"/>
  <c r="CB16" i="5"/>
  <c r="CD16" i="5"/>
  <c r="CA16" i="5"/>
  <c r="CC16" i="5"/>
  <c r="CB15" i="5"/>
  <c r="CD15" i="5"/>
  <c r="CC15" i="5"/>
  <c r="CA15" i="5"/>
  <c r="CB18" i="5"/>
  <c r="CD18" i="5"/>
  <c r="CC18" i="5"/>
  <c r="CA18" i="5"/>
  <c r="CB17" i="5"/>
  <c r="CD17" i="5"/>
  <c r="AL29" i="5"/>
  <c r="CA14" i="5"/>
  <c r="CC14" i="5"/>
  <c r="CB14" i="5"/>
  <c r="CD14" i="5"/>
  <c r="CE110" i="17"/>
  <c r="CB110" i="17"/>
  <c r="CF110" i="17"/>
  <c r="CP45" i="17"/>
  <c r="EE45" i="17"/>
  <c r="CQ45" i="17"/>
  <c r="EF45" i="17"/>
  <c r="CR45" i="17"/>
  <c r="EG45" i="17"/>
  <c r="CG69" i="2"/>
  <c r="CT69" i="2"/>
  <c r="CQ69" i="2"/>
  <c r="CO69" i="2"/>
  <c r="CD67" i="4"/>
  <c r="CB67" i="4"/>
  <c r="CP67" i="4"/>
  <c r="CN67" i="4"/>
  <c r="CM71" i="4"/>
  <c r="AR71" i="4"/>
  <c r="CC68" i="4"/>
  <c r="CQ68" i="4"/>
  <c r="CO68" i="4"/>
  <c r="C36" i="4"/>
  <c r="CG40" i="4" s="1"/>
  <c r="CC66" i="4"/>
  <c r="AR66" i="4" s="1"/>
  <c r="CQ66" i="4"/>
  <c r="CO66" i="4"/>
  <c r="CE14" i="4"/>
  <c r="CC14" i="4"/>
  <c r="CB14" i="4"/>
  <c r="CD14" i="4"/>
  <c r="CD68" i="4"/>
  <c r="CB68" i="4"/>
  <c r="CP68" i="4"/>
  <c r="CN68" i="4"/>
  <c r="CC67" i="4"/>
  <c r="CQ67" i="4"/>
  <c r="CO67" i="4"/>
  <c r="CE13" i="4"/>
  <c r="CC13" i="4"/>
  <c r="CU120" i="7"/>
  <c r="CT120" i="7"/>
  <c r="CI120" i="7"/>
  <c r="CV120" i="7"/>
  <c r="CI81" i="7"/>
  <c r="CV81" i="7"/>
  <c r="CU81" i="7"/>
  <c r="CT81" i="7"/>
  <c r="CV108" i="7"/>
  <c r="CI108" i="7"/>
  <c r="AY108" i="7" s="1"/>
  <c r="AY57" i="7"/>
  <c r="AY84" i="7"/>
  <c r="CU98" i="7"/>
  <c r="CT98" i="7"/>
  <c r="CI98" i="7"/>
  <c r="CV98" i="7"/>
  <c r="AY85" i="7"/>
  <c r="BJ16" i="18"/>
  <c r="BA16" i="18"/>
  <c r="S16" i="18" s="1"/>
  <c r="BI16" i="18"/>
  <c r="DK17" i="5"/>
  <c r="DM17" i="5"/>
  <c r="CB35" i="5"/>
  <c r="CD35" i="5"/>
  <c r="DL14" i="5"/>
  <c r="DN14" i="5"/>
  <c r="DL17" i="5"/>
  <c r="DN17" i="5"/>
  <c r="DK16" i="5"/>
  <c r="DM16" i="5"/>
  <c r="CB32" i="5"/>
  <c r="CD32" i="5"/>
  <c r="CC35" i="5"/>
  <c r="DM38" i="5"/>
  <c r="DK14" i="5"/>
  <c r="DM14" i="5"/>
  <c r="DN15" i="5"/>
  <c r="DL15" i="5"/>
  <c r="DL16" i="5"/>
  <c r="DN16" i="5"/>
  <c r="DM15" i="5"/>
  <c r="DK15" i="5"/>
  <c r="CD34" i="5"/>
  <c r="CB34" i="5"/>
  <c r="DN18" i="5"/>
  <c r="DL18" i="5"/>
  <c r="CC34" i="5"/>
  <c r="CA34" i="5"/>
  <c r="DM18" i="5"/>
  <c r="DK18" i="5"/>
  <c r="AL33" i="5"/>
  <c r="AQ73" i="16"/>
  <c r="AL73" i="16"/>
  <c r="AJ73" i="16"/>
  <c r="AS73" i="16"/>
  <c r="AK20" i="16"/>
  <c r="AT20" i="16"/>
  <c r="AR20" i="16"/>
  <c r="AQ74" i="16"/>
  <c r="AL74" i="16"/>
  <c r="AJ74" i="16"/>
  <c r="AS74" i="16"/>
  <c r="AR53" i="16"/>
  <c r="AK53" i="16"/>
  <c r="AT53" i="16"/>
  <c r="AJ24" i="16"/>
  <c r="AQ24" i="16"/>
  <c r="AL24" i="16"/>
  <c r="AS24" i="16"/>
  <c r="AS36" i="16"/>
  <c r="AL36" i="16"/>
  <c r="AJ36" i="16"/>
  <c r="AQ36" i="16"/>
  <c r="AK21" i="16"/>
  <c r="AT21" i="16"/>
  <c r="AR21" i="16"/>
  <c r="AT33" i="16"/>
  <c r="AR33" i="16"/>
  <c r="AK33" i="16"/>
  <c r="AQ23" i="16"/>
  <c r="AJ23" i="16"/>
  <c r="AS23" i="16"/>
  <c r="AL23" i="16"/>
  <c r="AK32" i="16"/>
  <c r="AR32" i="16"/>
  <c r="AT32" i="16"/>
  <c r="AS75" i="16"/>
  <c r="AQ75" i="16"/>
  <c r="AJ75" i="16"/>
  <c r="AL75" i="16"/>
  <c r="AT54" i="16"/>
  <c r="AR54" i="16"/>
  <c r="AK54" i="16"/>
  <c r="AS25" i="16"/>
  <c r="AL25" i="16"/>
  <c r="AQ25" i="16"/>
  <c r="AJ25" i="16"/>
  <c r="AL37" i="16"/>
  <c r="AJ37" i="16"/>
  <c r="AS37" i="16"/>
  <c r="AQ37" i="16"/>
  <c r="AR23" i="16"/>
  <c r="AT23" i="16"/>
  <c r="AK23" i="16"/>
  <c r="AR36" i="16"/>
  <c r="AK36" i="16"/>
  <c r="AT36" i="16"/>
  <c r="AK50" i="16"/>
  <c r="AT50" i="16"/>
  <c r="AR50" i="16"/>
  <c r="AS40" i="16"/>
  <c r="AQ40" i="16"/>
  <c r="AJ40" i="16"/>
  <c r="AL40" i="16"/>
  <c r="AK72" i="16"/>
  <c r="AT72" i="16"/>
  <c r="AR72" i="16"/>
  <c r="AL27" i="16"/>
  <c r="AS27" i="16"/>
  <c r="AQ27" i="16"/>
  <c r="AJ27" i="16"/>
  <c r="AL38" i="16"/>
  <c r="AJ38" i="16"/>
  <c r="AS38" i="16"/>
  <c r="AQ38" i="16"/>
  <c r="AR24" i="16"/>
  <c r="AT24" i="16"/>
  <c r="AK24" i="16"/>
  <c r="AT37" i="16"/>
  <c r="AR37" i="16"/>
  <c r="AK37" i="16"/>
  <c r="AQ33" i="16"/>
  <c r="AS33" i="16"/>
  <c r="AL33" i="16"/>
  <c r="AJ33" i="16"/>
  <c r="AT73" i="16"/>
  <c r="AK73" i="16"/>
  <c r="AR73" i="16"/>
  <c r="AJ28" i="16"/>
  <c r="AL28" i="16"/>
  <c r="AS28" i="16"/>
  <c r="AQ28" i="16"/>
  <c r="AJ39" i="16"/>
  <c r="AS39" i="16"/>
  <c r="AQ39" i="16"/>
  <c r="AL39" i="16"/>
  <c r="AT25" i="16"/>
  <c r="AR25" i="16"/>
  <c r="AK25" i="16"/>
  <c r="AT38" i="16"/>
  <c r="AR38" i="16"/>
  <c r="AK38" i="16"/>
  <c r="AL50" i="16"/>
  <c r="AQ50" i="16"/>
  <c r="AJ50" i="16"/>
  <c r="AS50" i="16"/>
  <c r="AL21" i="16"/>
  <c r="AS21" i="16"/>
  <c r="AQ21" i="16"/>
  <c r="AJ21" i="16"/>
  <c r="AR74" i="16"/>
  <c r="AK74" i="16"/>
  <c r="AT74" i="16"/>
  <c r="AJ17" i="16"/>
  <c r="AS17" i="16"/>
  <c r="AQ17" i="16"/>
  <c r="AL17" i="16"/>
  <c r="AJ30" i="16"/>
  <c r="AS30" i="16"/>
  <c r="AQ30" i="16"/>
  <c r="AL30" i="16"/>
  <c r="AL42" i="16"/>
  <c r="AQ42" i="16"/>
  <c r="AJ42" i="16"/>
  <c r="AS42" i="16"/>
  <c r="AT27" i="16"/>
  <c r="AK27" i="16"/>
  <c r="AR27" i="16"/>
  <c r="AR39" i="16"/>
  <c r="AT39" i="16"/>
  <c r="AK39" i="16"/>
  <c r="AS76" i="16"/>
  <c r="AQ76" i="16"/>
  <c r="AL76" i="16"/>
  <c r="AJ76" i="16"/>
  <c r="AR75" i="16"/>
  <c r="AK75" i="16"/>
  <c r="AT75" i="16"/>
  <c r="AS53" i="16"/>
  <c r="AQ53" i="16"/>
  <c r="AL53" i="16"/>
  <c r="AJ53" i="16"/>
  <c r="AJ18" i="16"/>
  <c r="AS18" i="16"/>
  <c r="AQ18" i="16"/>
  <c r="AL18" i="16"/>
  <c r="AQ31" i="16"/>
  <c r="AL31" i="16"/>
  <c r="AJ31" i="16"/>
  <c r="AS31" i="16"/>
  <c r="AT16" i="16"/>
  <c r="AK16" i="16"/>
  <c r="R16" i="16" s="1"/>
  <c r="AR16" i="16"/>
  <c r="AR28" i="16"/>
  <c r="AK28" i="16"/>
  <c r="AT28" i="16"/>
  <c r="AK40" i="16"/>
  <c r="AR40" i="16"/>
  <c r="AT40" i="16"/>
  <c r="AL72" i="16"/>
  <c r="AJ72" i="16"/>
  <c r="AS72" i="16"/>
  <c r="AQ72" i="16"/>
  <c r="AT76" i="16"/>
  <c r="AR76" i="16"/>
  <c r="AK76" i="16"/>
  <c r="AS54" i="16"/>
  <c r="AQ54" i="16"/>
  <c r="AL54" i="16"/>
  <c r="AJ54" i="16"/>
  <c r="AQ20" i="16"/>
  <c r="AJ20" i="16"/>
  <c r="AS20" i="16"/>
  <c r="AL20" i="16"/>
  <c r="AL32" i="16"/>
  <c r="AJ32" i="16"/>
  <c r="AS32" i="16"/>
  <c r="AQ32" i="16"/>
  <c r="AR18" i="16"/>
  <c r="AK18" i="16"/>
  <c r="AT18" i="16"/>
  <c r="AK31" i="16"/>
  <c r="AT31" i="16"/>
  <c r="AR31" i="16"/>
  <c r="AK42" i="16"/>
  <c r="AT42" i="16"/>
  <c r="AR42" i="16"/>
  <c r="AJ35" i="16"/>
  <c r="AS35" i="16"/>
  <c r="AQ35" i="16"/>
  <c r="AL35" i="16"/>
  <c r="F34" i="16"/>
  <c r="CT36" i="7"/>
  <c r="CU36" i="7"/>
  <c r="CV36" i="7"/>
  <c r="CI36" i="7"/>
  <c r="CI21" i="7"/>
  <c r="CV21" i="7"/>
  <c r="CT21" i="7"/>
  <c r="CU21" i="7"/>
  <c r="CV45" i="7"/>
  <c r="CI45" i="7"/>
  <c r="AY45" i="7" s="1"/>
  <c r="CV49" i="7"/>
  <c r="CU49" i="7"/>
  <c r="CT49" i="7"/>
  <c r="CI49" i="7"/>
  <c r="AY22" i="7"/>
  <c r="AY23" i="7"/>
  <c r="DM41" i="5"/>
  <c r="I19" i="16"/>
  <c r="F19" i="16"/>
  <c r="L19" i="16"/>
  <c r="O19" i="16"/>
  <c r="DP32" i="5"/>
  <c r="DP34" i="5"/>
  <c r="DP35" i="5"/>
  <c r="E11" i="12"/>
  <c r="CV69" i="2"/>
  <c r="CU69" i="2"/>
  <c r="C30" i="16"/>
  <c r="D71" i="17"/>
  <c r="DS111" i="17"/>
  <c r="DQ111" i="17"/>
  <c r="DR111" i="17"/>
  <c r="CD110" i="17"/>
  <c r="DT111" i="17"/>
  <c r="CC110" i="17"/>
  <c r="L26" i="16"/>
  <c r="C69" i="2"/>
  <c r="E20" i="6"/>
  <c r="D38" i="6"/>
  <c r="E29" i="6"/>
  <c r="E38" i="6"/>
  <c r="O43" i="16"/>
  <c r="L34" i="16"/>
  <c r="E59" i="17"/>
  <c r="E64" i="17"/>
  <c r="E56" i="17"/>
  <c r="E71" i="17"/>
  <c r="D29" i="6"/>
  <c r="E15" i="6"/>
  <c r="D20" i="6"/>
  <c r="D15" i="6"/>
  <c r="C75" i="16"/>
  <c r="C21" i="16"/>
  <c r="C74" i="2"/>
  <c r="C27" i="6"/>
  <c r="O26" i="16"/>
  <c r="O22" i="16"/>
  <c r="L29" i="16"/>
  <c r="C33" i="16"/>
  <c r="F26" i="16"/>
  <c r="C67" i="4"/>
  <c r="C34" i="4"/>
  <c r="C21" i="4"/>
  <c r="C31" i="4"/>
  <c r="C35" i="4"/>
  <c r="C16" i="6"/>
  <c r="F29" i="16"/>
  <c r="C37" i="16"/>
  <c r="C74" i="16"/>
  <c r="E34" i="16"/>
  <c r="C34" i="16" s="1"/>
  <c r="C23" i="16"/>
  <c r="C28" i="4"/>
  <c r="E41" i="16"/>
  <c r="C41" i="16" s="1"/>
  <c r="C56" i="6"/>
  <c r="C17" i="4"/>
  <c r="C22" i="4"/>
  <c r="D4" i="12"/>
  <c r="C53" i="16"/>
  <c r="C76" i="16"/>
  <c r="I22" i="16"/>
  <c r="I34" i="16"/>
  <c r="C54" i="16"/>
  <c r="L22" i="16"/>
  <c r="CR69" i="2"/>
  <c r="CP69" i="2"/>
  <c r="C20" i="16"/>
  <c r="C30" i="4"/>
  <c r="O29" i="16"/>
  <c r="C72" i="16"/>
  <c r="C32" i="16"/>
  <c r="C54" i="6"/>
  <c r="C16" i="16"/>
  <c r="C24" i="16"/>
  <c r="F41" i="16"/>
  <c r="C17" i="16"/>
  <c r="D43" i="16"/>
  <c r="C40" i="16"/>
  <c r="C34" i="6"/>
  <c r="F22" i="16"/>
  <c r="C31" i="16"/>
  <c r="C27" i="16"/>
  <c r="I29" i="16"/>
  <c r="F43" i="16"/>
  <c r="L43" i="16"/>
  <c r="G21" i="6"/>
  <c r="C19" i="6"/>
  <c r="T21" i="6"/>
  <c r="E29" i="16"/>
  <c r="C29" i="16" s="1"/>
  <c r="O34" i="16"/>
  <c r="E43" i="16"/>
  <c r="C19" i="16"/>
  <c r="O41" i="16"/>
  <c r="C38" i="16"/>
  <c r="I43" i="16"/>
  <c r="C39" i="16"/>
  <c r="C18" i="16"/>
  <c r="CN79" i="2"/>
  <c r="DK35" i="5"/>
  <c r="C36" i="16"/>
  <c r="DM35" i="5"/>
  <c r="C49" i="16"/>
  <c r="C13" i="17"/>
  <c r="C29" i="17"/>
  <c r="C33" i="17"/>
  <c r="C35" i="17"/>
  <c r="C34" i="17"/>
  <c r="C68" i="17"/>
  <c r="C19" i="17"/>
  <c r="C55" i="17"/>
  <c r="C62" i="17"/>
  <c r="C14" i="17"/>
  <c r="C53" i="17"/>
  <c r="C28" i="17"/>
  <c r="C61" i="17"/>
  <c r="E73" i="17"/>
  <c r="C17" i="17"/>
  <c r="C26" i="17"/>
  <c r="C16" i="17"/>
  <c r="C47" i="17"/>
  <c r="C106" i="7"/>
  <c r="C92" i="7"/>
  <c r="C31" i="7"/>
  <c r="B26" i="18"/>
  <c r="BC26" i="18" s="1"/>
  <c r="C50" i="16"/>
  <c r="C26" i="16"/>
  <c r="I41" i="16"/>
  <c r="C55" i="6"/>
  <c r="C13" i="6"/>
  <c r="C66" i="4"/>
  <c r="C68" i="4"/>
  <c r="C63" i="17"/>
  <c r="C23" i="17"/>
  <c r="C50" i="17"/>
  <c r="C22" i="17"/>
  <c r="C20" i="17"/>
  <c r="C70" i="17"/>
  <c r="C57" i="17"/>
  <c r="C66" i="17"/>
  <c r="C36" i="17"/>
  <c r="C32" i="17"/>
  <c r="CN78" i="2"/>
  <c r="C57" i="6"/>
  <c r="K21" i="6"/>
  <c r="W21" i="6"/>
  <c r="C34" i="7"/>
  <c r="C111" i="7"/>
  <c r="C44" i="7"/>
  <c r="C46" i="7"/>
  <c r="C37" i="7"/>
  <c r="B22" i="18"/>
  <c r="BC22" i="18" s="1"/>
  <c r="B15" i="18"/>
  <c r="C58" i="17"/>
  <c r="C112" i="17"/>
  <c r="D73" i="17"/>
  <c r="C60" i="17"/>
  <c r="C72" i="17"/>
  <c r="C25" i="17"/>
  <c r="C67" i="17"/>
  <c r="C14" i="4"/>
  <c r="C39" i="4"/>
  <c r="CF39" i="4" s="1"/>
  <c r="C33" i="4"/>
  <c r="C89" i="7"/>
  <c r="C38" i="7"/>
  <c r="C20" i="7"/>
  <c r="C27" i="7"/>
  <c r="C16" i="4"/>
  <c r="C18" i="6"/>
  <c r="C51" i="7"/>
  <c r="C13" i="4"/>
  <c r="C2" i="12"/>
  <c r="C37" i="6"/>
  <c r="C96" i="7"/>
  <c r="C29" i="4"/>
  <c r="J21" i="6"/>
  <c r="C82" i="7"/>
  <c r="C91" i="7"/>
  <c r="J141" i="17"/>
  <c r="C28" i="6"/>
  <c r="C17" i="6"/>
  <c r="C32" i="4"/>
  <c r="C15" i="4"/>
  <c r="C14" i="6"/>
  <c r="C58" i="7"/>
  <c r="L41" i="16"/>
  <c r="C42" i="16"/>
  <c r="C25" i="16"/>
  <c r="C36" i="6"/>
  <c r="C48" i="17"/>
  <c r="C65" i="17"/>
  <c r="C69" i="17"/>
  <c r="C35" i="16"/>
  <c r="C31" i="17"/>
  <c r="DM34" i="5"/>
  <c r="C26" i="7"/>
  <c r="C35" i="6"/>
  <c r="H21" i="6"/>
  <c r="C24" i="4"/>
  <c r="C30" i="7"/>
  <c r="C28" i="16"/>
  <c r="C54" i="17"/>
  <c r="C73" i="16"/>
  <c r="C24" i="7"/>
  <c r="C51" i="17"/>
  <c r="B23" i="18"/>
  <c r="D22" i="16"/>
  <c r="C22" i="16" s="1"/>
  <c r="X21" i="6"/>
  <c r="C141" i="17"/>
  <c r="B24" i="18"/>
  <c r="J139" i="17"/>
  <c r="J140" i="17"/>
  <c r="I26" i="16"/>
  <c r="C64" i="7"/>
  <c r="DL37" i="5"/>
  <c r="C33" i="5"/>
  <c r="DL33" i="5"/>
  <c r="DK33" i="5"/>
  <c r="C34" i="5"/>
  <c r="DO34" i="5"/>
  <c r="DK34" i="5"/>
  <c r="DO35" i="5"/>
  <c r="DO37" i="5"/>
  <c r="C32" i="5"/>
  <c r="DK32" i="5"/>
  <c r="C35" i="5"/>
  <c r="DO32" i="5"/>
  <c r="DM32" i="5"/>
  <c r="DL35" i="5"/>
  <c r="DK31" i="5"/>
  <c r="DO29" i="5"/>
  <c r="DL32" i="5"/>
  <c r="C93" i="7"/>
  <c r="C25" i="7"/>
  <c r="C47" i="7"/>
  <c r="C112" i="7"/>
  <c r="C97" i="7"/>
  <c r="C88" i="7"/>
  <c r="C50" i="7"/>
  <c r="C35" i="7"/>
  <c r="C87" i="7"/>
  <c r="C99" i="7"/>
  <c r="C29" i="7"/>
  <c r="C107" i="7"/>
  <c r="C118" i="7"/>
  <c r="C86" i="7"/>
  <c r="C113" i="7"/>
  <c r="C63" i="7"/>
  <c r="C18" i="5"/>
  <c r="C14" i="5"/>
  <c r="C16" i="5"/>
  <c r="C13" i="5"/>
  <c r="C19" i="5"/>
  <c r="C17" i="5"/>
  <c r="C15" i="5"/>
  <c r="U21" i="6"/>
  <c r="CS69" i="2"/>
  <c r="I21" i="6"/>
  <c r="DK37" i="5"/>
  <c r="DL34" i="5"/>
  <c r="C12" i="5" l="1"/>
  <c r="A113" i="5"/>
  <c r="BC24" i="18"/>
  <c r="BD24" i="18"/>
  <c r="A94" i="4"/>
  <c r="CA65" i="4"/>
  <c r="AR79" i="4"/>
  <c r="D5" i="12"/>
  <c r="CG39" i="4"/>
  <c r="CF38" i="4"/>
  <c r="CF37" i="4"/>
  <c r="CR38" i="4"/>
  <c r="AS24" i="4"/>
  <c r="AS29" i="4"/>
  <c r="AS28" i="4"/>
  <c r="AS30" i="4"/>
  <c r="AS32" i="4"/>
  <c r="AS33" i="4"/>
  <c r="AS34" i="4"/>
  <c r="AS22" i="4"/>
  <c r="AS31" i="4"/>
  <c r="AS35" i="4"/>
  <c r="AS37" i="4"/>
  <c r="A221" i="17"/>
  <c r="AS36" i="4"/>
  <c r="T45" i="17"/>
  <c r="O110" i="17"/>
  <c r="AL18" i="5"/>
  <c r="AL16" i="5"/>
  <c r="AL15" i="5"/>
  <c r="AL17" i="5"/>
  <c r="AL14" i="5"/>
  <c r="AR68" i="4"/>
  <c r="AR67" i="4"/>
  <c r="A146" i="7"/>
  <c r="A109" i="16"/>
  <c r="R72" i="16"/>
  <c r="A110" i="16"/>
  <c r="A81" i="6"/>
  <c r="A41" i="18"/>
  <c r="E15" i="12" s="1"/>
  <c r="CM65" i="4"/>
  <c r="AR65" i="4"/>
  <c r="A93" i="4"/>
  <c r="E7" i="12" s="1"/>
  <c r="R33" i="16"/>
  <c r="R38" i="16"/>
  <c r="R32" i="16"/>
  <c r="R50" i="16"/>
  <c r="R28" i="16"/>
  <c r="R18" i="16"/>
  <c r="R76" i="16"/>
  <c r="R25" i="16"/>
  <c r="R24" i="16"/>
  <c r="R53" i="16"/>
  <c r="R30" i="16"/>
  <c r="R21" i="16"/>
  <c r="R36" i="16"/>
  <c r="R37" i="16"/>
  <c r="R31" i="16"/>
  <c r="R39" i="16"/>
  <c r="R27" i="16"/>
  <c r="R35" i="16"/>
  <c r="R20" i="16"/>
  <c r="R42" i="16"/>
  <c r="R73" i="16"/>
  <c r="R75" i="16"/>
  <c r="R74" i="16"/>
  <c r="R40" i="16"/>
  <c r="R23" i="16"/>
  <c r="R54" i="16"/>
  <c r="R17" i="16"/>
  <c r="AL34" i="5"/>
  <c r="CA14" i="4"/>
  <c r="AS14" i="4" s="1"/>
  <c r="CM14" i="4"/>
  <c r="CA15" i="4"/>
  <c r="AS15" i="4" s="1"/>
  <c r="CM15" i="4"/>
  <c r="CA13" i="4"/>
  <c r="AS13" i="4" s="1"/>
  <c r="CS39" i="4"/>
  <c r="CR39" i="4"/>
  <c r="CA16" i="4"/>
  <c r="AS16" i="4" s="1"/>
  <c r="CM16" i="4"/>
  <c r="AS38" i="4"/>
  <c r="AS40" i="4"/>
  <c r="CS40" i="4"/>
  <c r="CA17" i="4"/>
  <c r="AS17" i="4" s="1"/>
  <c r="CM17" i="4"/>
  <c r="CR37" i="4"/>
  <c r="CV107" i="7"/>
  <c r="CI107" i="7"/>
  <c r="AY107" i="7" s="1"/>
  <c r="CU96" i="7"/>
  <c r="CT96" i="7"/>
  <c r="CI96" i="7"/>
  <c r="CV96" i="7"/>
  <c r="CV99" i="7"/>
  <c r="CT99" i="7"/>
  <c r="CU99" i="7"/>
  <c r="CI99" i="7"/>
  <c r="CU83" i="7"/>
  <c r="CV83" i="7"/>
  <c r="CI83" i="7"/>
  <c r="CT83" i="7"/>
  <c r="AY120" i="7"/>
  <c r="CT118" i="7"/>
  <c r="CI118" i="7"/>
  <c r="CV118" i="7"/>
  <c r="CU118" i="7"/>
  <c r="AY81" i="7"/>
  <c r="CI97" i="7"/>
  <c r="CU97" i="7"/>
  <c r="CV97" i="7"/>
  <c r="CT97" i="7"/>
  <c r="CU112" i="7"/>
  <c r="CT112" i="7"/>
  <c r="CI112" i="7"/>
  <c r="CV112" i="7"/>
  <c r="CU87" i="7"/>
  <c r="CT87" i="7"/>
  <c r="CV87" i="7"/>
  <c r="CI87" i="7"/>
  <c r="CV89" i="7"/>
  <c r="CU89" i="7"/>
  <c r="CI89" i="7"/>
  <c r="CT89" i="7"/>
  <c r="CI111" i="7"/>
  <c r="CV111" i="7"/>
  <c r="CU111" i="7"/>
  <c r="CT111" i="7"/>
  <c r="CV93" i="7"/>
  <c r="CU93" i="7"/>
  <c r="CT93" i="7"/>
  <c r="CI93" i="7"/>
  <c r="CT92" i="7"/>
  <c r="CI92" i="7"/>
  <c r="CV92" i="7"/>
  <c r="CU92" i="7"/>
  <c r="CV113" i="7"/>
  <c r="CU113" i="7"/>
  <c r="CT113" i="7"/>
  <c r="CI113" i="7"/>
  <c r="CV91" i="7"/>
  <c r="CU91" i="7"/>
  <c r="CT91" i="7"/>
  <c r="CI91" i="7"/>
  <c r="CI106" i="7"/>
  <c r="AY106" i="7" s="1"/>
  <c r="CV106" i="7"/>
  <c r="CU86" i="7"/>
  <c r="CI86" i="7"/>
  <c r="CV86" i="7"/>
  <c r="CT86" i="7"/>
  <c r="CT88" i="7"/>
  <c r="CI88" i="7"/>
  <c r="CV88" i="7"/>
  <c r="CU88" i="7"/>
  <c r="CU82" i="7"/>
  <c r="CV82" i="7"/>
  <c r="CI82" i="7"/>
  <c r="CT82" i="7"/>
  <c r="AY98" i="7"/>
  <c r="BA15" i="18"/>
  <c r="BI15" i="18"/>
  <c r="BB15" i="18"/>
  <c r="BJ15" i="18"/>
  <c r="BL22" i="18"/>
  <c r="BB22" i="18"/>
  <c r="BI22" i="18"/>
  <c r="BA22" i="18"/>
  <c r="BJ22" i="18"/>
  <c r="BK22" i="18"/>
  <c r="BK24" i="18"/>
  <c r="BL24" i="18"/>
  <c r="BA24" i="18"/>
  <c r="BB24" i="18"/>
  <c r="BI24" i="18"/>
  <c r="BJ24" i="18"/>
  <c r="BI23" i="18"/>
  <c r="BJ23" i="18"/>
  <c r="BK23" i="18"/>
  <c r="BL23" i="18"/>
  <c r="BA23" i="18"/>
  <c r="BB23" i="18"/>
  <c r="BL26" i="18"/>
  <c r="BA26" i="18"/>
  <c r="BB26" i="18"/>
  <c r="BI26" i="18"/>
  <c r="BJ26" i="18"/>
  <c r="BK26" i="18"/>
  <c r="AL32" i="5"/>
  <c r="AL35" i="5"/>
  <c r="CI25" i="7"/>
  <c r="CT25" i="7"/>
  <c r="CU25" i="7"/>
  <c r="CV25" i="7"/>
  <c r="CI24" i="7"/>
  <c r="CV24" i="7"/>
  <c r="CU24" i="7"/>
  <c r="CT24" i="7"/>
  <c r="CI26" i="7"/>
  <c r="CU26" i="7"/>
  <c r="CV26" i="7"/>
  <c r="CT26" i="7"/>
  <c r="CT51" i="7"/>
  <c r="CI51" i="7"/>
  <c r="CV51" i="7"/>
  <c r="CU51" i="7"/>
  <c r="CI46" i="7"/>
  <c r="CV46" i="7"/>
  <c r="CT35" i="7"/>
  <c r="CU35" i="7"/>
  <c r="CV35" i="7"/>
  <c r="CI35" i="7"/>
  <c r="CV50" i="7"/>
  <c r="CU50" i="7"/>
  <c r="CT50" i="7"/>
  <c r="CI50" i="7"/>
  <c r="CI58" i="7"/>
  <c r="CV58" i="7"/>
  <c r="CU58" i="7"/>
  <c r="CT58" i="7"/>
  <c r="CV44" i="7"/>
  <c r="CI44" i="7"/>
  <c r="AY44" i="7" s="1"/>
  <c r="CI31" i="7"/>
  <c r="CV31" i="7"/>
  <c r="CU31" i="7"/>
  <c r="CT31" i="7"/>
  <c r="CI38" i="7"/>
  <c r="CT38" i="7"/>
  <c r="CU38" i="7"/>
  <c r="CV38" i="7"/>
  <c r="CI37" i="7"/>
  <c r="CT37" i="7"/>
  <c r="CU37" i="7"/>
  <c r="CV37" i="7"/>
  <c r="CV30" i="7"/>
  <c r="CU30" i="7"/>
  <c r="CT30" i="7"/>
  <c r="CI30" i="7"/>
  <c r="CI27" i="7"/>
  <c r="CT27" i="7"/>
  <c r="CV27" i="7"/>
  <c r="CU27" i="7"/>
  <c r="CI34" i="7"/>
  <c r="CV34" i="7"/>
  <c r="CU34" i="7"/>
  <c r="CT34" i="7"/>
  <c r="CV29" i="7"/>
  <c r="CU29" i="7"/>
  <c r="CT29" i="7"/>
  <c r="CI29" i="7"/>
  <c r="CV47" i="7"/>
  <c r="CI47" i="7"/>
  <c r="CU47" i="7"/>
  <c r="CT47" i="7"/>
  <c r="CI20" i="7"/>
  <c r="CV20" i="7"/>
  <c r="CU20" i="7"/>
  <c r="CT20" i="7"/>
  <c r="AY36" i="7"/>
  <c r="AY21" i="7"/>
  <c r="AY49" i="7"/>
  <c r="C43" i="16"/>
  <c r="E5" i="12"/>
  <c r="CM13" i="4"/>
  <c r="M69" i="2"/>
  <c r="C20" i="6"/>
  <c r="A112" i="5"/>
  <c r="C38" i="6"/>
  <c r="C73" i="17"/>
  <c r="E21" i="6"/>
  <c r="D21" i="6"/>
  <c r="C52" i="17"/>
  <c r="C15" i="6"/>
  <c r="C56" i="17"/>
  <c r="C29" i="6"/>
  <c r="C49" i="17"/>
  <c r="C18" i="17"/>
  <c r="C71" i="17"/>
  <c r="C27" i="17"/>
  <c r="C59" i="17"/>
  <c r="C37" i="17"/>
  <c r="C64" i="17"/>
  <c r="C24" i="17"/>
  <c r="C21" i="17"/>
  <c r="C15" i="17"/>
  <c r="C40" i="17"/>
  <c r="E13" i="12"/>
  <c r="D7" i="12" l="1"/>
  <c r="AS39" i="4"/>
  <c r="AY88" i="7"/>
  <c r="A220" i="17"/>
  <c r="E6" i="12" s="1"/>
  <c r="A147" i="7"/>
  <c r="D10" i="12" s="1"/>
  <c r="AY99" i="7"/>
  <c r="U26" i="18"/>
  <c r="U24" i="18"/>
  <c r="U23" i="18"/>
  <c r="A42" i="18"/>
  <c r="D15" i="12" s="1"/>
  <c r="CA55" i="6"/>
  <c r="AB55" i="6" s="1"/>
  <c r="CA48" i="6"/>
  <c r="AB48" i="6" s="1"/>
  <c r="CN53" i="6"/>
  <c r="CN54" i="6"/>
  <c r="CN56" i="6"/>
  <c r="CN55" i="6"/>
  <c r="CM55" i="6"/>
  <c r="CN57" i="6"/>
  <c r="CN48" i="6"/>
  <c r="S15" i="18"/>
  <c r="U22" i="18"/>
  <c r="AY89" i="7"/>
  <c r="AY50" i="7"/>
  <c r="AY26" i="7"/>
  <c r="AY37" i="7"/>
  <c r="AY29" i="7"/>
  <c r="AY30" i="7"/>
  <c r="AY20" i="7"/>
  <c r="AY93" i="7"/>
  <c r="AY83" i="7"/>
  <c r="AY47" i="7"/>
  <c r="AY111" i="7"/>
  <c r="AY97" i="7"/>
  <c r="AY91" i="7"/>
  <c r="AY113" i="7"/>
  <c r="AY112" i="7"/>
  <c r="AY118" i="7"/>
  <c r="AY58" i="7"/>
  <c r="AY86" i="7"/>
  <c r="AY82" i="7"/>
  <c r="AY92" i="7"/>
  <c r="AY87" i="7"/>
  <c r="AY96" i="7"/>
  <c r="AY51" i="7"/>
  <c r="AY25" i="7"/>
  <c r="AY24" i="7"/>
  <c r="AY38" i="7"/>
  <c r="AY35" i="7"/>
  <c r="AY31" i="7"/>
  <c r="AY27" i="7"/>
  <c r="AY46" i="7"/>
  <c r="AY34" i="7"/>
  <c r="D13" i="12"/>
  <c r="E8" i="12"/>
  <c r="D12" i="12"/>
  <c r="E12" i="12"/>
  <c r="C21" i="6"/>
  <c r="CA43" i="6" l="1"/>
  <c r="AB43" i="6" s="1"/>
  <c r="CN43" i="6"/>
  <c r="E9" i="12"/>
  <c r="D8" i="12"/>
  <c r="E10" i="12"/>
  <c r="D9" i="12" l="1"/>
  <c r="D6" i="12" l="1"/>
  <c r="D17" i="12" s="1"/>
  <c r="B10" i="13" s="1"/>
  <c r="X25" i="2"/>
</calcChain>
</file>

<file path=xl/sharedStrings.xml><?xml version="1.0" encoding="utf-8"?>
<sst xmlns="http://schemas.openxmlformats.org/spreadsheetml/2006/main" count="2879" uniqueCount="923">
  <si>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</si>
  <si>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</si>
  <si>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</si>
  <si>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</si>
  <si>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</si>
  <si>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</si>
  <si>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</si>
  <si>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JUNIO</t>
  </si>
  <si>
    <t>Establecimiento de Mayor Complejidad (EMAYC)</t>
  </si>
  <si>
    <t>SERVICIO DE SALUD</t>
  </si>
  <si>
    <t>Jefe/a de Estadísticas</t>
  </si>
  <si>
    <t>DICIEMBRE</t>
  </si>
  <si>
    <t>Establecimiento de Mediana Complejidad (EMEDC)</t>
  </si>
  <si>
    <t>MUNICIPAL</t>
  </si>
  <si>
    <t>Establecimiento de Menor Complejidad (EMENC)</t>
  </si>
  <si>
    <t>Organizaciones sin fines de lucro y ONG (Delegado)</t>
  </si>
  <si>
    <t>Centros de Diagnóstico Terapeutico (CDT)</t>
  </si>
  <si>
    <t>MINSAL - DEIS</t>
  </si>
  <si>
    <t>Centro de Referencia de Salud (CRS)</t>
  </si>
  <si>
    <t>Consultorio General Urbano (CGU)</t>
  </si>
  <si>
    <t>SERIE P</t>
  </si>
  <si>
    <t>Consultorio General Urbano (CGU) - CESFAM</t>
  </si>
  <si>
    <t>Consultorio General Urbano(CGU) con SAPU/SUR/SAR</t>
  </si>
  <si>
    <t>Consultorio General Urbano (CGU) - CESFAM con SAPU/SAR</t>
  </si>
  <si>
    <t>Consultorio General Rural (CGR)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</si>
  <si>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</si>
  <si>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</si>
  <si>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</si>
  <si>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</si>
  <si>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</si>
  <si>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</si>
  <si>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</si>
  <si>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</si>
  <si>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</si>
  <si>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</si>
  <si>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</si>
  <si>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</si>
  <si>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Atención Primaria de Urgencia de Alta Resolutividad (SAR)</t>
  </si>
  <si>
    <t>Servicio de Urgencia Rural (SUR)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</si>
  <si>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</si>
  <si>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</si>
  <si>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</si>
  <si>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</si>
  <si>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</si>
  <si>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SAMU</t>
  </si>
  <si>
    <t>REM-P1. POBLACIÓN EN CONTROL PROGRAMA DE SALUD DE LA MUJER</t>
  </si>
  <si>
    <t>ATENCIÓN PRIMARIA DE SALUD</t>
  </si>
  <si>
    <t xml:space="preserve">SECCION A: POBLACIÓN EN CONTROL SEGÚN MÉTODO DE REGULACIÓN DE FERTILIDAD </t>
  </si>
  <si>
    <t>MÉTODOS</t>
  </si>
  <si>
    <t>TOTAL</t>
  </si>
  <si>
    <t>RANGO ETARIO</t>
  </si>
  <si>
    <t>Pueblos Originarios</t>
  </si>
  <si>
    <t xml:space="preserve"> Migrantes</t>
  </si>
  <si>
    <t>PV-VIH (personas viviendo con VIH)</t>
  </si>
  <si>
    <t>Identidad de Género</t>
  </si>
  <si>
    <t>Personas con Discapacidad</t>
  </si>
  <si>
    <t>Menor 
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</si>
  <si>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</si>
  <si>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</si>
  <si>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</si>
  <si>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</si>
  <si>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</si>
  <si>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</si>
  <si>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</si>
  <si>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</si>
  <si>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</si>
  <si>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</si>
  <si>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</si>
  <si>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y más años</t>
  </si>
  <si>
    <t>Menor de 20 años</t>
  </si>
  <si>
    <t>20 años y más</t>
  </si>
  <si>
    <t>Trans Masculino</t>
  </si>
  <si>
    <t>Trans Femenino</t>
  </si>
  <si>
    <t>No Binarie</t>
  </si>
  <si>
    <t>D . I . U T con Cobre</t>
  </si>
  <si>
    <t>D . I . U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</si>
  <si>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</si>
  <si>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</si>
  <si>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</si>
  <si>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</si>
  <si>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</si>
  <si>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</si>
  <si>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</si>
  <si>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Vaginal</t>
  </si>
  <si>
    <t>Solo Preservativo MAC</t>
  </si>
  <si>
    <t>Mujer</t>
  </si>
  <si>
    <t>Hombres</t>
  </si>
  <si>
    <t xml:space="preserve">Esterilización Quirúrgica </t>
  </si>
  <si>
    <t xml:space="preserve">Otro </t>
  </si>
  <si>
    <t>Total</t>
  </si>
  <si>
    <t xml:space="preserve"> Mujeres en control con enfermedad cardiovascular (DM-HTA)</t>
  </si>
  <si>
    <t>Mujeres con Retiro de Implante Anticipado en el semestre (antes de los 3 años)</t>
  </si>
  <si>
    <t>En APS</t>
  </si>
  <si>
    <t xml:space="preserve">En Extrasistema </t>
  </si>
  <si>
    <t>Mujeres con Retiro de Implante Anticipado en el semestre (antes de los 5 años)</t>
  </si>
  <si>
    <t>Método de Regulación de Fertilidad más Preservativo</t>
  </si>
  <si>
    <t xml:space="preserve">SECCION A.1: POBLACIÓN EN CONTROL SEGÚN SALUD SEXUAL </t>
  </si>
  <si>
    <t xml:space="preserve">Preservativo/Práctica Sexual segura </t>
  </si>
  <si>
    <t>Lubricantes</t>
  </si>
  <si>
    <t>Condon Femenino</t>
  </si>
  <si>
    <t>Gestantes que reciben preservativo</t>
  </si>
  <si>
    <t xml:space="preserve">SECCION B: GESTANTES EN CONTROL CON EVALUACIÓN RIESGO BIOPSICOSOCIAL </t>
  </si>
  <si>
    <t>GRUPOS DE EDAD</t>
  </si>
  <si>
    <t xml:space="preserve">Total de Gestantes en Control </t>
  </si>
  <si>
    <t xml:space="preserve">En Riesgo Psicosocial </t>
  </si>
  <si>
    <t>Con 3 o más Riesgos Psicosociales</t>
  </si>
  <si>
    <t xml:space="preserve">Que presentan Violencia de género </t>
  </si>
  <si>
    <t>Gestantes que presentan ARO</t>
  </si>
  <si>
    <t>Migrantes</t>
  </si>
  <si>
    <t>Menos de 15 años</t>
  </si>
  <si>
    <t>SECCION C: GESTANTES EN RIESGO PSICOSOCIAL CON VISITA DOMICILIARIA INTEGRAL REALIZADA EN EL SEMESTRE</t>
  </si>
  <si>
    <t>N° VDI</t>
  </si>
  <si>
    <t>N° Gestantes 
con VDI</t>
  </si>
  <si>
    <t>TOTAL de Visitas</t>
  </si>
  <si>
    <t>1 Visita</t>
  </si>
  <si>
    <t>2 Visitas</t>
  </si>
  <si>
    <t>3 Visitas</t>
  </si>
  <si>
    <t>4 y más Visitas</t>
  </si>
  <si>
    <t>SECCION D: GESTANTES Y PERSONAS DE 8° MES POST-PARTO EN CONTROL, SEGÚN ESTADO NUTRICIONAL</t>
  </si>
  <si>
    <t>POBLACIÓN</t>
  </si>
  <si>
    <t>ESTADO
NUTRICIONAL</t>
  </si>
  <si>
    <t>Menos 15 años</t>
  </si>
  <si>
    <t>Gestantes en Control 
(Información a la fecha de corte)</t>
  </si>
  <si>
    <t>Obesa</t>
  </si>
  <si>
    <t>Sobrepeso</t>
  </si>
  <si>
    <t>Normal</t>
  </si>
  <si>
    <t>Bajo Peso</t>
  </si>
  <si>
    <t>Control al 8º mes Post-Parto 
(Información del semestre)</t>
  </si>
  <si>
    <t xml:space="preserve">SECCION E: GESTANTES Y PERSONAS EN CONTROL CON CONSULTA NUTRICIONAL </t>
  </si>
  <si>
    <t>MUJERES</t>
  </si>
  <si>
    <t>Gestantes con malnutrición por déficit (bajo peso)</t>
  </si>
  <si>
    <t>Gestantes con malnutrición por exceso - Obesa</t>
  </si>
  <si>
    <t>Gestantes con malnutrición por exceso - Sobrepeso</t>
  </si>
  <si>
    <t>En 3º mes post parto</t>
  </si>
  <si>
    <t>En 6º mes post parto</t>
  </si>
  <si>
    <t xml:space="preserve">SECCION F: MUJERES EN CONTROL DE CLIMATERIO </t>
  </si>
  <si>
    <t>Menor de 45 años</t>
  </si>
  <si>
    <t>45 a 64 años</t>
  </si>
  <si>
    <t>Población en Control</t>
  </si>
  <si>
    <t>Mujeres con pauta aplicada MRS*</t>
  </si>
  <si>
    <t>Mujeres con MRS al ingreso</t>
  </si>
  <si>
    <t>Mujeres con MRS en control</t>
  </si>
  <si>
    <t>Mujeres con MRS elevado*</t>
  </si>
  <si>
    <t>Mujeres con aplicación de terapia hormonal de la menopausia según MRS*</t>
  </si>
  <si>
    <t>Mujeres que disminuyeron puntaje de MRS o se mantienen en MRS bajo, según MRS de control</t>
  </si>
  <si>
    <t>Mujeres que asisten a Talleres Educativos</t>
  </si>
  <si>
    <t>* MRS: Menopause Rating Scale</t>
  </si>
  <si>
    <t>SECCION F.1: POBLACIÓN EN CONTROL CLIMATERIO SEGÚN TIPO DE TERAPIA HORMONAL DE LA MENOPAUSIA</t>
  </si>
  <si>
    <t>Menor 
de 45 años</t>
  </si>
  <si>
    <t>Estradiol Micronizado 1mg.</t>
  </si>
  <si>
    <t>Estradiol Gel</t>
  </si>
  <si>
    <t>Progesterona Micronizada 100mg.</t>
  </si>
  <si>
    <t>Progesterona Micronizada 200mg.</t>
  </si>
  <si>
    <t>Nomegestrol 5mg. comp.</t>
  </si>
  <si>
    <t>Tibolona 2,5mg. comp.</t>
  </si>
  <si>
    <t>Terapia Dual</t>
  </si>
  <si>
    <t>SECCION G: GESTANTES EN CONTROL CON ECOGRAFÍA POR TRIMESTRE DE GESTACION (EN EL SEMESTRE)</t>
  </si>
  <si>
    <t>Primer trimestre</t>
  </si>
  <si>
    <t>Segundo trimestre 22-24 semanas</t>
  </si>
  <si>
    <t>Tercer trimestre 30-34 semanas</t>
  </si>
  <si>
    <t>&lt;11 semanas</t>
  </si>
  <si>
    <t>11- 13+6 semanas</t>
  </si>
  <si>
    <t>Menor de 15</t>
  </si>
  <si>
    <t xml:space="preserve">15 - 19 </t>
  </si>
  <si>
    <t>20 - 24</t>
  </si>
  <si>
    <t>25 - 29</t>
  </si>
  <si>
    <t>30 - 34</t>
  </si>
  <si>
    <t>35 - 39</t>
  </si>
  <si>
    <t>40 - 44</t>
  </si>
  <si>
    <t>45 - 49</t>
  </si>
  <si>
    <t>50 - 54</t>
  </si>
  <si>
    <t xml:space="preserve"> Gestantes con Ecografías del extrasistema</t>
  </si>
  <si>
    <t xml:space="preserve">SECCION H: MUJERES O PESONAS BAJO CONTROL DE REGULACIÓN DE FERTILIDAD SEGÚN ESTADO NUTRICIONAL </t>
  </si>
  <si>
    <t xml:space="preserve">Mujeres o Personas bajo control de Regulación de Fertilidad según estado nuricional </t>
  </si>
  <si>
    <t>Bajo peso</t>
  </si>
  <si>
    <t>SECCION I: GESTANTES EN CONTROL CON TEST DE VIH/SIFILIS TOMADO (EN EL SEMESTRE, RED PÚBLICA O EXTRASISTEMA)</t>
  </si>
  <si>
    <t xml:space="preserve">Total Gestantes bajo control </t>
  </si>
  <si>
    <t>Gestantes en control con resultado 1° VIH</t>
  </si>
  <si>
    <t xml:space="preserve">Gestantes en control con resultado 1° Tamizaje Sífilis </t>
  </si>
  <si>
    <t>Total Gestantes en Control &gt;34 SEM</t>
  </si>
  <si>
    <t>Gestantes en control con resultado 2° VIH</t>
  </si>
  <si>
    <t xml:space="preserve">Gestantes en control con resultado Tamizaje Sífilis 3° trimestre gestación </t>
  </si>
  <si>
    <t>Gestantes con Tamizajes resultado pendiente</t>
  </si>
  <si>
    <t>NIVEL SECUNDARIO</t>
  </si>
  <si>
    <t>SECCIÓN J: POBLACIÓN EN CONTROL POR PATOLOGÍAS DE ALTO RIESGO OBSTÉTRICO</t>
  </si>
  <si>
    <t>PATOLOGÍA</t>
  </si>
  <si>
    <t xml:space="preserve">Preeclampsia (PE) </t>
  </si>
  <si>
    <t>Sindrome Hipertensivo del Embarazo (SHE)</t>
  </si>
  <si>
    <t>Factores de riesgo y condicionantes de Parto Prematuro</t>
  </si>
  <si>
    <t>Retardo Crecimiento Intrauterino (RCIU)</t>
  </si>
  <si>
    <t>Sífilis</t>
  </si>
  <si>
    <t>VIH</t>
  </si>
  <si>
    <t>Diabetes Pre Gestacional</t>
  </si>
  <si>
    <t>Diabetes Gestacional</t>
  </si>
  <si>
    <t>Cesárea anterior</t>
  </si>
  <si>
    <t>Malformación Congénita</t>
  </si>
  <si>
    <t>Anemia</t>
  </si>
  <si>
    <t>Cardiopatías</t>
  </si>
  <si>
    <t>Pielonefritis</t>
  </si>
  <si>
    <t>Rh(-) sensibilizada</t>
  </si>
  <si>
    <t>Placenta previa</t>
  </si>
  <si>
    <t>Chagas</t>
  </si>
  <si>
    <t>Colestasia Intrahépatica de Embarazo</t>
  </si>
  <si>
    <t>Otras patologías del embarazo</t>
  </si>
  <si>
    <t>datos</t>
  </si>
  <si>
    <t>errores</t>
  </si>
  <si>
    <t xml:space="preserve">REM-P2. POBLACIÓN EN CONTROL PROGRAMA NACIONAL  DE SALUD DE LA INFANCIA </t>
  </si>
  <si>
    <t>SECCION A: POBLACIÓN EN CONTROL, SEGÚN ESTADO NUTRICIONAL PARA NIÑOS MENOR DE UN MES- 59 MESES</t>
  </si>
  <si>
    <t>INDICADOR NUTRICIONAL
Y
PARÁMETROS DE MEDICIÓN</t>
  </si>
  <si>
    <t>RANGO ETARIO (en meses) Y SEXO</t>
  </si>
  <si>
    <t>Menor de 1 mes</t>
  </si>
  <si>
    <t>1 mes</t>
  </si>
  <si>
    <t>2 meses</t>
  </si>
  <si>
    <t>3 meses</t>
  </si>
  <si>
    <t>4 meses</t>
  </si>
  <si>
    <t>5 meses</t>
  </si>
  <si>
    <t>6 meses</t>
  </si>
  <si>
    <t>7 a 11 meses</t>
  </si>
  <si>
    <t>12 a 17 meses</t>
  </si>
  <si>
    <t>18 a 23 meses</t>
  </si>
  <si>
    <t>24 a 35 meses</t>
  </si>
  <si>
    <t>36 a 41 meses</t>
  </si>
  <si>
    <t>42 a 47 meses</t>
  </si>
  <si>
    <t>48 a 59 meses</t>
  </si>
  <si>
    <t>Ambos sexos</t>
  </si>
  <si>
    <t>Mujeres</t>
  </si>
  <si>
    <t>TOTAL DE NIÑOS/AS EN CONTROL</t>
  </si>
  <si>
    <t>Indicador Peso/Edad</t>
  </si>
  <si>
    <t>+ 2 D.S. (&gt;= +2.0)</t>
  </si>
  <si>
    <t>+ 1 D.S. (+1.0 a +1.9)</t>
  </si>
  <si>
    <t>- 1 D.S. (-1.0 a -1.9)</t>
  </si>
  <si>
    <t>- 2 D.S. (&lt;= -2.0)</t>
  </si>
  <si>
    <t>Indicador Peso/Talla</t>
  </si>
  <si>
    <t>Indicador Talla/Edad</t>
  </si>
  <si>
    <t>Promedio (-0,9 A + 0,9)</t>
  </si>
  <si>
    <t>Riesgo de desnutrir/ déficit ponderal*</t>
  </si>
  <si>
    <t>Desnutrido</t>
  </si>
  <si>
    <t>Sobrepeso / Riesgo obesidad</t>
  </si>
  <si>
    <t>Obeso</t>
  </si>
  <si>
    <t>Subtotal</t>
  </si>
  <si>
    <t>"Desnutrición secundaria"</t>
  </si>
  <si>
    <t>Niños sin evaluación nutricional por curso de vida (recién nacidos) o por condición especial de salud</t>
  </si>
  <si>
    <t>SECCION A.1: POBLACIÓN EN CONTROL, SEGÚN ESTADO NUTRICIONAL PARA NIÑOS AS DE 5 AÑOS A 9 AÑOS 11 MESES</t>
  </si>
  <si>
    <t>RANGO ETARIO (en meses - años) Y SEXO</t>
  </si>
  <si>
    <t>5 a 5 años 11 meses</t>
  </si>
  <si>
    <t>6 a 6 años 11 meses</t>
  </si>
  <si>
    <t>7 a 7 años 11 meses</t>
  </si>
  <si>
    <t>8 a 8 años 11 meses</t>
  </si>
  <si>
    <t>9 a 9 años 11 meses</t>
  </si>
  <si>
    <t>TOTAL DE NIÑOS EN CONTROL</t>
  </si>
  <si>
    <t>Indicador IMC / Edad</t>
  </si>
  <si>
    <t>+ 3 D.S. (&gt;= 3 )</t>
  </si>
  <si>
    <t>+ 2 D.S. (&gt;= +2.0 a +2.9)</t>
  </si>
  <si>
    <t>+ 1 D.S. (&gt;= +1.0 a +1.9)</t>
  </si>
  <si>
    <t>- 1 D.S. (&lt;= -1.0 a -1.9)</t>
  </si>
  <si>
    <t xml:space="preserve">Indicador Talla/Edad </t>
  </si>
  <si>
    <t xml:space="preserve">Indicador Perimetro de Cintura /Edad </t>
  </si>
  <si>
    <t>Normal (&lt;p75)</t>
  </si>
  <si>
    <t>Riesgo de Obesidad Abdominal (75&lt;p&lt;90)</t>
  </si>
  <si>
    <t>Obesidad Abdominal (&gt;p90)</t>
  </si>
  <si>
    <t>Riesgo de Desnutrir / Deficit Ponderal*</t>
  </si>
  <si>
    <t xml:space="preserve">Desnutrido </t>
  </si>
  <si>
    <t xml:space="preserve">Sobrepeso / Riesgo Obesidad </t>
  </si>
  <si>
    <t>Obeso Severo</t>
  </si>
  <si>
    <t>Sub Total</t>
  </si>
  <si>
    <t xml:space="preserve">Desnutrición Secundaria </t>
  </si>
  <si>
    <t>NOTA(*): El Diagnóstico Nutricional Integrado de Déficit para los niños (as) 5 años y más denomina Déficit Ponderal al Riesgo de Desnutrir.</t>
  </si>
  <si>
    <t>SECCION B: POBLACION EN CONTROL SEGÚN RESULTADO DE EVALUACIÓN DEL DESARROLLO PSICOMOTOR</t>
  </si>
  <si>
    <t>RESULTADO Y GRUPOS DE EDAD</t>
  </si>
  <si>
    <t>Menor de 12 meses</t>
  </si>
  <si>
    <t xml:space="preserve">Normal con Rezago </t>
  </si>
  <si>
    <t>Riesgo</t>
  </si>
  <si>
    <t>Retraso</t>
  </si>
  <si>
    <t xml:space="preserve">SECCION C: POBLACIÓN MENOR DE 1 AÑO EN CONTROL, SEGÚN SCORE RIESGO EN IRA Y VISITA DOMICILIARIA INTEGRAL </t>
  </si>
  <si>
    <t>RESULTADO</t>
  </si>
  <si>
    <t>Diada, menor de 10 días</t>
  </si>
  <si>
    <t>7 a 12 meses</t>
  </si>
  <si>
    <t>Total de Niños y Niñas que han recibido VDI</t>
  </si>
  <si>
    <t xml:space="preserve">Score  
de Riesgo </t>
  </si>
  <si>
    <t>Leve</t>
  </si>
  <si>
    <t>Moderado</t>
  </si>
  <si>
    <t>Grave</t>
  </si>
  <si>
    <t>SECCION D: POBLACIÓN EN CONTROL EN EL SEMESTRE CON CONSULTA NUTRICIONAL, SEGÚN ESTRATEGIA</t>
  </si>
  <si>
    <t>NIÑO/A CON CONSULTA NUTRICIONAL EN</t>
  </si>
  <si>
    <t>Del 5to mes</t>
  </si>
  <si>
    <t>De los 3 años y 6 meses</t>
  </si>
  <si>
    <t>SECCION E: POBLACIÓN INASISTENTE A CONTROL DEL NIÑO SANO (AL CORTE)</t>
  </si>
  <si>
    <t>EDAD</t>
  </si>
  <si>
    <t>0 - 11 meses</t>
  </si>
  <si>
    <t>12 - 24 meses</t>
  </si>
  <si>
    <t>25 - 35 meses</t>
  </si>
  <si>
    <t>36 - 59 meses</t>
  </si>
  <si>
    <t>60 meses - 9 años</t>
  </si>
  <si>
    <t>SECCION F: POBLACIÓN INFANTIL SEGÚN DIAGNÓSTICO DE PRESIÓN ARTERIAL (Incluida en sección A y A1)</t>
  </si>
  <si>
    <t>CLASIFICACIÓN</t>
  </si>
  <si>
    <t>RANGO ETARIO (en meses)</t>
  </si>
  <si>
    <t>Derivación Nivel Secundario</t>
  </si>
  <si>
    <t>36 a 47 meses</t>
  </si>
  <si>
    <t>48 a 71 meses</t>
  </si>
  <si>
    <t>6-9 años</t>
  </si>
  <si>
    <t>Normal (PA menor al percentil 90)</t>
  </si>
  <si>
    <t xml:space="preserve">Presión Arterial elevada </t>
  </si>
  <si>
    <t xml:space="preserve">HTA Estadio I </t>
  </si>
  <si>
    <t>HTA Estadio II</t>
  </si>
  <si>
    <t>SECCION G: POBLACIÓN INFANTIL EUTRÓFICA, SEGÚN RIESGO DE MALNUTRICIÓN POR EXCESO (Incluida en sección A y A1)</t>
  </si>
  <si>
    <t>4 a 11 meses</t>
  </si>
  <si>
    <t>12 a 23 meses</t>
  </si>
  <si>
    <t>60 a 71 meses</t>
  </si>
  <si>
    <t>Sin Riesgo</t>
  </si>
  <si>
    <t>Con Riesgo</t>
  </si>
  <si>
    <t>SECCION H: POBLACIÓN SEGÚN DIAGNÓSTICO DE NIÑOS, NIÑAS Y ADOLESCENTES CON NECESIDADES ESPECIALES DE ATENCIÓN EN SALUD (NANEAS) (Incluida en sección A y A1)</t>
  </si>
  <si>
    <t>DIAGNOSTICOS</t>
  </si>
  <si>
    <t>6 a 7 años</t>
  </si>
  <si>
    <t>8 a 9 años</t>
  </si>
  <si>
    <t>10 a 14 años</t>
  </si>
  <si>
    <t xml:space="preserve"> POBLACIÓN NANEAS BAJO CONTROL</t>
  </si>
  <si>
    <t>Síndrome de Down </t>
  </si>
  <si>
    <t>Trastorno del Espectro Autista </t>
  </si>
  <si>
    <t xml:space="preserve">Síndrome de Rett </t>
  </si>
  <si>
    <t xml:space="preserve">Parálisis Cerebral </t>
  </si>
  <si>
    <t xml:space="preserve">Epilepsia </t>
  </si>
  <si>
    <t xml:space="preserve">Otros trastornos del Neurodesarrollo (no incluye TEA) </t>
  </si>
  <si>
    <t xml:space="preserve">Hipertensión Arterial </t>
  </si>
  <si>
    <t>Hipertensión Arterial (En vez de Presión Arterial Elevada) </t>
  </si>
  <si>
    <t xml:space="preserve">Enfermedad renal crónica </t>
  </si>
  <si>
    <t>Otras Enfermedades cardiovasculares crónicas (no incluye Hipertensión Arterial ni Cardiopatías Congénitas)</t>
  </si>
  <si>
    <t>Enfermedades gastrointestinales crónicas (no incluye enfermedad celiaca)</t>
  </si>
  <si>
    <t>Enfermedades crónicas del sistema visual (no incluye estrabismo ni errores de refracción)</t>
  </si>
  <si>
    <t>Enfermedades crónicas del oído </t>
  </si>
  <si>
    <t>Enfermedades crónicas de piel y mucosas </t>
  </si>
  <si>
    <t xml:space="preserve">Neoplasias  </t>
  </si>
  <si>
    <t>Malformaciones congénitas y deformidades</t>
  </si>
  <si>
    <t xml:space="preserve">Trastornos genéticos  </t>
  </si>
  <si>
    <t>Prematuros</t>
  </si>
  <si>
    <t xml:space="preserve">Enfermedades hematológicas crónicas </t>
  </si>
  <si>
    <t xml:space="preserve">Enfermedades musculoesqueléticas crónicas </t>
  </si>
  <si>
    <t xml:space="preserve">Enfermedades del sistema inmunitario (no incluye asma, ni alergias alimentarias) </t>
  </si>
  <si>
    <t>Alergias alimentarias</t>
  </si>
  <si>
    <t xml:space="preserve">Otras Enfermedades endocrinológicas (no incluye Hipotiroidismo, ni Diabetes) </t>
  </si>
  <si>
    <t xml:space="preserve">Hipotiroidismo </t>
  </si>
  <si>
    <t>Diabetes tipo I </t>
  </si>
  <si>
    <t>Diabetes tipo II </t>
  </si>
  <si>
    <t xml:space="preserve">Otros Trastornos del metabolismo </t>
  </si>
  <si>
    <t xml:space="preserve">Otras Enfermedades respiratorias crónicas (no incluye Asma, ni Fibrosis Quística) </t>
  </si>
  <si>
    <t xml:space="preserve">Fibrosis Quística </t>
  </si>
  <si>
    <t xml:space="preserve">Otras condiciones asociadas a NANEAS </t>
  </si>
  <si>
    <t xml:space="preserve">Hospitalización Domiciliaria  </t>
  </si>
  <si>
    <t>Oxigenoterapia Ambulatoria </t>
  </si>
  <si>
    <t>Asistencia ventilatoria Invasiva y No invasiva </t>
  </si>
  <si>
    <t>Errores Innatos del Metabolismo</t>
  </si>
  <si>
    <t>Asma</t>
  </si>
  <si>
    <t>Cardiopatía congénita</t>
  </si>
  <si>
    <t xml:space="preserve">Enfermedad celiaca </t>
  </si>
  <si>
    <t xml:space="preserve">Estrabismo </t>
  </si>
  <si>
    <t>Errores de refracción</t>
  </si>
  <si>
    <t>Otras Enfermedades crónicas neurológicas (No incluye síndrome de Rett, Paráisis Cerebral, Epilepsia, TEA)</t>
  </si>
  <si>
    <t>Disrrafias espinales</t>
  </si>
  <si>
    <t>Disrafias espinales</t>
  </si>
  <si>
    <t>Escoliosis</t>
  </si>
  <si>
    <t>Displasia luxante de caderas</t>
  </si>
  <si>
    <t>Cuidados paliativos</t>
  </si>
  <si>
    <t>Gran Quemado</t>
  </si>
  <si>
    <t>SECCION I: POBLACIÓN SEGÚN NIVEL DE COMPLEJIDAD DE NIÑOS, NIÑAS Y ADOLESCENTES CON NECESIDADES ESPECIALES DE ATENCIÓN EN SALUD (NANEAS) (Incluida en sección A y A1)</t>
  </si>
  <si>
    <t>NIVELES DE COMPLEJIDAD</t>
  </si>
  <si>
    <t>TOTAL POBLACIÓN NANEAS BAJO CONTROL</t>
  </si>
  <si>
    <t>Baja Complejidad</t>
  </si>
  <si>
    <t>Mediana Complejidad</t>
  </si>
  <si>
    <t>Alta Complejidad</t>
  </si>
  <si>
    <t>SECCION J: POBLACIÓN EN CONTROL, SEGÚN RIESGO ODONTOLÓGICO Y DAÑO POR CARIES</t>
  </si>
  <si>
    <t>INDICADOR ODONTOLÓGICO
Y
PARÁMETROS DE MEDICIÓN</t>
  </si>
  <si>
    <t>RANGO ETARIO Y SEXO</t>
  </si>
  <si>
    <t>Usuarios con Discapacidad</t>
  </si>
  <si>
    <t>&lt; 1 año</t>
  </si>
  <si>
    <t>1 año</t>
  </si>
  <si>
    <t>2 años</t>
  </si>
  <si>
    <t>3  años</t>
  </si>
  <si>
    <t>4  años</t>
  </si>
  <si>
    <t>5  años</t>
  </si>
  <si>
    <t>6  años</t>
  </si>
  <si>
    <t>7  años</t>
  </si>
  <si>
    <t>8  años</t>
  </si>
  <si>
    <t>9  años</t>
  </si>
  <si>
    <t>TOTAL DE NIÑOS(AS) EN CONTROL CON ENFOQUE DE RIESGO ODONTOLÓGICO</t>
  </si>
  <si>
    <t xml:space="preserve">Evaluación de daño por caries según ïndice  ceod o copd </t>
  </si>
  <si>
    <t>1 a 2</t>
  </si>
  <si>
    <t>3 a 4</t>
  </si>
  <si>
    <t>5 a 6</t>
  </si>
  <si>
    <t>7 a 8</t>
  </si>
  <si>
    <t>9 o más</t>
  </si>
  <si>
    <t>Inasistentes a control odontológico</t>
  </si>
  <si>
    <t>REM-P3. POBLACIÓN EN CONTROL OTROS PROGRAMAS</t>
  </si>
  <si>
    <t>SECCIÓN A: EXISTENCIA DE POBLACIÓN EN CONTROL</t>
  </si>
  <si>
    <t>PROGRAMAS</t>
  </si>
  <si>
    <t>Con espirometría vigente</t>
  </si>
  <si>
    <t>0 a 4 años</t>
  </si>
  <si>
    <t>5 a 9 años</t>
  </si>
  <si>
    <t>70 a 74 años</t>
  </si>
  <si>
    <t>75 a 79 años</t>
  </si>
  <si>
    <t>80 y más años</t>
  </si>
  <si>
    <t>Ambos
sexos</t>
  </si>
  <si>
    <t xml:space="preserve">Hombres </t>
  </si>
  <si>
    <t>Síndrome Bronquial Obstructiva Recurrente (SBOR)</t>
  </si>
  <si>
    <t>Severo</t>
  </si>
  <si>
    <t>Asma Bronquial</t>
  </si>
  <si>
    <t>Enfermedad Pulmonar Obstructiva Crónica (EPOC)</t>
  </si>
  <si>
    <t>Tipo A</t>
  </si>
  <si>
    <t>Tipo B</t>
  </si>
  <si>
    <t>Otras Respiratorias Crónicas</t>
  </si>
  <si>
    <t>Oxigeno Dependiente</t>
  </si>
  <si>
    <t xml:space="preserve">Asistencia Ventilatoria No Invasiva o Invasiva </t>
  </si>
  <si>
    <t>Autismo</t>
  </si>
  <si>
    <t>Autismo Atípico</t>
  </si>
  <si>
    <t>Asperger</t>
  </si>
  <si>
    <t>Glaucoma</t>
  </si>
  <si>
    <t xml:space="preserve">Enfermedad de Parkinson </t>
  </si>
  <si>
    <t xml:space="preserve">Artrosis de Cadera Y Rodilla </t>
  </si>
  <si>
    <t>Alivio del Dolor</t>
  </si>
  <si>
    <t>Hipotiroidismo</t>
  </si>
  <si>
    <t>Dependencia Leve</t>
  </si>
  <si>
    <t>Dependencia Moderada</t>
  </si>
  <si>
    <t>Dependencia severa</t>
  </si>
  <si>
    <t>Oncológica</t>
  </si>
  <si>
    <t>No Oncológica</t>
  </si>
  <si>
    <t>Total personas con lesión por presión*</t>
  </si>
  <si>
    <t>Atención domiciliaria por dependencia severa</t>
  </si>
  <si>
    <t>Total personas</t>
  </si>
  <si>
    <t>Con Demencia</t>
  </si>
  <si>
    <t>Institucionalizada</t>
  </si>
  <si>
    <t>Con indicación de nutrición enteral domiciliaria (NED)</t>
  </si>
  <si>
    <t>Cuidados Paliativos Universales</t>
  </si>
  <si>
    <t>Cuidados Paliativos Oncológico Progresivo</t>
  </si>
  <si>
    <t>Cuidados Paliativos Oncológico No Progresivo</t>
  </si>
  <si>
    <t>Cuidados Paliativos No Oncológico</t>
  </si>
  <si>
    <t>(*) Incluidos en Dependencia Severa Oncológica y NO Oncológica</t>
  </si>
  <si>
    <t>SECCION B: CUIDADORES DE PACIENTES CON DEPENDENCIA SEVERA</t>
  </si>
  <si>
    <t>CONCEPTO</t>
  </si>
  <si>
    <t>ATENCIÓN DOMICILIARIA POR DEPENDENCIA SEVERA</t>
  </si>
  <si>
    <t>Total Cuidadoras/es capacitadas/os</t>
  </si>
  <si>
    <t>Total Cuidadoras/es con Examen de Medicina Preventivo Vigente</t>
  </si>
  <si>
    <t>Total Cuidadores con condiciones crónicas en control en centro de salud</t>
  </si>
  <si>
    <t>Cuidadoras/es con apoyo monetario</t>
  </si>
  <si>
    <t>Cuidadoras/es en espera de apoyo monetario</t>
  </si>
  <si>
    <t>Total Cuidadoras/es con evaluacion de sobrecarga vigente</t>
  </si>
  <si>
    <t>Total Cuidadoras/es mayores de 65 años</t>
  </si>
  <si>
    <t>Total Cuidadoras/es atendidas por ECICEP</t>
  </si>
  <si>
    <t>Total Cuidadoras/es en Programas de Apoyo Intersectoriales</t>
  </si>
  <si>
    <t>Total Cuidadoras/es con Atención Preferente en Centro de Salud</t>
  </si>
  <si>
    <t>Número de cuidadores</t>
  </si>
  <si>
    <t>PROGRAMA</t>
  </si>
  <si>
    <t>Rehabilitación Pulmonar</t>
  </si>
  <si>
    <t>Ingresos</t>
  </si>
  <si>
    <t>Abandonos</t>
  </si>
  <si>
    <t>Egresos por termino de ciclo</t>
  </si>
  <si>
    <t>Articulacion continuidad en intersector</t>
  </si>
  <si>
    <t>SECCION D: NIVEL DE CONTROL DE POBLACION RESPIRATORIA CRONICA</t>
  </si>
  <si>
    <t>RANGO ETARIO  Y SEXO</t>
  </si>
  <si>
    <t>Controlado</t>
  </si>
  <si>
    <t>Parcialmente Controlado</t>
  </si>
  <si>
    <t>No Controlado</t>
  </si>
  <si>
    <t>No evaluada</t>
  </si>
  <si>
    <t>Logra Control Adecuado</t>
  </si>
  <si>
    <t>No Logra Control Adecuado</t>
  </si>
  <si>
    <t>SECCIÓN E:  RESULTADO DE ENCUESTA CALIDAD DE VIDA</t>
  </si>
  <si>
    <t>DIAGNÓSTICO</t>
  </si>
  <si>
    <t>ACTIVIDAD</t>
  </si>
  <si>
    <t>5 - 9 
años</t>
  </si>
  <si>
    <t>10 - 14
años</t>
  </si>
  <si>
    <t>15 - 19
años</t>
  </si>
  <si>
    <t xml:space="preserve">20 a 24 años
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</si>
  <si>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</si>
  <si>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</si>
  <si>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</si>
  <si>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</si>
  <si>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</si>
  <si>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</si>
  <si>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</si>
  <si>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</si>
  <si>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</si>
  <si>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>Ambos Sexos</t>
  </si>
  <si>
    <t>Evaluados</t>
  </si>
  <si>
    <t>Mejora en relación a  año anterior</t>
  </si>
  <si>
    <t>No mejora en relación a año anterior</t>
  </si>
  <si>
    <t>Otras crónicas respiratorias</t>
  </si>
  <si>
    <t>Mejora en relación a año anterior</t>
  </si>
  <si>
    <t>REM-P4. POBLACIÓN EN CONTROL PROGRAMA DE SALUD CARDIOVASCULAR (PSCV)</t>
  </si>
  <si>
    <t>SECCIÓN A: PROGRAMA SALUD CARDIOVASCULAR (PSCV)</t>
  </si>
  <si>
    <t xml:space="preserve">TOTAL </t>
  </si>
  <si>
    <t>NUMERO DE PERSONAS EN PSCV</t>
  </si>
  <si>
    <t>Clasificación del
Riesgo
Cardiovascular</t>
  </si>
  <si>
    <t>Bajo</t>
  </si>
  <si>
    <t>Ato</t>
  </si>
  <si>
    <t>Personas bajo control según patología y factores de riesgo (existencia)</t>
  </si>
  <si>
    <t xml:space="preserve">Diabetes Mellitus tipo 2 </t>
  </si>
  <si>
    <t xml:space="preserve">Dislipidemia </t>
  </si>
  <si>
    <t xml:space="preserve">Tabaquismo ≥ 55 años </t>
  </si>
  <si>
    <t>Antecedentes de Infarto Agudo al Miocardio (IAM)</t>
  </si>
  <si>
    <t>Antecedentes de Ataque Cerebro Vascular (ACV)</t>
  </si>
  <si>
    <t>Antecedentes de otras Enfermedades Cardiovasculares ECV (excepto IAM y ACV)</t>
  </si>
  <si>
    <t>Enfermedad renal crónica (etapas 1 a 5)</t>
  </si>
  <si>
    <t>SECCIÓN B: METAS DE COMPENSACIÓN</t>
  </si>
  <si>
    <t xml:space="preserve">Personas Bajo Control por Hipertensión </t>
  </si>
  <si>
    <t xml:space="preserve">PA &lt; 140/90 mmHg </t>
  </si>
  <si>
    <t xml:space="preserve">PA &lt; 150/90 mmHg </t>
  </si>
  <si>
    <t xml:space="preserve">Personas Bajo Control por Diabetes Mellitus </t>
  </si>
  <si>
    <t xml:space="preserve">HbA1C&lt;7% </t>
  </si>
  <si>
    <t>HbA1C&lt;8%</t>
  </si>
  <si>
    <t xml:space="preserve">Personas con RCV alto </t>
  </si>
  <si>
    <t>Colesterol LDL &lt; 70 mg/dL</t>
  </si>
  <si>
    <t>Personas bajo control con antecedentes enfermedad cardiovascular (ECV), excepto IAM y ACV</t>
  </si>
  <si>
    <t>En tratamiento con Antiagregantes plaquetarios</t>
  </si>
  <si>
    <t>En tratamiento con Estatina</t>
  </si>
  <si>
    <t>Fumador actual</t>
  </si>
  <si>
    <t>Personas bajo control con antecedentes de Infarto agudo al miocardio (IAM)</t>
  </si>
  <si>
    <t>Personas bajo control con Antecedentes de Ataque Cerebrovascular (ACV)</t>
  </si>
  <si>
    <t>SECCIÓN C: VARIABLES DE SEGUIMIENTO DEL PSCV AL CORTE</t>
  </si>
  <si>
    <t>VARIABLES</t>
  </si>
  <si>
    <t>PERSONAS CON DIABETES  EN PSCV</t>
  </si>
  <si>
    <t>Con razón albúmina creatinina (RAC), vigente</t>
  </si>
  <si>
    <t>Con velocidad de filtración glomerular estimada (VFG), vigente</t>
  </si>
  <si>
    <t>Con velocidad de filtración glomerular estimada (VFGE) y con razón albúmina creatinina (RAC) vigente</t>
  </si>
  <si>
    <t>Con fondo de ojo, vigente</t>
  </si>
  <si>
    <t>Con atención podológica vigente</t>
  </si>
  <si>
    <t>Con ECG vigente</t>
  </si>
  <si>
    <t>En tratamiento con insulina</t>
  </si>
  <si>
    <t>En tratamiento con insulina que logra meta con HBA1C según edad</t>
  </si>
  <si>
    <t>Con HBA1C &gt;= 9 %</t>
  </si>
  <si>
    <t>Con ERC (todas las etapas) y en tratamiento con IECA o ARA II</t>
  </si>
  <si>
    <t>Con un examen de colesterol LDL vigente</t>
  </si>
  <si>
    <t>Con hipoglicemias recurrentes</t>
  </si>
  <si>
    <t>Con *evaluación vigente del pie según pauta de estimación del riesgo de ulceración en personas con diabetes</t>
  </si>
  <si>
    <t>Riesgo bajo</t>
  </si>
  <si>
    <t xml:space="preserve">Riesgo moderado </t>
  </si>
  <si>
    <t>Riesgo alto</t>
  </si>
  <si>
    <t xml:space="preserve">Riesgo máximo </t>
  </si>
  <si>
    <t>Con úlceras activas de pie diabético tratadas con curación</t>
  </si>
  <si>
    <t>Curación Convencional</t>
  </si>
  <si>
    <t>Curación Avanzada</t>
  </si>
  <si>
    <t>Con ayuda técnica de descarga</t>
  </si>
  <si>
    <t>Con amputación por pie diabético</t>
  </si>
  <si>
    <t>Con diagnóstico asociado de hipertensión arterial</t>
  </si>
  <si>
    <t>Con diagnóstico de enfermedad renal crónica</t>
  </si>
  <si>
    <t>Antecedente de ataque cerebro vascular</t>
  </si>
  <si>
    <t>Antecedentes de infarto agudo al miocardio</t>
  </si>
  <si>
    <t>Retinopatía diabética</t>
  </si>
  <si>
    <t>PERSONAS CON HIPERTENSION EN PSCV</t>
  </si>
  <si>
    <t>Con velocidad de filtración glomerular estimada (VFGE) vigente</t>
  </si>
  <si>
    <t>Con presión arterial igual o mayor 160/100 MMHG</t>
  </si>
  <si>
    <t>Protocolo Hearts</t>
  </si>
  <si>
    <t>TODAS LAS PERSONAS EN PSCV</t>
  </si>
  <si>
    <t>Sobrepeso: IMC entre 25 y 29.9 &lt;65 años</t>
  </si>
  <si>
    <t>Sobrepeso: IMC entre 28 y 31.9 &gt;65 años</t>
  </si>
  <si>
    <t>Obesidad: IMC igual o Mayor a 30KG/M2 &lt;65 años</t>
  </si>
  <si>
    <t>Obesidad: IMC igual o Mayor a 32KG/M2 &gt;65 años</t>
  </si>
  <si>
    <t>Personas en actividad física salud cardiovascular</t>
  </si>
  <si>
    <t>Enfermedad Renal Crónica (ERC)</t>
  </si>
  <si>
    <t>Sin enfermedad renal (S/ERC)</t>
  </si>
  <si>
    <t xml:space="preserve">Etapa  G1 </t>
  </si>
  <si>
    <t xml:space="preserve">Etapa G2 </t>
  </si>
  <si>
    <t>Etapa G3a</t>
  </si>
  <si>
    <t xml:space="preserve">Etapa G3b </t>
  </si>
  <si>
    <t xml:space="preserve">Etapa G4  </t>
  </si>
  <si>
    <t>Etapa G5</t>
  </si>
  <si>
    <t>Desconoce si tiene ERC</t>
  </si>
  <si>
    <t>NOTA (*): La vigencia de la evaluación del pie diabético es de 12 meses.</t>
  </si>
  <si>
    <t xml:space="preserve">REM-P5. POBLACIÓN EN CONTROL PROGRAMA NACIONAL DE SALUD INTEGRAL DE PERSONAS MAYORES </t>
  </si>
  <si>
    <t>SECCION A: POBLACIÓN EN CONTROL POR CONDICIÓN DE FUNCIONALIDAD</t>
  </si>
  <si>
    <t>Población Migrantes</t>
  </si>
  <si>
    <t>Personas Mayores en ELEAM</t>
  </si>
  <si>
    <t>CONDICIÓN DE 
FUNCIONALIDAD</t>
  </si>
  <si>
    <t>80 a 84 años</t>
  </si>
  <si>
    <t>85 a 89 años</t>
  </si>
  <si>
    <t>90 a 94 años</t>
  </si>
  <si>
    <t>95 a 99 años</t>
  </si>
  <si>
    <t>100 y más años</t>
  </si>
  <si>
    <t>Autovalente sin riesgo</t>
  </si>
  <si>
    <t>Autovalente con riesgo</t>
  </si>
  <si>
    <t xml:space="preserve">Riesgo de dependencia </t>
  </si>
  <si>
    <t>SUBTOTAL (EFAM)</t>
  </si>
  <si>
    <t>Dependiente leve</t>
  </si>
  <si>
    <t xml:space="preserve">Dependiente moderado </t>
  </si>
  <si>
    <t xml:space="preserve">Dependiente grave </t>
  </si>
  <si>
    <t>Dependiente total</t>
  </si>
  <si>
    <t>SUBTOTAL (INDICE BARTHEL)</t>
  </si>
  <si>
    <t>TOTAL PERSONAS MAYORES EN CONTROL</t>
  </si>
  <si>
    <t>SECCION A.1: EXISTENCIA DE POBLACIÓN EN CONTROL EN PROGRAMA "MÁS ADULTOS MAYORES AUTOVALENTES" POR CONDICIÓN DE FUNCIONALIDAD</t>
  </si>
  <si>
    <t>TOTAL (EFAM)</t>
  </si>
  <si>
    <t>SECCION B: POBLACIÓN BAJO CONTROL POR ESTADO NUTRICIONAL</t>
  </si>
  <si>
    <t>ESTADO NUTRICIONAL</t>
  </si>
  <si>
    <t>SECCION C: PERSONAS MAYORES CON SOSPECHA DE MALTRATO</t>
  </si>
  <si>
    <t>Personas con sospecha de maltrato</t>
  </si>
  <si>
    <t xml:space="preserve">SECCION D: PERSONAS MAYORES EN ACTIVIDAD FÍSICA </t>
  </si>
  <si>
    <t xml:space="preserve">Persons en actividad física  </t>
  </si>
  <si>
    <t>SECCION E: PERSONAS MAYORES CON RIESGO DE CAÍDAS</t>
  </si>
  <si>
    <t>INSTRUMENTO DE EVALUACIÓN</t>
  </si>
  <si>
    <t>TIPO DE RIESGO</t>
  </si>
  <si>
    <t>Timed up and go</t>
  </si>
  <si>
    <t>Alto</t>
  </si>
  <si>
    <t>Estación unipodal</t>
  </si>
  <si>
    <t xml:space="preserve">Normal </t>
  </si>
  <si>
    <t>Alterado</t>
  </si>
  <si>
    <t>REM-P6. POBLACIÓN EN CONTROL PROGRAMA DE SALUD MENTAL EN ATENCIÓN PRIMARIA Y ESPECIALIDAD</t>
  </si>
  <si>
    <t>A. ATENCIÓN PRIMARIA</t>
  </si>
  <si>
    <t>SECCION A.1: POBLACIÓN EN CONTROL EN APS AL CORTE</t>
  </si>
  <si>
    <t>T O T A L</t>
  </si>
  <si>
    <t>Gestantes</t>
  </si>
  <si>
    <t xml:space="preserve">Madre de Hijo menor de 5 años </t>
  </si>
  <si>
    <t>Plan Cuidado Integral Elaborado</t>
  </si>
  <si>
    <t xml:space="preserve">TRANS </t>
  </si>
  <si>
    <t>Madre de hijos</t>
  </si>
  <si>
    <t>Pueblos originarios</t>
  </si>
  <si>
    <t>Poblacion Migrantes</t>
  </si>
  <si>
    <t>Niños y niñas SENAME</t>
  </si>
  <si>
    <t>Niños y niñas Mejor Niñez</t>
  </si>
  <si>
    <t>Trans</t>
  </si>
  <si>
    <t>TRANS</t>
  </si>
  <si>
    <t>Masculino</t>
  </si>
  <si>
    <t xml:space="preserve">Femenino </t>
  </si>
  <si>
    <t>Femenino</t>
  </si>
  <si>
    <t>Número de personas en control en el programa</t>
  </si>
  <si>
    <t>FACTORES DE RIESGO Y CONDICIONANTES DE LA SALUD MENTAL</t>
  </si>
  <si>
    <t>Violencia física</t>
  </si>
  <si>
    <t>Victima</t>
  </si>
  <si>
    <t>Agresor/a</t>
  </si>
  <si>
    <t>Violencia sexual</t>
  </si>
  <si>
    <t xml:space="preserve">Victima </t>
  </si>
  <si>
    <t>Violencia psicologica</t>
  </si>
  <si>
    <t>Abuso sexual</t>
  </si>
  <si>
    <t>Suicidio</t>
  </si>
  <si>
    <t>Ideación</t>
  </si>
  <si>
    <t>Intento</t>
  </si>
  <si>
    <t xml:space="preserve">PERSONAS CON DIAGNOSTICOS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</si>
  <si>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</si>
  <si>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</si>
  <si>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</si>
  <si>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</si>
  <si>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</si>
  <si>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</si>
  <si>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Trastornos mentales y del comportamiento debido a consumo sustancias psicotrópicas</t>
  </si>
  <si>
    <t xml:space="preserve">Consumo perjudicial de alcohol </t>
  </si>
  <si>
    <t xml:space="preserve">Consumo dependiente del alcohol </t>
  </si>
  <si>
    <t>Consumo perjudicial de drogas</t>
  </si>
  <si>
    <t xml:space="preserve">Consumo dependiente de drogas </t>
  </si>
  <si>
    <t xml:space="preserve">Consumo de drogas y alcohol </t>
  </si>
  <si>
    <t>Trastornos del comportamiento y de las emociones de comienzo habitual en la infancia y adolescencia</t>
  </si>
  <si>
    <t>Trastorno hipercinético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</si>
  <si>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</si>
  <si>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</si>
  <si>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</si>
  <si>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</si>
  <si>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 de estrés post traumático</t>
  </si>
  <si>
    <t>Trastorno de pánico</t>
  </si>
  <si>
    <t>Fobias sociales</t>
  </si>
  <si>
    <t>Trastornos de ansiedad generalizada</t>
  </si>
  <si>
    <t>Otros trastornos de ansiedad</t>
  </si>
  <si>
    <t>Demencias (incluye Alzheimer)</t>
  </si>
  <si>
    <t>Avanzado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</si>
  <si>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</si>
  <si>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</si>
  <si>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</si>
  <si>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</si>
  <si>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</si>
  <si>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</si>
  <si>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Síndrome de Rett</t>
  </si>
  <si>
    <t>Trastorno desintegrativo de la infancia</t>
  </si>
  <si>
    <t>Trastorno generalizado del desarrollo no específico</t>
  </si>
  <si>
    <t>Epilepsia</t>
  </si>
  <si>
    <t xml:space="preserve">Otras </t>
  </si>
  <si>
    <t>SECCION A.2: PROGRAMA DE REHABILITACIÓN EN ATENCION PRIMARIA (PERSONAS CON TRANSTORNOS PSIQUIÁTRICO).</t>
  </si>
  <si>
    <t>TIPO</t>
  </si>
  <si>
    <t>RUBRO</t>
  </si>
  <si>
    <t>Programa de rehabilitación tipo I</t>
  </si>
  <si>
    <t>Programa de rehabilitación tipo II</t>
  </si>
  <si>
    <t>SECCION A.3: PROGRAMA DE ACOMPAÑAMIENTO PSICOSOCIAL EN LA ATENCION PRIMARIA</t>
  </si>
  <si>
    <t xml:space="preserve">N° de Personas en Control en Progrma de Acompañamiento Psicosocial </t>
  </si>
  <si>
    <t>B. ATENCION DE ESPECIALIDADES</t>
  </si>
  <si>
    <t>SECCION B.1: POBLACIÓN EN CONTROL EN ESPECIALIDAD AL CORTE</t>
  </si>
  <si>
    <t>NUMERO DE PERSONAS EN CONTROL EN EL PROGRAMA</t>
  </si>
  <si>
    <t>Violencia fisica</t>
  </si>
  <si>
    <t>Violencia psicológica</t>
  </si>
  <si>
    <t>Trastornos del humor</t>
  </si>
  <si>
    <t>Depresión refractaria</t>
  </si>
  <si>
    <t>Depresión grave con psicosis</t>
  </si>
  <si>
    <t>Depresión con alto riesgo suicida</t>
  </si>
  <si>
    <t>Trastornos mentales y del comportamiento debido a consumo sustancias psicotropicas</t>
  </si>
  <si>
    <t>Trastorno de estrés post traumatico</t>
  </si>
  <si>
    <t xml:space="preserve">Trastorno de pánico  </t>
  </si>
  <si>
    <t>Síndrome de rett</t>
  </si>
  <si>
    <t>Trastono generalizado del desarrollo no específico</t>
  </si>
  <si>
    <t>Otras</t>
  </si>
  <si>
    <t>SECCION B.2: PROGRAMA DE REHABILITACIÓN EN ESPECIALIDAD (PERSONAS CON TRANSTORNOS PSIQUIÁTRICO)</t>
  </si>
  <si>
    <t>REM-P7. FAMILIAS EN CONTROL DE SALUD FAMILIAR</t>
  </si>
  <si>
    <t>SECCIÓN A. CLASIFICACIÓN DE LAS FAMILIAS SECTOR URBANO</t>
  </si>
  <si>
    <t>Clasificación de las familias por sector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</si>
  <si>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</si>
  <si>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</si>
  <si>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</si>
  <si>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</si>
  <si>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</si>
  <si>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</si>
  <si>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</si>
  <si>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</si>
  <si>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>N° Familias inscritas</t>
  </si>
  <si>
    <t>N° Familias evaluadas con cartola/encuesta familiar</t>
  </si>
  <si>
    <t>N° De familias en riesgo bajo</t>
  </si>
  <si>
    <t>N° De familias en riesgo medio</t>
  </si>
  <si>
    <t>N° De familias en riesgo alto</t>
  </si>
  <si>
    <t>SECCIÓN A.1 CLASIFICACIÓN DE LAS FAMILIAS SECTOR RURAL</t>
  </si>
  <si>
    <t>SECCIÓN B. INTERVENCIÓN EN FAMILIAS SECTOR URBANO Y RURAL</t>
  </si>
  <si>
    <t>Intervención en familias</t>
  </si>
  <si>
    <t>N° Familias con plan de intervención</t>
  </si>
  <si>
    <t>N° Familias sin plan de intervención</t>
  </si>
  <si>
    <t>Riesgo medio</t>
  </si>
  <si>
    <t>N° Familias egresadas de planes de intervención</t>
  </si>
  <si>
    <t>Total de egresos</t>
  </si>
  <si>
    <t>Alta por cumplir plan de intervención</t>
  </si>
  <si>
    <t>Traslado de establecimiento</t>
  </si>
  <si>
    <t>Derivación por complejidad del caso</t>
  </si>
  <si>
    <t>Por abandono</t>
  </si>
  <si>
    <t>REM-P9. POBLACIÓN EN CONTROL DEL ADOLESCENTE</t>
  </si>
  <si>
    <t xml:space="preserve">SECCION A: POBLACIÓN EN CONTROL DE SALUD INTEGRAL DE ADOLESCENTES </t>
  </si>
  <si>
    <t>Población en control</t>
  </si>
  <si>
    <t xml:space="preserve"> 15 a 19 años</t>
  </si>
  <si>
    <t xml:space="preserve"> Pueblos Originarios</t>
  </si>
  <si>
    <t>No Olvide Hombres</t>
  </si>
  <si>
    <t>No Olvide Mujeres</t>
  </si>
  <si>
    <t>Total adolescentes en control</t>
  </si>
  <si>
    <t>SECCION B: POBLACIÓN EN CONTROL DE SALUD INTEGRAL DE ADOLESCENTES, SEGÚN ESTADO NUTRICIONAL</t>
  </si>
  <si>
    <t>Indicador Nutricional y Parámetros de medición</t>
  </si>
  <si>
    <t xml:space="preserve"> 10 a 14 años</t>
  </si>
  <si>
    <t>≥ +2.0 a+2,9 D.E. (Obesidad)</t>
  </si>
  <si>
    <t xml:space="preserve">≥ +1.0 a+1,9 D.E.(Sobrepeso) </t>
  </si>
  <si>
    <t>SUBTOTAL</t>
  </si>
  <si>
    <t>≤ -1.0 a-1,9 D.E.(Bajo peso)</t>
  </si>
  <si>
    <t>≤ -2.0 D.E. (Desnutrición)</t>
  </si>
  <si>
    <t xml:space="preserve"> -0.9 a+ 0.9 D.E. (Peso Normal)</t>
  </si>
  <si>
    <t>≥+ 2.0 D.E.(Talla Alta)</t>
  </si>
  <si>
    <t>+ 1.0 a+ 1.9 D.E. (Talla Normal Alta)</t>
  </si>
  <si>
    <t>- 1.0 a -1.9 D.E. (Talla Normal Baja)</t>
  </si>
  <si>
    <t>-0.9 a+ 0.9 D.E. (Talla Normal)</t>
  </si>
  <si>
    <t>Rangos percentilares para circunferencia de cintura</t>
  </si>
  <si>
    <t>Normal (p&lt;75)</t>
  </si>
  <si>
    <t>Riesgo de obesidad  (p75&lt;p&lt;90)</t>
  </si>
  <si>
    <t>Obesidad abdominal  p&gt;90)</t>
  </si>
  <si>
    <t>Déficit ponderado bajo peso</t>
  </si>
  <si>
    <t>Sobrepeso / riesgo obesidad</t>
  </si>
  <si>
    <t>Obeso severo</t>
  </si>
  <si>
    <t>Normal o eutrofia</t>
  </si>
  <si>
    <t>"Desnutrición Secundaria"</t>
  </si>
  <si>
    <t>SECCION C: POBLACIÓN EN CONTROL SALUD INTEGRAL DE ADOLESCENTES, SEGÚN EDUCACIÓN Y TRABAJO</t>
  </si>
  <si>
    <t>Estudio/trabajo</t>
  </si>
  <si>
    <t>10-14 años</t>
  </si>
  <si>
    <t>15 - 19 años</t>
  </si>
  <si>
    <t>Hombre</t>
  </si>
  <si>
    <t>Estudia</t>
  </si>
  <si>
    <t>Deserción escolar</t>
  </si>
  <si>
    <t>Trabajo infantil</t>
  </si>
  <si>
    <t>Trabajo juvenil</t>
  </si>
  <si>
    <t>Peores formas de trabajo infantil</t>
  </si>
  <si>
    <t>Servicio doméstico no remunerado peligroso</t>
  </si>
  <si>
    <t>SECCION D: POBLACIÓN EN CONTROL SALUD INTEGRAL DE ADOLESCENTES, SEGÚN ÁREAS DE RIESGO</t>
  </si>
  <si>
    <t>Aréas de Riesgo</t>
  </si>
  <si>
    <t>Riesgo SSR</t>
  </si>
  <si>
    <t>Riesgo suicida</t>
  </si>
  <si>
    <t>Riesgo social</t>
  </si>
  <si>
    <t>Riesgo psicoemocional</t>
  </si>
  <si>
    <t>Violencia</t>
  </si>
  <si>
    <t>Riesgo Alcohol y otras drogas</t>
  </si>
  <si>
    <t>Malnutrición por déficit</t>
  </si>
  <si>
    <t>Malnutrición por exceso</t>
  </si>
  <si>
    <t>Riesgo deserción escolar</t>
  </si>
  <si>
    <t>Otro</t>
  </si>
  <si>
    <t>SECCION E: POBLACIÓN EN CONTROL SALUD INTEGRAL DE ADOLESCENTES, SEGÚN ÁMBITOS GINECO-UROLÓGICO/SEXUALIDAD</t>
  </si>
  <si>
    <t>Ámbitos Gineco-Urológico/Sexualidad</t>
  </si>
  <si>
    <t xml:space="preserve"> 10-14 años</t>
  </si>
  <si>
    <t xml:space="preserve"> 15 - 19 años</t>
  </si>
  <si>
    <t>Adolescentes con conducta postergadora</t>
  </si>
  <si>
    <t>Adolescentes con conducta anticipadora</t>
  </si>
  <si>
    <t>Adolescentes con conducta activa</t>
  </si>
  <si>
    <t>Uso actual de método anticonceptivo</t>
  </si>
  <si>
    <t>Uso actual de doble protección</t>
  </si>
  <si>
    <t>Adolescente con antecedente de un primer embarazo</t>
  </si>
  <si>
    <t>Adolescente con antecedente de más de un embarazo</t>
  </si>
  <si>
    <t>Adolescente con antecedente de aborto</t>
  </si>
  <si>
    <t>SECCION F: POBLACIÓN EN CONTROL SALUD INTEGRAL DE ADOLESCENTES, SEGÚN TIPO DE  VIOLENCIA</t>
  </si>
  <si>
    <t>Tipo violencia</t>
  </si>
  <si>
    <t>Violencia intrafamiliar</t>
  </si>
  <si>
    <t>Violencia de pareja / pololeo</t>
  </si>
  <si>
    <t xml:space="preserve">Violencia escolar o Bullyng </t>
  </si>
  <si>
    <t>Violencia virtual</t>
  </si>
  <si>
    <t>SECCION G: POBLACIÓN EN CONTROL DE SALUD INTEGRAL ADOLESCENTES QUE RECIBE CONSEJERÍA</t>
  </si>
  <si>
    <t>Actividad y Área Temática</t>
  </si>
  <si>
    <t>Grupos de Edad</t>
  </si>
  <si>
    <t>Total de Adolescentes que reciben Consejería</t>
  </si>
  <si>
    <t>Espacios Amigables</t>
  </si>
  <si>
    <t>Actividad física</t>
  </si>
  <si>
    <t>15-19 años</t>
  </si>
  <si>
    <t>Alimentación saludable</t>
  </si>
  <si>
    <t>Tabaquismo</t>
  </si>
  <si>
    <t>Consumo de drogas</t>
  </si>
  <si>
    <t>Salud sexual reproductiva</t>
  </si>
  <si>
    <t>Regulación de fecundidad</t>
  </si>
  <si>
    <t>Prevención VIH-ITS</t>
  </si>
  <si>
    <t>REM-P11. POBLACIÓN EN CONTROL PROGRAMA DE INFECCIONES DE TRASMISIÓN SEXUAL - VIH / SIDA</t>
  </si>
  <si>
    <t>SECCION A: POBLACIÓN EN CONTROL DEL PROGRAMA DE VIH/SIDA (Uso exclusivo Centros de Atención VIH-SIDA)</t>
  </si>
  <si>
    <t>Concepto</t>
  </si>
  <si>
    <t>Población SENAME</t>
  </si>
  <si>
    <t>Población Mejor Niñez</t>
  </si>
  <si>
    <t>Menor 1 Año</t>
  </si>
  <si>
    <t>2 a 4 años</t>
  </si>
  <si>
    <t>Femenino (NO)</t>
  </si>
  <si>
    <t>Nº Total de personas con VIH/SIDA</t>
  </si>
  <si>
    <t>Inicia TARV en este embarazo</t>
  </si>
  <si>
    <t>En TARV previa</t>
  </si>
  <si>
    <t>No Gestantes</t>
  </si>
  <si>
    <t>Con TARV</t>
  </si>
  <si>
    <t>Sin TARV</t>
  </si>
  <si>
    <t>N° Total de personas en TARV</t>
  </si>
  <si>
    <t>Con carga viral &lt;a 1000 copias</t>
  </si>
  <si>
    <t>SECCION B: POBLACIÓN EN CONTROL POR COMERCIO SEXUAL (Uso exclusivo de Unidades Control Comercio Sexual)</t>
  </si>
  <si>
    <t xml:space="preserve"> </t>
  </si>
  <si>
    <t>Nº de personas / Comercio Sexual</t>
  </si>
  <si>
    <t>REM-P12. PERSONAS CON TAMIZAJE PARA LA DETECCIÓN PRECOZ DE CÁNCER DE CUELLO UTERINO –  CÁNCER DE MAMAS  (SEMESTRAL)</t>
  </si>
  <si>
    <t xml:space="preserve">SECCIÓN A: PROGRAMA DE CANCER DE CUELLO UTERINO: </t>
  </si>
  <si>
    <t xml:space="preserve">SECCIÓN A1: POBLACIÓN CON TAMIZAJE VIGENTE </t>
  </si>
  <si>
    <t>PARA LA DETECCIÓN PRECOZ DEL CÁNCER DE CUELLO UTERINO</t>
  </si>
  <si>
    <t xml:space="preserve">Mujeres con Tamizaje vigente para la detección precoz de Cáncer de Cuello Uterino </t>
  </si>
  <si>
    <t xml:space="preserve">Trans Masculino con Tamizaje vigente para la deteccion precoz de Cáncer de Cuello Uterino </t>
  </si>
  <si>
    <t>Menor de 25 años</t>
  </si>
  <si>
    <t xml:space="preserve">25 a 29 años </t>
  </si>
  <si>
    <t>(*) Fuente de información: CITOEXPERT o REVICAN</t>
  </si>
  <si>
    <t>SECCIÓN A2: POBLACIÓN CON VPH VIGENTE</t>
  </si>
  <si>
    <t>GRUPOS DE EDAD 
(en años)</t>
  </si>
  <si>
    <t>Mujeres con examen VPH vigente en los últimos 5 años</t>
  </si>
  <si>
    <t>Trans Masculino con examen  VPH vigente en los últimos 5 años</t>
  </si>
  <si>
    <t>SECCION B: PROGRAMA DE CANCER DE MAMA</t>
  </si>
  <si>
    <t xml:space="preserve">SECCIÓN B1: MUJERES CON MAMOGRAFÍA VIGENTE EN LOS ÚLTIMOS 2 AÑOS. </t>
  </si>
  <si>
    <t>GRUPO DE EDAD 
(en años)</t>
  </si>
  <si>
    <t>Mujeres con Mamografía vigente (Menor o igual a 2 años)</t>
  </si>
  <si>
    <t>Trans masculino
con Mamografía vigente (Menor o igual a 2 años)</t>
  </si>
  <si>
    <t>Menor de 35 años</t>
  </si>
  <si>
    <t>35 a 49 años</t>
  </si>
  <si>
    <t xml:space="preserve">(*) Fuente de información: Tarjetero poblacional de la APS	</t>
  </si>
  <si>
    <t>SECCIÓN B2: NÚMERO DE MUJERES CON EXAMEN FÍSICO DE MAMA - EFM (VIGENTE)</t>
  </si>
  <si>
    <t xml:space="preserve">Mujeres con EFM vigente </t>
  </si>
  <si>
    <t>Trans Masculino
con EFM vigente (Menor o igual a 2 años)</t>
  </si>
  <si>
    <t>REM-P13. NIÑOS, NIÑAS, ADOLESCENTES Y JÓVENES CON VULNERACIÓN DE DERECHOS Y/O INFRACCIÓN A LA LEY BAJO LA PROTECCIÓN DEL ESTADO EN ATENCIÓN</t>
  </si>
  <si>
    <t>SECCIÓN A: NIÑOS, NIÑAS, ADOLESCENTES Y JÓVENES CON VULNERACIÓN DE DERECHOS Y/O INFRACCIÓN A LA LEY EN CONTROL DE SALUD EN APS AL CORTE</t>
  </si>
  <si>
    <t>Tipo de Programa</t>
  </si>
  <si>
    <t xml:space="preserve"> 0 - 4 años</t>
  </si>
  <si>
    <t xml:space="preserve"> 5 - 9 años</t>
  </si>
  <si>
    <t xml:space="preserve"> 10 - 14 años</t>
  </si>
  <si>
    <t>20 - 24 años</t>
  </si>
  <si>
    <t>25 y más años</t>
  </si>
  <si>
    <t>Ambulatorio (SPE Mejor Niñez)</t>
  </si>
  <si>
    <t>Sanción medio libre (SENAME -Servicio de Reinserción Social Juvenil)</t>
  </si>
  <si>
    <t>Residenciales (SPE Mejor Niñez)</t>
  </si>
  <si>
    <t>CIP-CRC (Medio Privativo)</t>
  </si>
  <si>
    <t>Variables</t>
  </si>
  <si>
    <t>Población en control con método de regulación de fertilidad</t>
  </si>
  <si>
    <t>Gestantes en control con riesgo psicosocial</t>
  </si>
  <si>
    <t>Población infantil en control</t>
  </si>
  <si>
    <t>Población en control de salud integral de adolescentes según área de riesgo</t>
  </si>
  <si>
    <t>Población en Control de salud según ciclo vital mayor de 20 años</t>
  </si>
  <si>
    <t>Población en control de salud mental</t>
  </si>
  <si>
    <t>Población en programa de acompañamiento psicosocial</t>
  </si>
  <si>
    <t>Población en control de salud bucal</t>
  </si>
  <si>
    <t>NUMERO DE ERRORES Y COMPLETITUD DE REM SERIE P</t>
  </si>
  <si>
    <t>REM</t>
  </si>
  <si>
    <t>Nº ERRORES</t>
  </si>
  <si>
    <t>REM
SIN DATOS</t>
  </si>
  <si>
    <t>HOJA NOMBRE</t>
  </si>
  <si>
    <t>REM P1</t>
  </si>
  <si>
    <t>Licencia médica</t>
  </si>
  <si>
    <t>REM P2</t>
  </si>
  <si>
    <t>Feriado Legal</t>
  </si>
  <si>
    <t>REM P3</t>
  </si>
  <si>
    <t>No hubo profesional</t>
  </si>
  <si>
    <t>REM P4</t>
  </si>
  <si>
    <t>No corresponde REM</t>
  </si>
  <si>
    <t>REM P5</t>
  </si>
  <si>
    <t>Otra causa justificada</t>
  </si>
  <si>
    <t>REM P6</t>
  </si>
  <si>
    <t>REM P7</t>
  </si>
  <si>
    <t>REM P9</t>
  </si>
  <si>
    <t>REM P11</t>
  </si>
  <si>
    <t>REM P12</t>
  </si>
  <si>
    <t>REM P13</t>
  </si>
  <si>
    <t>Hoja de Macros y Utilidades</t>
  </si>
  <si>
    <t>DESPROTEGER HOJAS</t>
  </si>
  <si>
    <t>PROTEGER HOJAS</t>
  </si>
  <si>
    <t>CREA UNA COPIA DEL ARCHIVO (TRANFORMA HOJAS A VALORES)</t>
  </si>
  <si>
    <t>Contraseña para copia del archivo :DEIS</t>
  </si>
  <si>
    <t>HbA1C&lt;7% - PA &lt; 140/90mmHg y Colesterol LDL &lt; 70 mg/dl</t>
  </si>
  <si>
    <t>Trastorno Espectro Autista</t>
  </si>
  <si>
    <t>N° Gestantes com 3 ó más riesgos con VDI</t>
  </si>
  <si>
    <t xml:space="preserve">Estado nutricional </t>
  </si>
  <si>
    <t xml:space="preserve"> Alto riesgo pauta cero con control vigente</t>
  </si>
  <si>
    <t>Bajo Riesgo pauta cero con control vigente</t>
  </si>
  <si>
    <t>Servicio Nacional Protección Especializada a la Niñez y Adolescencia</t>
  </si>
  <si>
    <t xml:space="preserve">SENAME/ Servicio Nacional de Reinserción social Juvenil </t>
  </si>
  <si>
    <t xml:space="preserve">Pueblos originarios </t>
  </si>
  <si>
    <t>SECCIÓN B: VARIABLES DE SEGUIMIENTO A POBLACIÓN DEL SERVICIO DE PROTECCIÓN ESPECIALIZADA  (EX MEJOR NIÑEZ) Y  SERVICIO NACIONAL DE REINSERCIÓN SOCIAL JUVENIL- SENAME EN CONTROL DE SALUD EN APS AL CORTE</t>
  </si>
  <si>
    <t>Estado nutricional</t>
  </si>
  <si>
    <r>
      <t xml:space="preserve">Otros trastornos del </t>
    </r>
    <r>
      <rPr>
        <b/>
        <sz val="11"/>
        <color theme="1"/>
        <rFont val="Calibri"/>
        <family val="2"/>
      </rPr>
      <t>Neurodesarrollo  </t>
    </r>
    <r>
      <rPr>
        <sz val="11"/>
        <color theme="1"/>
        <rFont val="calibri"/>
        <family val="2"/>
      </rPr>
      <t>( no incluye TEA)</t>
    </r>
  </si>
  <si>
    <r>
      <t xml:space="preserve">Enfermedades crónicas gastrointestinales </t>
    </r>
    <r>
      <rPr>
        <sz val="11"/>
        <color theme="1"/>
        <rFont val="calibri"/>
        <family val="2"/>
      </rPr>
      <t>(no incluye enfermedad celiaca)</t>
    </r>
  </si>
  <si>
    <r>
      <t xml:space="preserve">Enfermedades crónicas del sistema visual </t>
    </r>
    <r>
      <rPr>
        <sz val="11"/>
        <color theme="1"/>
        <rFont val="calibri"/>
        <family val="2"/>
      </rPr>
      <t>(no incluye Estabismo ni Errores de Refracción)</t>
    </r>
  </si>
  <si>
    <r>
      <t xml:space="preserve">Otras Enfermedades crónicas neurológicas </t>
    </r>
    <r>
      <rPr>
        <sz val="11"/>
        <color theme="1"/>
        <rFont val="calibri"/>
        <family val="2"/>
      </rPr>
      <t>(No incluye síndrome de Rett, Parálisis Cerebral, Epiepsia, TEA)</t>
    </r>
  </si>
  <si>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>+ 3 D.E. (Obesidad Severa)</t>
    </r>
  </si>
  <si>
    <r>
      <rPr>
        <u/>
        <sz val="8"/>
        <color theme="1"/>
        <rFont val="Verdana"/>
        <family val="2"/>
      </rPr>
      <t>&lt;</t>
    </r>
    <r>
      <rPr>
        <sz val="8"/>
        <color theme="1"/>
        <rFont val="Verdana"/>
        <family val="2"/>
      </rPr>
      <t xml:space="preserve"> 2 D.E. (Talla Baja)</t>
    </r>
  </si>
  <si>
    <t>SECCION C: POBLACIÓN EN CONTROL EN PROGRAMA DE REHABILITACIÓN PULMONAR EN SALA IRA-ERA</t>
  </si>
  <si>
    <t>Filtro</t>
  </si>
  <si>
    <t>URL + Encoding</t>
  </si>
  <si>
    <t>https://datos.gob.cl/api/3/action/datastore_search?resource_id=2c44d782-3365-44e3-aefb-2c8b8363a1bc&amp;limit=1&amp;filters=</t>
  </si>
  <si>
    <t>ServicioWeb</t>
  </si>
  <si>
    <t>Hay Registros</t>
  </si>
  <si>
    <t>Establecimiento</t>
  </si>
  <si>
    <t>Comuna</t>
  </si>
  <si>
    <t>Comuna Glosa</t>
  </si>
  <si>
    <t>Comuna Dividida por Celdas en sgte linea:</t>
  </si>
  <si>
    <t>Tamizaje grupo priorizado</t>
  </si>
  <si>
    <t>Insuficiencia Cardiaca</t>
  </si>
  <si>
    <t>Con insuficiencia cardiaca</t>
  </si>
  <si>
    <t>Versión 1.2: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</si>
</sst>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_-[$€-2]* #,##0.00_-;\-[$€-2]* #,##0.00_-;_-[$€-2]* &quot;-&quot;??_-"/>
    <numFmt numFmtId="168" formatCode="&quot;$&quot;\ #,##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color indexed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12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12"/>
      <name val="Verdana"/>
      <family val="2"/>
    </font>
    <font>
      <sz val="11"/>
      <color indexed="8"/>
      <name val="Calibri"/>
      <family val="2"/>
    </font>
    <font>
      <b/>
      <sz val="14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60"/>
      <name val="Verdana"/>
      <family val="2"/>
    </font>
    <font>
      <b/>
      <sz val="18"/>
      <name val="Verdana"/>
      <family val="2"/>
    </font>
    <font>
      <b/>
      <sz val="10"/>
      <color indexed="10"/>
      <name val="Verdana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B050"/>
      <name val="Verdana"/>
      <family val="2"/>
    </font>
    <font>
      <sz val="11"/>
      <name val="Calibri"/>
      <family val="2"/>
      <scheme val="minor"/>
    </font>
    <font>
      <sz val="9"/>
      <name val="Verdana"/>
      <family val="2"/>
    </font>
    <font>
      <sz val="9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Calibri"/>
      <family val="2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u/>
      <sz val="8"/>
      <color theme="1"/>
      <name val="Verdana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/>
        <bgColor indexed="64"/>
      </patternFill>
    </fill>
  </fills>
  <borders count="2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0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9" fillId="13" borderId="1" applyBorder="0">
      <protection locked="0"/>
    </xf>
    <xf numFmtId="0" fontId="9" fillId="13" borderId="2" applyNumberFormat="0">
      <protection locked="0"/>
    </xf>
    <xf numFmtId="0" fontId="9" fillId="13" borderId="2" applyNumberFormat="0">
      <protection locked="0"/>
    </xf>
    <xf numFmtId="0" fontId="9" fillId="13" borderId="2" applyNumberFormat="0">
      <protection locked="0"/>
    </xf>
    <xf numFmtId="0" fontId="9" fillId="13" borderId="1" applyBorder="0">
      <protection locked="0"/>
    </xf>
    <xf numFmtId="0" fontId="9" fillId="13" borderId="1" applyBorder="0">
      <protection locked="0"/>
    </xf>
    <xf numFmtId="0" fontId="9" fillId="13" borderId="1" applyBorder="0">
      <protection locked="0"/>
    </xf>
    <xf numFmtId="0" fontId="9" fillId="13" borderId="2" applyNumberFormat="0">
      <protection locked="0"/>
    </xf>
    <xf numFmtId="0" fontId="9" fillId="13" borderId="2" applyNumberFormat="0">
      <protection locked="0"/>
    </xf>
    <xf numFmtId="0" fontId="9" fillId="13" borderId="2" applyNumberFormat="0">
      <protection locked="0"/>
    </xf>
    <xf numFmtId="0" fontId="9" fillId="13" borderId="1" applyBorder="0">
      <protection locked="0"/>
    </xf>
    <xf numFmtId="0" fontId="9" fillId="13" borderId="2" applyNumberFormat="0">
      <protection locked="0"/>
    </xf>
    <xf numFmtId="0" fontId="9" fillId="13" borderId="1" applyBorder="0">
      <protection locked="0"/>
    </xf>
    <xf numFmtId="0" fontId="17" fillId="0" borderId="1" applyNumberFormat="0" applyBorder="0">
      <protection hidden="1"/>
    </xf>
    <xf numFmtId="0" fontId="17" fillId="0" borderId="1" applyNumberFormat="0" applyBorder="0">
      <protection hidden="1"/>
    </xf>
    <xf numFmtId="0" fontId="17" fillId="0" borderId="1" applyNumberFormat="0" applyBorder="0" applyAlignment="0">
      <protection hidden="1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27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3" fillId="0" borderId="0" applyFon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 applyFon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3" applyNumberFormat="0" applyFont="0" applyAlignment="0" applyProtection="0"/>
    <xf numFmtId="0" fontId="9" fillId="5" borderId="3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13" borderId="134" applyNumberFormat="0">
      <protection locked="0"/>
    </xf>
    <xf numFmtId="0" fontId="9" fillId="13" borderId="134" applyNumberFormat="0">
      <protection locked="0"/>
    </xf>
    <xf numFmtId="0" fontId="9" fillId="13" borderId="137" applyBorder="0">
      <protection locked="0"/>
    </xf>
    <xf numFmtId="0" fontId="9" fillId="13" borderId="146" applyNumberFormat="0">
      <protection locked="0"/>
    </xf>
    <xf numFmtId="0" fontId="9" fillId="13" borderId="146" applyNumberFormat="0">
      <protection locked="0"/>
    </xf>
    <xf numFmtId="0" fontId="9" fillId="13" borderId="146" applyNumberFormat="0">
      <protection locked="0"/>
    </xf>
    <xf numFmtId="0" fontId="9" fillId="13" borderId="137" applyBorder="0">
      <protection locked="0"/>
    </xf>
    <xf numFmtId="0" fontId="9" fillId="13" borderId="137" applyBorder="0">
      <protection locked="0"/>
    </xf>
    <xf numFmtId="0" fontId="9" fillId="13" borderId="146" applyNumberFormat="0">
      <protection locked="0"/>
    </xf>
    <xf numFmtId="0" fontId="9" fillId="13" borderId="146" applyNumberFormat="0">
      <protection locked="0"/>
    </xf>
    <xf numFmtId="0" fontId="9" fillId="13" borderId="146" applyNumberFormat="0">
      <protection locked="0"/>
    </xf>
    <xf numFmtId="0" fontId="9" fillId="13" borderId="137" applyBorder="0">
      <protection locked="0"/>
    </xf>
    <xf numFmtId="0" fontId="9" fillId="13" borderId="146" applyNumberFormat="0">
      <protection locked="0"/>
    </xf>
    <xf numFmtId="0" fontId="17" fillId="0" borderId="137" applyNumberFormat="0" applyBorder="0">
      <protection hidden="1"/>
    </xf>
    <xf numFmtId="0" fontId="17" fillId="0" borderId="137" applyNumberFormat="0" applyBorder="0">
      <protection hidden="1"/>
    </xf>
    <xf numFmtId="0" fontId="17" fillId="0" borderId="137" applyNumberFormat="0" applyBorder="0" applyAlignment="0">
      <protection hidden="1"/>
    </xf>
    <xf numFmtId="0" fontId="9" fillId="5" borderId="147" applyNumberFormat="0" applyFont="0" applyAlignment="0" applyProtection="0"/>
    <xf numFmtId="0" fontId="9" fillId="5" borderId="147" applyNumberFormat="0" applyFont="0" applyAlignment="0" applyProtection="0"/>
    <xf numFmtId="0" fontId="9" fillId="13" borderId="148" applyNumberFormat="0">
      <protection locked="0"/>
    </xf>
    <xf numFmtId="0" fontId="9" fillId="13" borderId="148" applyNumberFormat="0">
      <protection locked="0"/>
    </xf>
    <xf numFmtId="0" fontId="9" fillId="13" borderId="153" applyBorder="0">
      <protection locked="0"/>
    </xf>
    <xf numFmtId="0" fontId="9" fillId="13" borderId="148" applyNumberFormat="0">
      <protection locked="0"/>
    </xf>
    <xf numFmtId="0" fontId="9" fillId="13" borderId="148" applyNumberFormat="0">
      <protection locked="0"/>
    </xf>
    <xf numFmtId="0" fontId="9" fillId="13" borderId="153" applyBorder="0">
      <protection locked="0"/>
    </xf>
    <xf numFmtId="0" fontId="9" fillId="13" borderId="153" applyBorder="0">
      <protection locked="0"/>
    </xf>
    <xf numFmtId="0" fontId="9" fillId="13" borderId="148" applyNumberFormat="0">
      <protection locked="0"/>
    </xf>
    <xf numFmtId="0" fontId="9" fillId="13" borderId="148" applyNumberFormat="0">
      <protection locked="0"/>
    </xf>
    <xf numFmtId="0" fontId="9" fillId="13" borderId="148" applyNumberFormat="0">
      <protection locked="0"/>
    </xf>
    <xf numFmtId="0" fontId="9" fillId="13" borderId="153" applyBorder="0">
      <protection locked="0"/>
    </xf>
    <xf numFmtId="0" fontId="9" fillId="13" borderId="148" applyNumberFormat="0">
      <protection locked="0"/>
    </xf>
    <xf numFmtId="0" fontId="17" fillId="0" borderId="153" applyNumberFormat="0" applyBorder="0">
      <protection hidden="1"/>
    </xf>
    <xf numFmtId="0" fontId="17" fillId="0" borderId="153" applyNumberFormat="0" applyBorder="0">
      <protection hidden="1"/>
    </xf>
    <xf numFmtId="0" fontId="17" fillId="0" borderId="153" applyNumberFormat="0" applyBorder="0" applyAlignment="0">
      <protection hidden="1"/>
    </xf>
    <xf numFmtId="0" fontId="9" fillId="13" borderId="156" applyNumberFormat="0">
      <protection locked="0"/>
    </xf>
    <xf numFmtId="0" fontId="9" fillId="13" borderId="156" applyNumberFormat="0">
      <protection locked="0"/>
    </xf>
    <xf numFmtId="0" fontId="2" fillId="29" borderId="159" applyNumberFormat="0" applyFont="0" applyAlignment="0" applyProtection="0"/>
    <xf numFmtId="0" fontId="9" fillId="13" borderId="2" applyNumberFormat="0">
      <protection locked="0"/>
    </xf>
    <xf numFmtId="0" fontId="9" fillId="13" borderId="161" applyBorder="0">
      <protection locked="0"/>
    </xf>
    <xf numFmtId="0" fontId="9" fillId="13" borderId="162" applyNumberFormat="0">
      <protection locked="0"/>
    </xf>
    <xf numFmtId="0" fontId="9" fillId="13" borderId="162" applyNumberFormat="0">
      <protection locked="0"/>
    </xf>
    <xf numFmtId="0" fontId="9" fillId="13" borderId="163" applyNumberFormat="0">
      <protection locked="0"/>
    </xf>
    <xf numFmtId="0" fontId="9" fillId="13" borderId="153" applyBorder="0">
      <protection locked="0"/>
    </xf>
    <xf numFmtId="0" fontId="43" fillId="0" borderId="0" applyNumberFormat="0" applyFill="0" applyBorder="0" applyAlignment="0" applyProtection="0"/>
  </cellStyleXfs>
  <cellXfs count="2524">
    <xf numFmtId="0" fontId="0" fillId="0" borderId="0" xfId="0"/>
    <xf numFmtId="0" fontId="6" fillId="0" borderId="0" xfId="123" applyFont="1" applyAlignment="1" applyProtection="1"/>
    <xf numFmtId="0" fontId="7" fillId="0" borderId="0" xfId="123" applyFont="1" applyAlignment="1" applyProtection="1"/>
    <xf numFmtId="0" fontId="10" fillId="0" borderId="0" xfId="123" applyFont="1" applyBorder="1" applyAlignment="1" applyProtection="1">
      <alignment horizontal="left" vertical="center"/>
    </xf>
    <xf numFmtId="0" fontId="10" fillId="0" borderId="0" xfId="123" applyFont="1" applyAlignment="1" applyProtection="1">
      <alignment horizontal="left" vertical="center"/>
    </xf>
    <xf numFmtId="0" fontId="8" fillId="0" borderId="0" xfId="123" applyFont="1" applyBorder="1" applyAlignment="1" applyProtection="1">
      <alignment horizontal="center" vertical="center"/>
    </xf>
    <xf numFmtId="0" fontId="7" fillId="15" borderId="0" xfId="14" applyNumberFormat="1" applyFont="1" applyFill="1" applyBorder="1">
      <protection locked="0"/>
    </xf>
    <xf numFmtId="0" fontId="11" fillId="0" borderId="0" xfId="123" applyFont="1" applyBorder="1" applyAlignment="1" applyProtection="1">
      <alignment horizontal="left" vertical="center"/>
    </xf>
    <xf numFmtId="0" fontId="11" fillId="0" borderId="0" xfId="123" applyFont="1" applyAlignment="1" applyProtection="1">
      <alignment horizontal="center" vertical="center"/>
    </xf>
    <xf numFmtId="0" fontId="8" fillId="0" borderId="0" xfId="123" applyFont="1" applyBorder="1" applyAlignment="1" applyProtection="1">
      <alignment horizontal="left" vertical="center"/>
    </xf>
    <xf numFmtId="0" fontId="11" fillId="0" borderId="0" xfId="123" applyFont="1" applyAlignment="1" applyProtection="1">
      <alignment horizontal="left" vertical="center"/>
    </xf>
    <xf numFmtId="0" fontId="11" fillId="15" borderId="0" xfId="14" applyNumberFormat="1" applyFont="1" applyFill="1" applyBorder="1">
      <protection locked="0"/>
    </xf>
    <xf numFmtId="0" fontId="13" fillId="0" borderId="0" xfId="123" applyFont="1" applyAlignment="1" applyProtection="1">
      <alignment horizontal="left"/>
    </xf>
    <xf numFmtId="0" fontId="13" fillId="0" borderId="0" xfId="123" applyFont="1" applyAlignment="1" applyProtection="1"/>
    <xf numFmtId="1" fontId="7" fillId="0" borderId="0" xfId="123" applyNumberFormat="1" applyFont="1" applyAlignment="1" applyProtection="1">
      <alignment horizontal="right"/>
    </xf>
    <xf numFmtId="49" fontId="7" fillId="0" borderId="0" xfId="123" applyNumberFormat="1" applyFont="1" applyAlignment="1" applyProtection="1">
      <alignment horizontal="center"/>
    </xf>
    <xf numFmtId="0" fontId="7" fillId="14" borderId="0" xfId="123" applyFont="1" applyFill="1" applyAlignment="1" applyProtection="1"/>
    <xf numFmtId="0" fontId="9" fillId="0" borderId="0" xfId="0" applyFont="1"/>
    <xf numFmtId="0" fontId="7" fillId="0" borderId="0" xfId="123" applyFont="1" applyAlignment="1" applyProtection="1">
      <alignment horizontal="left"/>
    </xf>
    <xf numFmtId="0" fontId="6" fillId="0" borderId="0" xfId="123" applyFont="1" applyAlignment="1" applyProtection="1">
      <alignment horizontal="center"/>
    </xf>
    <xf numFmtId="0" fontId="7" fillId="0" borderId="0" xfId="123" applyFont="1" applyAlignment="1" applyProtection="1">
      <alignment horizontal="center"/>
    </xf>
    <xf numFmtId="0" fontId="7" fillId="14" borderId="0" xfId="0" applyFont="1" applyFill="1"/>
    <xf numFmtId="0" fontId="13" fillId="0" borderId="0" xfId="108" applyFont="1"/>
    <xf numFmtId="0" fontId="18" fillId="0" borderId="0" xfId="108" applyFont="1"/>
    <xf numFmtId="0" fontId="8" fillId="0" borderId="0" xfId="108" applyFont="1"/>
    <xf numFmtId="0" fontId="8" fillId="16" borderId="0" xfId="0" applyFont="1" applyFill="1" applyAlignment="1">
      <alignment horizontal="center" vertical="center" wrapText="1"/>
    </xf>
    <xf numFmtId="0" fontId="8" fillId="16" borderId="0" xfId="0" applyFont="1" applyFill="1" applyAlignment="1">
      <alignment vertical="center"/>
    </xf>
    <xf numFmtId="0" fontId="8" fillId="16" borderId="7" xfId="0" applyFont="1" applyFill="1" applyBorder="1" applyAlignment="1">
      <alignment horizontal="center" vertical="center" wrapText="1"/>
    </xf>
    <xf numFmtId="0" fontId="8" fillId="0" borderId="0" xfId="108" applyFont="1" applyAlignment="1">
      <alignment vertical="center"/>
    </xf>
    <xf numFmtId="0" fontId="7" fillId="16" borderId="0" xfId="0" applyFont="1" applyFill="1" applyAlignment="1">
      <alignment vertical="center" wrapText="1"/>
    </xf>
    <xf numFmtId="1" fontId="11" fillId="17" borderId="0" xfId="0" applyNumberFormat="1" applyFont="1" applyFill="1"/>
    <xf numFmtId="1" fontId="11" fillId="0" borderId="0" xfId="0" applyNumberFormat="1" applyFont="1"/>
    <xf numFmtId="1" fontId="7" fillId="0" borderId="0" xfId="0" applyNumberFormat="1" applyFont="1" applyProtection="1">
      <protection hidden="1"/>
    </xf>
    <xf numFmtId="1" fontId="7" fillId="0" borderId="0" xfId="0" applyNumberFormat="1" applyFont="1" applyAlignment="1">
      <alignment horizontal="center" vertical="center"/>
    </xf>
    <xf numFmtId="1" fontId="6" fillId="17" borderId="0" xfId="0" applyNumberFormat="1" applyFont="1" applyFill="1"/>
    <xf numFmtId="1" fontId="11" fillId="0" borderId="0" xfId="130" applyNumberFormat="1" applyFont="1" applyAlignment="1">
      <alignment horizontal="left"/>
    </xf>
    <xf numFmtId="1" fontId="11" fillId="0" borderId="0" xfId="0" applyNumberFormat="1" applyFont="1" applyAlignment="1">
      <alignment horizontal="center"/>
    </xf>
    <xf numFmtId="1" fontId="7" fillId="0" borderId="0" xfId="125" applyNumberFormat="1" applyFont="1"/>
    <xf numFmtId="1" fontId="7" fillId="0" borderId="10" xfId="108" applyNumberFormat="1" applyFont="1" applyBorder="1" applyAlignment="1">
      <alignment horizontal="center" vertical="center" wrapText="1"/>
    </xf>
    <xf numFmtId="1" fontId="7" fillId="0" borderId="0" xfId="125" applyNumberFormat="1" applyFont="1" applyProtection="1">
      <protection hidden="1"/>
    </xf>
    <xf numFmtId="1" fontId="11" fillId="0" borderId="0" xfId="131" applyNumberFormat="1" applyFont="1" applyAlignment="1">
      <alignment horizontal="left"/>
    </xf>
    <xf numFmtId="1" fontId="7" fillId="0" borderId="0" xfId="125" applyNumberFormat="1" applyFont="1" applyAlignment="1" applyProtection="1">
      <alignment horizontal="center" vertical="center"/>
      <protection hidden="1"/>
    </xf>
    <xf numFmtId="1" fontId="7" fillId="0" borderId="18" xfId="125" applyNumberFormat="1" applyFont="1" applyBorder="1" applyAlignment="1" applyProtection="1">
      <alignment vertical="center"/>
      <protection hidden="1"/>
    </xf>
    <xf numFmtId="1" fontId="7" fillId="0" borderId="22" xfId="125" applyNumberFormat="1" applyFont="1" applyBorder="1" applyAlignment="1" applyProtection="1">
      <alignment vertical="center"/>
      <protection hidden="1"/>
    </xf>
    <xf numFmtId="1" fontId="7" fillId="0" borderId="15" xfId="125" applyNumberFormat="1" applyFont="1" applyBorder="1" applyAlignment="1" applyProtection="1">
      <alignment vertical="center"/>
      <protection hidden="1"/>
    </xf>
    <xf numFmtId="1" fontId="7" fillId="0" borderId="19" xfId="125" applyNumberFormat="1" applyFont="1" applyBorder="1" applyAlignment="1" applyProtection="1">
      <alignment vertical="center"/>
      <protection hidden="1"/>
    </xf>
    <xf numFmtId="1" fontId="7" fillId="0" borderId="15" xfId="125" applyNumberFormat="1" applyFont="1" applyBorder="1" applyAlignment="1" applyProtection="1">
      <alignment vertical="center" wrapText="1"/>
      <protection hidden="1"/>
    </xf>
    <xf numFmtId="1" fontId="7" fillId="0" borderId="50" xfId="126" applyNumberFormat="1" applyFont="1" applyBorder="1" applyAlignment="1" applyProtection="1">
      <alignment horizontal="center" vertical="center" wrapText="1"/>
      <protection hidden="1"/>
    </xf>
    <xf numFmtId="1" fontId="7" fillId="0" borderId="0" xfId="0" applyNumberFormat="1" applyFont="1"/>
    <xf numFmtId="1" fontId="11" fillId="17" borderId="0" xfId="108" applyNumberFormat="1" applyFont="1" applyFill="1"/>
    <xf numFmtId="1" fontId="11" fillId="17" borderId="0" xfId="108" applyNumberFormat="1" applyFont="1" applyFill="1" applyAlignment="1">
      <alignment horizontal="center"/>
    </xf>
    <xf numFmtId="1" fontId="11" fillId="17" borderId="0" xfId="132" applyNumberFormat="1" applyFont="1" applyFill="1" applyAlignment="1">
      <alignment horizontal="left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50" xfId="0" applyNumberFormat="1" applyFont="1" applyBorder="1" applyAlignment="1">
      <alignment horizontal="center" vertical="center" wrapText="1"/>
    </xf>
    <xf numFmtId="1" fontId="7" fillId="0" borderId="0" xfId="129" applyNumberFormat="1" applyFont="1" applyBorder="1" applyAlignment="1" applyProtection="1">
      <protection hidden="1"/>
    </xf>
    <xf numFmtId="1" fontId="7" fillId="0" borderId="0" xfId="129" applyNumberFormat="1" applyFont="1" applyAlignment="1" applyProtection="1">
      <protection hidden="1"/>
    </xf>
    <xf numFmtId="1" fontId="7" fillId="17" borderId="0" xfId="129" applyNumberFormat="1" applyFont="1" applyFill="1" applyAlignment="1" applyProtection="1">
      <protection hidden="1"/>
    </xf>
    <xf numFmtId="1" fontId="7" fillId="0" borderId="0" xfId="129" applyNumberFormat="1" applyFont="1" applyAlignment="1" applyProtection="1">
      <alignment horizontal="center" vertical="center"/>
      <protection hidden="1"/>
    </xf>
    <xf numFmtId="1" fontId="7" fillId="17" borderId="0" xfId="129" applyNumberFormat="1" applyFont="1" applyFill="1" applyAlignment="1" applyProtection="1">
      <alignment horizontal="center" vertical="center"/>
      <protection hidden="1"/>
    </xf>
    <xf numFmtId="1" fontId="7" fillId="17" borderId="0" xfId="129" applyNumberFormat="1" applyFont="1" applyFill="1" applyBorder="1" applyAlignment="1" applyProtection="1">
      <protection hidden="1"/>
    </xf>
    <xf numFmtId="1" fontId="7" fillId="0" borderId="0" xfId="129" applyNumberFormat="1" applyFont="1" applyAlignment="1" applyProtection="1"/>
    <xf numFmtId="1" fontId="7" fillId="22" borderId="40" xfId="125" applyNumberFormat="1" applyFont="1" applyFill="1" applyBorder="1" applyAlignment="1" applyProtection="1">
      <alignment vertical="center"/>
      <protection hidden="1"/>
    </xf>
    <xf numFmtId="1" fontId="7" fillId="22" borderId="19" xfId="125" applyNumberFormat="1" applyFont="1" applyFill="1" applyBorder="1" applyAlignment="1" applyProtection="1">
      <alignment vertical="center" wrapText="1"/>
      <protection hidden="1"/>
    </xf>
    <xf numFmtId="1" fontId="7" fillId="15" borderId="61" xfId="72" applyNumberFormat="1" applyFont="1" applyFill="1" applyBorder="1" applyAlignment="1" applyProtection="1">
      <alignment horizontal="right"/>
      <protection locked="0"/>
    </xf>
    <xf numFmtId="1" fontId="7" fillId="15" borderId="62" xfId="72" applyNumberFormat="1" applyFont="1" applyFill="1" applyBorder="1" applyAlignment="1" applyProtection="1">
      <alignment horizontal="right"/>
      <protection locked="0"/>
    </xf>
    <xf numFmtId="1" fontId="7" fillId="15" borderId="101" xfId="72" applyNumberFormat="1" applyFont="1" applyFill="1" applyBorder="1" applyAlignment="1" applyProtection="1">
      <alignment horizontal="right"/>
      <protection locked="0"/>
    </xf>
    <xf numFmtId="1" fontId="7" fillId="15" borderId="56" xfId="72" applyNumberFormat="1" applyFont="1" applyFill="1" applyBorder="1" applyAlignment="1" applyProtection="1">
      <alignment horizontal="right"/>
      <protection locked="0"/>
    </xf>
    <xf numFmtId="1" fontId="7" fillId="15" borderId="16" xfId="72" applyNumberFormat="1" applyFont="1" applyFill="1" applyBorder="1" applyAlignment="1" applyProtection="1">
      <alignment horizontal="right"/>
      <protection locked="0"/>
    </xf>
    <xf numFmtId="1" fontId="7" fillId="15" borderId="52" xfId="72" applyNumberFormat="1" applyFont="1" applyFill="1" applyBorder="1" applyAlignment="1" applyProtection="1">
      <alignment horizontal="right"/>
      <protection locked="0"/>
    </xf>
    <xf numFmtId="1" fontId="7" fillId="15" borderId="53" xfId="72" applyNumberFormat="1" applyFont="1" applyFill="1" applyBorder="1" applyAlignment="1" applyProtection="1">
      <alignment horizontal="right"/>
      <protection locked="0"/>
    </xf>
    <xf numFmtId="1" fontId="7" fillId="15" borderId="106" xfId="72" applyNumberFormat="1" applyFont="1" applyFill="1" applyBorder="1" applyAlignment="1" applyProtection="1">
      <alignment horizontal="right"/>
      <protection locked="0"/>
    </xf>
    <xf numFmtId="1" fontId="7" fillId="22" borderId="0" xfId="0" applyNumberFormat="1" applyFont="1" applyFill="1"/>
    <xf numFmtId="1" fontId="7" fillId="0" borderId="51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1" fontId="7" fillId="22" borderId="0" xfId="129" applyNumberFormat="1" applyFont="1" applyFill="1" applyAlignment="1" applyProtection="1">
      <protection hidden="1"/>
    </xf>
    <xf numFmtId="1" fontId="7" fillId="22" borderId="0" xfId="129" applyNumberFormat="1" applyFont="1" applyFill="1" applyAlignment="1" applyProtection="1">
      <alignment horizontal="center" vertical="center"/>
      <protection hidden="1"/>
    </xf>
    <xf numFmtId="1" fontId="7" fillId="0" borderId="0" xfId="0" applyNumberFormat="1" applyFont="1" applyAlignment="1">
      <alignment horizontal="center" vertical="center" wrapText="1"/>
    </xf>
    <xf numFmtId="1" fontId="28" fillId="0" borderId="0" xfId="0" applyNumberFormat="1" applyFont="1"/>
    <xf numFmtId="1" fontId="7" fillId="24" borderId="0" xfId="0" applyNumberFormat="1" applyFont="1" applyFill="1"/>
    <xf numFmtId="1" fontId="7" fillId="0" borderId="51" xfId="0" applyNumberFormat="1" applyFont="1" applyBorder="1" applyAlignment="1">
      <alignment horizontal="center" vertical="center"/>
    </xf>
    <xf numFmtId="1" fontId="7" fillId="26" borderId="0" xfId="0" applyNumberFormat="1" applyFont="1" applyFill="1"/>
    <xf numFmtId="1" fontId="7" fillId="0" borderId="15" xfId="0" applyNumberFormat="1" applyFont="1" applyBorder="1" applyAlignment="1">
      <alignment vertical="center" wrapText="1"/>
    </xf>
    <xf numFmtId="1" fontId="7" fillId="0" borderId="19" xfId="0" applyNumberFormat="1" applyFont="1" applyBorder="1" applyAlignment="1">
      <alignment vertical="center" wrapText="1"/>
    </xf>
    <xf numFmtId="1" fontId="7" fillId="0" borderId="22" xfId="0" applyNumberFormat="1" applyFont="1" applyBorder="1" applyAlignment="1">
      <alignment vertical="center" wrapText="1"/>
    </xf>
    <xf numFmtId="1" fontId="7" fillId="0" borderId="6" xfId="0" applyNumberFormat="1" applyFont="1" applyBorder="1" applyAlignment="1">
      <alignment vertical="center" wrapText="1"/>
    </xf>
    <xf numFmtId="1" fontId="11" fillId="0" borderId="0" xfId="125" applyNumberFormat="1" applyFont="1" applyProtection="1">
      <protection hidden="1"/>
    </xf>
    <xf numFmtId="1" fontId="7" fillId="0" borderId="0" xfId="0" applyNumberFormat="1" applyFont="1" applyAlignment="1">
      <alignment vertical="center"/>
    </xf>
    <xf numFmtId="1" fontId="7" fillId="0" borderId="4" xfId="125" applyNumberFormat="1" applyFont="1" applyBorder="1" applyAlignment="1" applyProtection="1">
      <alignment horizontal="right" vertical="center"/>
      <protection hidden="1"/>
    </xf>
    <xf numFmtId="1" fontId="11" fillId="0" borderId="4" xfId="125" applyNumberFormat="1" applyFont="1" applyBorder="1" applyProtection="1">
      <protection hidden="1"/>
    </xf>
    <xf numFmtId="1" fontId="7" fillId="17" borderId="0" xfId="108" applyNumberFormat="1" applyFont="1" applyFill="1"/>
    <xf numFmtId="1" fontId="7" fillId="15" borderId="11" xfId="0" applyNumberFormat="1" applyFont="1" applyFill="1" applyBorder="1" applyAlignment="1" applyProtection="1">
      <alignment horizontal="right"/>
      <protection locked="0"/>
    </xf>
    <xf numFmtId="1" fontId="7" fillId="15" borderId="12" xfId="0" applyNumberFormat="1" applyFont="1" applyFill="1" applyBorder="1" applyAlignment="1" applyProtection="1">
      <alignment horizontal="right"/>
      <protection locked="0"/>
    </xf>
    <xf numFmtId="1" fontId="7" fillId="15" borderId="70" xfId="0" applyNumberFormat="1" applyFont="1" applyFill="1" applyBorder="1" applyAlignment="1" applyProtection="1">
      <alignment horizontal="right"/>
      <protection locked="0"/>
    </xf>
    <xf numFmtId="1" fontId="7" fillId="15" borderId="85" xfId="0" applyNumberFormat="1" applyFont="1" applyFill="1" applyBorder="1" applyAlignment="1" applyProtection="1">
      <alignment horizontal="right"/>
      <protection locked="0"/>
    </xf>
    <xf numFmtId="1" fontId="7" fillId="15" borderId="20" xfId="0" applyNumberFormat="1" applyFont="1" applyFill="1" applyBorder="1" applyAlignment="1" applyProtection="1">
      <alignment horizontal="right"/>
      <protection locked="0"/>
    </xf>
    <xf numFmtId="1" fontId="7" fillId="15" borderId="8" xfId="0" applyNumberFormat="1" applyFont="1" applyFill="1" applyBorder="1" applyAlignment="1" applyProtection="1">
      <alignment horizontal="right"/>
      <protection locked="0"/>
    </xf>
    <xf numFmtId="1" fontId="7" fillId="15" borderId="22" xfId="0" applyNumberFormat="1" applyFont="1" applyFill="1" applyBorder="1" applyAlignment="1" applyProtection="1">
      <alignment horizontal="right"/>
      <protection locked="0"/>
    </xf>
    <xf numFmtId="1" fontId="7" fillId="15" borderId="86" xfId="0" applyNumberFormat="1" applyFont="1" applyFill="1" applyBorder="1" applyAlignment="1" applyProtection="1">
      <alignment horizontal="right"/>
      <protection locked="0"/>
    </xf>
    <xf numFmtId="1" fontId="7" fillId="0" borderId="6" xfId="0" applyNumberFormat="1" applyFont="1" applyBorder="1" applyAlignment="1">
      <alignment horizontal="right" wrapText="1"/>
    </xf>
    <xf numFmtId="1" fontId="7" fillId="15" borderId="56" xfId="0" applyNumberFormat="1" applyFont="1" applyFill="1" applyBorder="1" applyAlignment="1" applyProtection="1">
      <alignment horizontal="right"/>
      <protection locked="0"/>
    </xf>
    <xf numFmtId="1" fontId="7" fillId="15" borderId="43" xfId="0" applyNumberFormat="1" applyFont="1" applyFill="1" applyBorder="1" applyAlignment="1" applyProtection="1">
      <alignment horizontal="right"/>
      <protection locked="0"/>
    </xf>
    <xf numFmtId="1" fontId="7" fillId="15" borderId="71" xfId="0" applyNumberFormat="1" applyFont="1" applyFill="1" applyBorder="1" applyAlignment="1" applyProtection="1">
      <alignment horizontal="right"/>
      <protection locked="0"/>
    </xf>
    <xf numFmtId="1" fontId="7" fillId="0" borderId="43" xfId="125" applyNumberFormat="1" applyFont="1" applyBorder="1" applyAlignment="1">
      <alignment horizontal="right"/>
    </xf>
    <xf numFmtId="1" fontId="7" fillId="0" borderId="16" xfId="125" applyNumberFormat="1" applyFont="1" applyBorder="1" applyAlignment="1">
      <alignment horizontal="right"/>
    </xf>
    <xf numFmtId="1" fontId="7" fillId="0" borderId="80" xfId="125" applyNumberFormat="1" applyFont="1" applyBorder="1" applyAlignment="1">
      <alignment horizontal="right"/>
    </xf>
    <xf numFmtId="1" fontId="7" fillId="0" borderId="70" xfId="125" applyNumberFormat="1" applyFont="1" applyBorder="1" applyAlignment="1">
      <alignment horizontal="right"/>
    </xf>
    <xf numFmtId="1" fontId="7" fillId="0" borderId="11" xfId="125" applyNumberFormat="1" applyFont="1" applyBorder="1" applyAlignment="1">
      <alignment horizontal="right"/>
    </xf>
    <xf numFmtId="1" fontId="7" fillId="0" borderId="20" xfId="125" applyNumberFormat="1" applyFont="1" applyBorder="1" applyAlignment="1">
      <alignment horizontal="right"/>
    </xf>
    <xf numFmtId="1" fontId="7" fillId="0" borderId="23" xfId="125" applyNumberFormat="1" applyFont="1" applyBorder="1" applyAlignment="1">
      <alignment horizontal="right"/>
    </xf>
    <xf numFmtId="1" fontId="7" fillId="20" borderId="41" xfId="125" applyNumberFormat="1" applyFont="1" applyFill="1" applyBorder="1" applyAlignment="1">
      <alignment horizontal="right"/>
    </xf>
    <xf numFmtId="1" fontId="7" fillId="20" borderId="56" xfId="125" applyNumberFormat="1" applyFont="1" applyFill="1" applyBorder="1" applyAlignment="1">
      <alignment horizontal="right"/>
    </xf>
    <xf numFmtId="1" fontId="7" fillId="20" borderId="42" xfId="125" applyNumberFormat="1" applyFont="1" applyFill="1" applyBorder="1" applyAlignment="1">
      <alignment horizontal="right"/>
    </xf>
    <xf numFmtId="1" fontId="7" fillId="20" borderId="43" xfId="125" applyNumberFormat="1" applyFont="1" applyFill="1" applyBorder="1" applyAlignment="1">
      <alignment horizontal="right"/>
    </xf>
    <xf numFmtId="1" fontId="7" fillId="20" borderId="22" xfId="125" applyNumberFormat="1" applyFont="1" applyFill="1" applyBorder="1" applyAlignment="1">
      <alignment horizontal="right"/>
    </xf>
    <xf numFmtId="1" fontId="7" fillId="20" borderId="72" xfId="125" applyNumberFormat="1" applyFont="1" applyFill="1" applyBorder="1" applyAlignment="1">
      <alignment horizontal="right"/>
    </xf>
    <xf numFmtId="1" fontId="7" fillId="20" borderId="71" xfId="125" applyNumberFormat="1" applyFont="1" applyFill="1" applyBorder="1" applyAlignment="1">
      <alignment horizontal="right"/>
    </xf>
    <xf numFmtId="1" fontId="7" fillId="20" borderId="86" xfId="125" applyNumberFormat="1" applyFont="1" applyFill="1" applyBorder="1" applyAlignment="1">
      <alignment horizontal="right"/>
    </xf>
    <xf numFmtId="1" fontId="7" fillId="0" borderId="18" xfId="125" applyNumberFormat="1" applyFont="1" applyBorder="1" applyAlignment="1">
      <alignment horizontal="right"/>
    </xf>
    <xf numFmtId="1" fontId="7" fillId="0" borderId="22" xfId="125" applyNumberFormat="1" applyFont="1" applyBorder="1" applyAlignment="1">
      <alignment horizontal="right"/>
    </xf>
    <xf numFmtId="1" fontId="7" fillId="0" borderId="86" xfId="125" applyNumberFormat="1" applyFont="1" applyBorder="1" applyAlignment="1">
      <alignment horizontal="right"/>
    </xf>
    <xf numFmtId="1" fontId="7" fillId="0" borderId="82" xfId="125" applyNumberFormat="1" applyFont="1" applyBorder="1" applyAlignment="1">
      <alignment horizontal="right"/>
    </xf>
    <xf numFmtId="1" fontId="7" fillId="0" borderId="87" xfId="125" applyNumberFormat="1" applyFont="1" applyBorder="1" applyAlignment="1">
      <alignment horizontal="right"/>
    </xf>
    <xf numFmtId="1" fontId="7" fillId="0" borderId="83" xfId="125" applyNumberFormat="1" applyFont="1" applyBorder="1" applyAlignment="1">
      <alignment horizontal="right"/>
    </xf>
    <xf numFmtId="1" fontId="7" fillId="0" borderId="88" xfId="125" applyNumberFormat="1" applyFont="1" applyBorder="1" applyAlignment="1">
      <alignment horizontal="right"/>
    </xf>
    <xf numFmtId="1" fontId="7" fillId="0" borderId="10" xfId="125" applyNumberFormat="1" applyFont="1" applyBorder="1" applyAlignment="1">
      <alignment horizontal="right"/>
    </xf>
    <xf numFmtId="1" fontId="7" fillId="0" borderId="11" xfId="126" applyNumberFormat="1" applyFont="1" applyBorder="1" applyAlignment="1">
      <alignment horizontal="right"/>
    </xf>
    <xf numFmtId="1" fontId="7" fillId="0" borderId="56" xfId="126" applyNumberFormat="1" applyFont="1" applyBorder="1" applyAlignment="1">
      <alignment horizontal="right"/>
    </xf>
    <xf numFmtId="1" fontId="7" fillId="15" borderId="41" xfId="126" applyNumberFormat="1" applyFont="1" applyFill="1" applyBorder="1" applyAlignment="1" applyProtection="1">
      <alignment horizontal="right"/>
      <protection locked="0"/>
    </xf>
    <xf numFmtId="1" fontId="7" fillId="15" borderId="56" xfId="126" applyNumberFormat="1" applyFont="1" applyFill="1" applyBorder="1" applyAlignment="1" applyProtection="1">
      <alignment horizontal="right"/>
      <protection locked="0"/>
    </xf>
    <xf numFmtId="1" fontId="7" fillId="15" borderId="91" xfId="126" applyNumberFormat="1" applyFont="1" applyFill="1" applyBorder="1" applyAlignment="1" applyProtection="1">
      <alignment horizontal="right"/>
      <protection locked="0"/>
    </xf>
    <xf numFmtId="1" fontId="7" fillId="15" borderId="69" xfId="126" applyNumberFormat="1" applyFont="1" applyFill="1" applyBorder="1" applyAlignment="1" applyProtection="1">
      <alignment horizontal="right"/>
      <protection locked="0"/>
    </xf>
    <xf numFmtId="1" fontId="7" fillId="15" borderId="11" xfId="126" applyNumberFormat="1" applyFont="1" applyFill="1" applyBorder="1" applyAlignment="1" applyProtection="1">
      <alignment horizontal="right"/>
      <protection locked="0"/>
    </xf>
    <xf numFmtId="1" fontId="7" fillId="0" borderId="20" xfId="126" applyNumberFormat="1" applyFont="1" applyBorder="1" applyAlignment="1">
      <alignment horizontal="right"/>
    </xf>
    <xf numFmtId="1" fontId="7" fillId="0" borderId="43" xfId="126" applyNumberFormat="1" applyFont="1" applyBorder="1" applyAlignment="1">
      <alignment horizontal="right"/>
    </xf>
    <xf numFmtId="1" fontId="7" fillId="15" borderId="42" xfId="126" applyNumberFormat="1" applyFont="1" applyFill="1" applyBorder="1" applyAlignment="1" applyProtection="1">
      <alignment horizontal="right"/>
      <protection locked="0"/>
    </xf>
    <xf numFmtId="1" fontId="7" fillId="15" borderId="43" xfId="126" applyNumberFormat="1" applyFont="1" applyFill="1" applyBorder="1" applyAlignment="1" applyProtection="1">
      <alignment horizontal="right"/>
      <protection locked="0"/>
    </xf>
    <xf numFmtId="1" fontId="7" fillId="15" borderId="73" xfId="126" applyNumberFormat="1" applyFont="1" applyFill="1" applyBorder="1" applyAlignment="1" applyProtection="1">
      <alignment horizontal="right"/>
      <protection locked="0"/>
    </xf>
    <xf numFmtId="1" fontId="7" fillId="15" borderId="64" xfId="126" applyNumberFormat="1" applyFont="1" applyFill="1" applyBorder="1" applyAlignment="1" applyProtection="1">
      <alignment horizontal="right"/>
      <protection locked="0"/>
    </xf>
    <xf numFmtId="1" fontId="7" fillId="15" borderId="20" xfId="126" applyNumberFormat="1" applyFont="1" applyFill="1" applyBorder="1" applyAlignment="1" applyProtection="1">
      <alignment horizontal="right"/>
      <protection locked="0"/>
    </xf>
    <xf numFmtId="1" fontId="7" fillId="15" borderId="72" xfId="126" applyNumberFormat="1" applyFont="1" applyFill="1" applyBorder="1" applyAlignment="1" applyProtection="1">
      <alignment horizontal="right"/>
      <protection locked="0"/>
    </xf>
    <xf numFmtId="1" fontId="7" fillId="15" borderId="71" xfId="126" applyNumberFormat="1" applyFont="1" applyFill="1" applyBorder="1" applyAlignment="1" applyProtection="1">
      <alignment horizontal="right"/>
      <protection locked="0"/>
    </xf>
    <xf numFmtId="1" fontId="7" fillId="15" borderId="81" xfId="126" applyNumberFormat="1" applyFont="1" applyFill="1" applyBorder="1" applyAlignment="1" applyProtection="1">
      <alignment horizontal="right"/>
      <protection locked="0"/>
    </xf>
    <xf numFmtId="1" fontId="7" fillId="15" borderId="95" xfId="126" applyNumberFormat="1" applyFont="1" applyFill="1" applyBorder="1" applyAlignment="1" applyProtection="1">
      <alignment horizontal="right"/>
      <protection locked="0"/>
    </xf>
    <xf numFmtId="1" fontId="7" fillId="15" borderId="70" xfId="126" applyNumberFormat="1" applyFont="1" applyFill="1" applyBorder="1" applyAlignment="1" applyProtection="1">
      <alignment horizontal="right"/>
      <protection locked="0"/>
    </xf>
    <xf numFmtId="1" fontId="7" fillId="0" borderId="10" xfId="126" applyNumberFormat="1" applyFont="1" applyBorder="1" applyAlignment="1">
      <alignment horizontal="right"/>
    </xf>
    <xf numFmtId="1" fontId="7" fillId="0" borderId="51" xfId="126" applyNumberFormat="1" applyFont="1" applyBorder="1" applyAlignment="1">
      <alignment horizontal="right"/>
    </xf>
    <xf numFmtId="1" fontId="7" fillId="0" borderId="43" xfId="14" applyNumberFormat="1" applyFont="1" applyFill="1" applyBorder="1" applyAlignment="1" applyProtection="1">
      <alignment horizontal="right"/>
    </xf>
    <xf numFmtId="1" fontId="7" fillId="0" borderId="80" xfId="126" applyNumberFormat="1" applyFont="1" applyBorder="1" applyAlignment="1">
      <alignment horizontal="right"/>
    </xf>
    <xf numFmtId="1" fontId="7" fillId="0" borderId="65" xfId="14" applyNumberFormat="1" applyFont="1" applyFill="1" applyBorder="1" applyAlignment="1" applyProtection="1">
      <alignment horizontal="right"/>
    </xf>
    <xf numFmtId="1" fontId="7" fillId="15" borderId="72" xfId="14" applyNumberFormat="1" applyFont="1" applyFill="1" applyBorder="1" applyAlignment="1">
      <alignment horizontal="right"/>
      <protection locked="0"/>
    </xf>
    <xf numFmtId="1" fontId="7" fillId="15" borderId="71" xfId="14" applyNumberFormat="1" applyFont="1" applyFill="1" applyBorder="1" applyAlignment="1">
      <alignment horizontal="right"/>
      <protection locked="0"/>
    </xf>
    <xf numFmtId="1" fontId="7" fillId="15" borderId="81" xfId="14" applyNumberFormat="1" applyFont="1" applyFill="1" applyBorder="1" applyAlignment="1">
      <alignment horizontal="right"/>
      <protection locked="0"/>
    </xf>
    <xf numFmtId="1" fontId="7" fillId="15" borderId="95" xfId="14" applyNumberFormat="1" applyFont="1" applyFill="1" applyBorder="1" applyAlignment="1">
      <alignment horizontal="right"/>
      <protection locked="0"/>
    </xf>
    <xf numFmtId="1" fontId="7" fillId="15" borderId="96" xfId="14" applyNumberFormat="1" applyFont="1" applyFill="1" applyBorder="1" applyAlignment="1">
      <alignment horizontal="right"/>
      <protection locked="0"/>
    </xf>
    <xf numFmtId="1" fontId="7" fillId="15" borderId="70" xfId="14" applyNumberFormat="1" applyFont="1" applyFill="1" applyBorder="1" applyAlignment="1">
      <alignment horizontal="right"/>
      <protection locked="0"/>
    </xf>
    <xf numFmtId="1" fontId="7" fillId="0" borderId="52" xfId="14" applyNumberFormat="1" applyFont="1" applyFill="1" applyBorder="1" applyAlignment="1" applyProtection="1">
      <alignment horizontal="right"/>
    </xf>
    <xf numFmtId="1" fontId="7" fillId="0" borderId="10" xfId="14" applyNumberFormat="1" applyFont="1" applyFill="1" applyBorder="1" applyAlignment="1" applyProtection="1">
      <alignment horizontal="right"/>
    </xf>
    <xf numFmtId="1" fontId="7" fillId="0" borderId="51" xfId="14" applyNumberFormat="1" applyFont="1" applyFill="1" applyBorder="1" applyAlignment="1" applyProtection="1">
      <alignment horizontal="right"/>
    </xf>
    <xf numFmtId="1" fontId="7" fillId="0" borderId="50" xfId="14" applyNumberFormat="1" applyFont="1" applyFill="1" applyBorder="1" applyAlignment="1" applyProtection="1">
      <alignment horizontal="right"/>
    </xf>
    <xf numFmtId="1" fontId="7" fillId="0" borderId="13" xfId="126" applyNumberFormat="1" applyFont="1" applyBorder="1" applyAlignment="1">
      <alignment horizontal="right"/>
    </xf>
    <xf numFmtId="1" fontId="7" fillId="15" borderId="41" xfId="14" applyNumberFormat="1" applyFont="1" applyFill="1" applyBorder="1" applyAlignment="1">
      <alignment horizontal="right"/>
      <protection locked="0"/>
    </xf>
    <xf numFmtId="1" fontId="7" fillId="15" borderId="56" xfId="14" applyNumberFormat="1" applyFont="1" applyFill="1" applyBorder="1" applyAlignment="1">
      <alignment horizontal="right"/>
      <protection locked="0"/>
    </xf>
    <xf numFmtId="1" fontId="7" fillId="15" borderId="91" xfId="14" applyNumberFormat="1" applyFont="1" applyFill="1" applyBorder="1" applyAlignment="1">
      <alignment horizontal="right"/>
      <protection locked="0"/>
    </xf>
    <xf numFmtId="1" fontId="7" fillId="15" borderId="69" xfId="14" applyNumberFormat="1" applyFont="1" applyFill="1" applyBorder="1" applyAlignment="1">
      <alignment horizontal="right"/>
      <protection locked="0"/>
    </xf>
    <xf numFmtId="1" fontId="7" fillId="15" borderId="57" xfId="14" applyNumberFormat="1" applyFont="1" applyFill="1" applyBorder="1" applyAlignment="1">
      <alignment horizontal="right"/>
      <protection locked="0"/>
    </xf>
    <xf numFmtId="1" fontId="7" fillId="0" borderId="18" xfId="126" applyNumberFormat="1" applyFont="1" applyBorder="1" applyAlignment="1">
      <alignment horizontal="right"/>
    </xf>
    <xf numFmtId="1" fontId="7" fillId="15" borderId="42" xfId="14" applyNumberFormat="1" applyFont="1" applyFill="1" applyBorder="1" applyAlignment="1">
      <alignment horizontal="right"/>
      <protection locked="0"/>
    </xf>
    <xf numFmtId="1" fontId="7" fillId="15" borderId="43" xfId="14" applyNumberFormat="1" applyFont="1" applyFill="1" applyBorder="1" applyAlignment="1">
      <alignment horizontal="right"/>
      <protection locked="0"/>
    </xf>
    <xf numFmtId="1" fontId="7" fillId="15" borderId="73" xfId="14" applyNumberFormat="1" applyFont="1" applyFill="1" applyBorder="1" applyAlignment="1">
      <alignment horizontal="right"/>
      <protection locked="0"/>
    </xf>
    <xf numFmtId="1" fontId="7" fillId="15" borderId="64" xfId="14" applyNumberFormat="1" applyFont="1" applyFill="1" applyBorder="1" applyAlignment="1">
      <alignment horizontal="right"/>
      <protection locked="0"/>
    </xf>
    <xf numFmtId="1" fontId="7" fillId="15" borderId="21" xfId="14" applyNumberFormat="1" applyFont="1" applyFill="1" applyBorder="1" applyAlignment="1">
      <alignment horizontal="right"/>
      <protection locked="0"/>
    </xf>
    <xf numFmtId="1" fontId="7" fillId="0" borderId="56" xfId="14" applyNumberFormat="1" applyFont="1" applyFill="1" applyBorder="1" applyAlignment="1" applyProtection="1">
      <alignment horizontal="right"/>
    </xf>
    <xf numFmtId="1" fontId="7" fillId="15" borderId="11" xfId="14" applyNumberFormat="1" applyFont="1" applyFill="1" applyBorder="1" applyAlignment="1">
      <alignment horizontal="right"/>
      <protection locked="0"/>
    </xf>
    <xf numFmtId="1" fontId="7" fillId="15" borderId="20" xfId="14" applyNumberFormat="1" applyFont="1" applyFill="1" applyBorder="1" applyAlignment="1">
      <alignment horizontal="right"/>
      <protection locked="0"/>
    </xf>
    <xf numFmtId="1" fontId="7" fillId="0" borderId="60" xfId="14" applyNumberFormat="1" applyFont="1" applyFill="1" applyBorder="1" applyAlignment="1" applyProtection="1">
      <alignment horizontal="right"/>
    </xf>
    <xf numFmtId="1" fontId="7" fillId="0" borderId="20" xfId="15" applyNumberFormat="1" applyFont="1" applyFill="1" applyBorder="1" applyAlignment="1" applyProtection="1">
      <alignment horizontal="right"/>
    </xf>
    <xf numFmtId="1" fontId="7" fillId="0" borderId="43" xfId="15" applyNumberFormat="1" applyFont="1" applyFill="1" applyBorder="1" applyAlignment="1" applyProtection="1">
      <alignment horizontal="right"/>
    </xf>
    <xf numFmtId="1" fontId="7" fillId="0" borderId="55" xfId="15" applyNumberFormat="1" applyFont="1" applyFill="1" applyBorder="1" applyAlignment="1" applyProtection="1">
      <alignment horizontal="right"/>
    </xf>
    <xf numFmtId="1" fontId="7" fillId="0" borderId="53" xfId="15" applyNumberFormat="1" applyFont="1" applyFill="1" applyBorder="1" applyAlignment="1" applyProtection="1">
      <alignment horizontal="right"/>
    </xf>
    <xf numFmtId="1" fontId="7" fillId="0" borderId="13" xfId="126" applyNumberFormat="1" applyFont="1" applyBorder="1" applyAlignment="1" applyProtection="1">
      <alignment horizontal="right"/>
      <protection hidden="1"/>
    </xf>
    <xf numFmtId="1" fontId="7" fillId="15" borderId="61" xfId="14" applyNumberFormat="1" applyFont="1" applyFill="1" applyBorder="1" applyAlignment="1">
      <alignment horizontal="right"/>
      <protection locked="0"/>
    </xf>
    <xf numFmtId="1" fontId="7" fillId="15" borderId="62" xfId="14" applyNumberFormat="1" applyFont="1" applyFill="1" applyBorder="1" applyAlignment="1">
      <alignment horizontal="right"/>
      <protection locked="0"/>
    </xf>
    <xf numFmtId="1" fontId="7" fillId="0" borderId="86" xfId="126" applyNumberFormat="1" applyFont="1" applyBorder="1" applyAlignment="1" applyProtection="1">
      <alignment horizontal="right"/>
      <protection hidden="1"/>
    </xf>
    <xf numFmtId="1" fontId="7" fillId="20" borderId="20" xfId="125" applyNumberFormat="1" applyFont="1" applyFill="1" applyBorder="1" applyAlignment="1">
      <alignment horizontal="right"/>
    </xf>
    <xf numFmtId="1" fontId="7" fillId="20" borderId="21" xfId="125" applyNumberFormat="1" applyFont="1" applyFill="1" applyBorder="1" applyAlignment="1">
      <alignment horizontal="right"/>
    </xf>
    <xf numFmtId="1" fontId="7" fillId="0" borderId="55" xfId="125" applyNumberFormat="1" applyFont="1" applyBorder="1" applyAlignment="1">
      <alignment horizontal="right"/>
    </xf>
    <xf numFmtId="1" fontId="7" fillId="20" borderId="61" xfId="125" applyNumberFormat="1" applyFont="1" applyFill="1" applyBorder="1" applyAlignment="1">
      <alignment horizontal="right"/>
    </xf>
    <xf numFmtId="1" fontId="7" fillId="20" borderId="62" xfId="125" applyNumberFormat="1" applyFont="1" applyFill="1" applyBorder="1" applyAlignment="1">
      <alignment horizontal="right"/>
    </xf>
    <xf numFmtId="0" fontId="29" fillId="0" borderId="6" xfId="0" applyFont="1" applyBorder="1" applyAlignment="1">
      <alignment horizontal="right" wrapText="1"/>
    </xf>
    <xf numFmtId="0" fontId="29" fillId="0" borderId="19" xfId="0" applyFont="1" applyBorder="1" applyAlignment="1">
      <alignment horizontal="right" wrapText="1"/>
    </xf>
    <xf numFmtId="0" fontId="29" fillId="0" borderId="15" xfId="0" applyFont="1" applyBorder="1" applyAlignment="1">
      <alignment horizontal="right" wrapText="1"/>
    </xf>
    <xf numFmtId="1" fontId="7" fillId="0" borderId="15" xfId="0" applyNumberFormat="1" applyFont="1" applyBorder="1" applyAlignment="1">
      <alignment horizontal="right" wrapText="1"/>
    </xf>
    <xf numFmtId="1" fontId="7" fillId="0" borderId="19" xfId="0" applyNumberFormat="1" applyFont="1" applyBorder="1" applyAlignment="1">
      <alignment horizontal="right" wrapText="1"/>
    </xf>
    <xf numFmtId="0" fontId="29" fillId="23" borderId="55" xfId="0" applyFont="1" applyFill="1" applyBorder="1" applyAlignment="1" applyProtection="1">
      <alignment horizontal="right"/>
      <protection locked="0"/>
    </xf>
    <xf numFmtId="0" fontId="29" fillId="23" borderId="89" xfId="0" applyFont="1" applyFill="1" applyBorder="1" applyAlignment="1" applyProtection="1">
      <alignment horizontal="right"/>
      <protection locked="0"/>
    </xf>
    <xf numFmtId="0" fontId="29" fillId="23" borderId="14" xfId="0" applyFont="1" applyFill="1" applyBorder="1" applyAlignment="1" applyProtection="1">
      <alignment horizontal="right"/>
      <protection locked="0"/>
    </xf>
    <xf numFmtId="0" fontId="29" fillId="23" borderId="20" xfId="0" applyFont="1" applyFill="1" applyBorder="1" applyAlignment="1" applyProtection="1">
      <alignment horizontal="right"/>
      <protection locked="0"/>
    </xf>
    <xf numFmtId="0" fontId="29" fillId="23" borderId="8" xfId="0" applyFont="1" applyFill="1" applyBorder="1" applyAlignment="1" applyProtection="1">
      <alignment horizontal="right"/>
      <protection locked="0"/>
    </xf>
    <xf numFmtId="0" fontId="29" fillId="23" borderId="22" xfId="0" applyFont="1" applyFill="1" applyBorder="1" applyAlignment="1" applyProtection="1">
      <alignment horizontal="right"/>
      <protection locked="0"/>
    </xf>
    <xf numFmtId="0" fontId="29" fillId="23" borderId="11" xfId="0" applyFont="1" applyFill="1" applyBorder="1" applyAlignment="1" applyProtection="1">
      <alignment horizontal="right"/>
      <protection locked="0"/>
    </xf>
    <xf numFmtId="0" fontId="29" fillId="23" borderId="12" xfId="0" applyFont="1" applyFill="1" applyBorder="1" applyAlignment="1" applyProtection="1">
      <alignment horizontal="right"/>
      <protection locked="0"/>
    </xf>
    <xf numFmtId="0" fontId="29" fillId="23" borderId="56" xfId="0" applyFont="1" applyFill="1" applyBorder="1" applyAlignment="1" applyProtection="1">
      <alignment horizontal="right"/>
      <protection locked="0"/>
    </xf>
    <xf numFmtId="0" fontId="29" fillId="23" borderId="43" xfId="0" applyFont="1" applyFill="1" applyBorder="1" applyAlignment="1" applyProtection="1">
      <alignment horizontal="right"/>
      <protection locked="0"/>
    </xf>
    <xf numFmtId="0" fontId="29" fillId="23" borderId="53" xfId="0" applyFont="1" applyFill="1" applyBorder="1" applyAlignment="1" applyProtection="1">
      <alignment horizontal="right"/>
      <protection locked="0"/>
    </xf>
    <xf numFmtId="1" fontId="7" fillId="20" borderId="57" xfId="125" applyNumberFormat="1" applyFont="1" applyFill="1" applyBorder="1" applyAlignment="1">
      <alignment horizontal="right"/>
    </xf>
    <xf numFmtId="1" fontId="7" fillId="0" borderId="53" xfId="125" applyNumberFormat="1" applyFont="1" applyBorder="1" applyAlignment="1">
      <alignment horizontal="right"/>
    </xf>
    <xf numFmtId="1" fontId="7" fillId="15" borderId="55" xfId="72" applyNumberFormat="1" applyFont="1" applyFill="1" applyBorder="1" applyAlignment="1" applyProtection="1">
      <alignment horizontal="right"/>
      <protection locked="0"/>
    </xf>
    <xf numFmtId="1" fontId="7" fillId="27" borderId="0" xfId="0" applyNumberFormat="1" applyFont="1" applyFill="1"/>
    <xf numFmtId="1" fontId="7" fillId="17" borderId="45" xfId="122" applyNumberFormat="1" applyFont="1" applyFill="1" applyBorder="1" applyAlignment="1">
      <alignment horizontal="left" wrapText="1"/>
    </xf>
    <xf numFmtId="1" fontId="7" fillId="17" borderId="56" xfId="108" applyNumberFormat="1" applyFont="1" applyFill="1" applyBorder="1" applyAlignment="1">
      <alignment horizontal="right" wrapText="1"/>
    </xf>
    <xf numFmtId="1" fontId="7" fillId="17" borderId="63" xfId="122" applyNumberFormat="1" applyFont="1" applyFill="1" applyBorder="1" applyAlignment="1">
      <alignment horizontal="left"/>
    </xf>
    <xf numFmtId="1" fontId="7" fillId="17" borderId="53" xfId="108" applyNumberFormat="1" applyFont="1" applyFill="1" applyBorder="1" applyAlignment="1">
      <alignment horizontal="right" wrapText="1"/>
    </xf>
    <xf numFmtId="1" fontId="7" fillId="17" borderId="47" xfId="122" applyNumberFormat="1" applyFont="1" applyFill="1" applyBorder="1" applyAlignment="1">
      <alignment horizontal="left"/>
    </xf>
    <xf numFmtId="1" fontId="7" fillId="17" borderId="62" xfId="108" applyNumberFormat="1" applyFont="1" applyFill="1" applyBorder="1" applyAlignment="1">
      <alignment horizontal="right" wrapText="1"/>
    </xf>
    <xf numFmtId="0" fontId="32" fillId="0" borderId="0" xfId="0" applyFont="1"/>
    <xf numFmtId="1" fontId="18" fillId="0" borderId="0" xfId="125" applyNumberFormat="1" applyFont="1" applyAlignment="1" applyProtection="1">
      <alignment vertical="center" wrapText="1"/>
      <protection hidden="1"/>
    </xf>
    <xf numFmtId="1" fontId="7" fillId="0" borderId="48" xfId="125" applyNumberFormat="1" applyFont="1" applyBorder="1" applyAlignment="1" applyProtection="1">
      <alignment horizontal="left" vertical="center" wrapText="1"/>
      <protection hidden="1"/>
    </xf>
    <xf numFmtId="1" fontId="7" fillId="0" borderId="19" xfId="125" applyNumberFormat="1" applyFont="1" applyBorder="1" applyAlignment="1" applyProtection="1">
      <alignment horizontal="left" vertical="center" wrapText="1"/>
      <protection hidden="1"/>
    </xf>
    <xf numFmtId="1" fontId="7" fillId="0" borderId="40" xfId="125" applyNumberFormat="1" applyFont="1" applyBorder="1" applyAlignment="1" applyProtection="1">
      <alignment horizontal="left" vertical="center" wrapText="1"/>
      <protection hidden="1"/>
    </xf>
    <xf numFmtId="1" fontId="7" fillId="0" borderId="0" xfId="0" applyNumberFormat="1" applyFont="1" applyAlignment="1">
      <alignment horizontal="left"/>
    </xf>
    <xf numFmtId="1" fontId="7" fillId="20" borderId="41" xfId="72" applyNumberFormat="1" applyFont="1" applyFill="1" applyBorder="1" applyAlignment="1" applyProtection="1">
      <alignment horizontal="right"/>
    </xf>
    <xf numFmtId="1" fontId="7" fillId="20" borderId="56" xfId="72" applyNumberFormat="1" applyFont="1" applyFill="1" applyBorder="1" applyAlignment="1" applyProtection="1">
      <alignment horizontal="right"/>
    </xf>
    <xf numFmtId="1" fontId="7" fillId="20" borderId="52" xfId="72" applyNumberFormat="1" applyFont="1" applyFill="1" applyBorder="1" applyAlignment="1" applyProtection="1">
      <alignment horizontal="right"/>
    </xf>
    <xf numFmtId="1" fontId="7" fillId="20" borderId="53" xfId="72" applyNumberFormat="1" applyFont="1" applyFill="1" applyBorder="1" applyAlignment="1" applyProtection="1">
      <alignment horizontal="right"/>
    </xf>
    <xf numFmtId="1" fontId="7" fillId="20" borderId="57" xfId="72" applyNumberFormat="1" applyFont="1" applyFill="1" applyBorder="1" applyAlignment="1" applyProtection="1">
      <alignment horizontal="right"/>
    </xf>
    <xf numFmtId="1" fontId="7" fillId="20" borderId="106" xfId="72" applyNumberFormat="1" applyFont="1" applyFill="1" applyBorder="1" applyAlignment="1" applyProtection="1">
      <alignment horizontal="right"/>
    </xf>
    <xf numFmtId="1" fontId="7" fillId="15" borderId="69" xfId="72" applyNumberFormat="1" applyFont="1" applyFill="1" applyBorder="1" applyAlignment="1" applyProtection="1">
      <alignment horizontal="right"/>
      <protection locked="0"/>
    </xf>
    <xf numFmtId="1" fontId="7" fillId="15" borderId="12" xfId="72" applyNumberFormat="1" applyFont="1" applyFill="1" applyBorder="1" applyAlignment="1" applyProtection="1">
      <alignment horizontal="right"/>
      <protection locked="0"/>
    </xf>
    <xf numFmtId="1" fontId="7" fillId="15" borderId="54" xfId="72" applyNumberFormat="1" applyFont="1" applyFill="1" applyBorder="1" applyAlignment="1" applyProtection="1">
      <alignment horizontal="right"/>
      <protection locked="0"/>
    </xf>
    <xf numFmtId="1" fontId="7" fillId="15" borderId="89" xfId="72" applyNumberFormat="1" applyFont="1" applyFill="1" applyBorder="1" applyAlignment="1" applyProtection="1">
      <alignment horizontal="right"/>
      <protection locked="0"/>
    </xf>
    <xf numFmtId="1" fontId="7" fillId="15" borderId="98" xfId="72" applyNumberFormat="1" applyFont="1" applyFill="1" applyBorder="1" applyAlignment="1" applyProtection="1">
      <alignment horizontal="right"/>
      <protection locked="0"/>
    </xf>
    <xf numFmtId="1" fontId="7" fillId="15" borderId="17" xfId="72" applyNumberFormat="1" applyFont="1" applyFill="1" applyBorder="1" applyAlignment="1" applyProtection="1">
      <alignment horizontal="right"/>
      <protection locked="0"/>
    </xf>
    <xf numFmtId="1" fontId="7" fillId="15" borderId="56" xfId="14" quotePrefix="1" applyNumberFormat="1" applyFont="1" applyFill="1" applyBorder="1" applyAlignment="1">
      <alignment horizontal="right"/>
      <protection locked="0"/>
    </xf>
    <xf numFmtId="1" fontId="7" fillId="15" borderId="43" xfId="14" quotePrefix="1" applyNumberFormat="1" applyFont="1" applyFill="1" applyBorder="1" applyAlignment="1">
      <alignment horizontal="right"/>
      <protection locked="0"/>
    </xf>
    <xf numFmtId="1" fontId="7" fillId="15" borderId="71" xfId="14" quotePrefix="1" applyNumberFormat="1" applyFont="1" applyFill="1" applyBorder="1" applyAlignment="1">
      <alignment horizontal="right"/>
      <protection locked="0"/>
    </xf>
    <xf numFmtId="1" fontId="7" fillId="17" borderId="19" xfId="125" applyNumberFormat="1" applyFont="1" applyFill="1" applyBorder="1" applyAlignment="1" applyProtection="1">
      <alignment horizontal="left" vertical="center" wrapText="1"/>
      <protection hidden="1"/>
    </xf>
    <xf numFmtId="1" fontId="7" fillId="17" borderId="15" xfId="122" applyNumberFormat="1" applyFont="1" applyFill="1" applyBorder="1" applyAlignment="1">
      <alignment horizontal="left" vertical="center" wrapText="1"/>
    </xf>
    <xf numFmtId="1" fontId="7" fillId="17" borderId="40" xfId="122" applyNumberFormat="1" applyFont="1" applyFill="1" applyBorder="1" applyAlignment="1">
      <alignment horizontal="left" vertical="center" wrapText="1"/>
    </xf>
    <xf numFmtId="1" fontId="7" fillId="17" borderId="40" xfId="125" applyNumberFormat="1" applyFont="1" applyFill="1" applyBorder="1" applyAlignment="1" applyProtection="1">
      <alignment vertical="center" wrapText="1"/>
      <protection hidden="1"/>
    </xf>
    <xf numFmtId="1" fontId="7" fillId="0" borderId="6" xfId="0" applyNumberFormat="1" applyFont="1" applyBorder="1" applyAlignment="1">
      <alignment vertical="center"/>
    </xf>
    <xf numFmtId="1" fontId="7" fillId="0" borderId="13" xfId="125" applyNumberFormat="1" applyFont="1" applyBorder="1" applyAlignment="1" applyProtection="1">
      <alignment horizontal="left" vertical="center" wrapText="1"/>
      <protection hidden="1"/>
    </xf>
    <xf numFmtId="1" fontId="7" fillId="0" borderId="14" xfId="0" applyNumberFormat="1" applyFont="1" applyBorder="1" applyAlignment="1">
      <alignment vertical="center"/>
    </xf>
    <xf numFmtId="1" fontId="7" fillId="15" borderId="50" xfId="14" applyNumberFormat="1" applyFont="1" applyFill="1" applyBorder="1" applyAlignment="1">
      <alignment horizontal="right"/>
      <protection locked="0"/>
    </xf>
    <xf numFmtId="1" fontId="7" fillId="15" borderId="16" xfId="14" applyNumberFormat="1" applyFont="1" applyFill="1" applyBorder="1" applyAlignment="1">
      <alignment horizontal="right"/>
      <protection locked="0"/>
    </xf>
    <xf numFmtId="1" fontId="7" fillId="15" borderId="101" xfId="14" applyNumberFormat="1" applyFont="1" applyFill="1" applyBorder="1" applyAlignment="1">
      <alignment horizontal="right"/>
      <protection locked="0"/>
    </xf>
    <xf numFmtId="1" fontId="7" fillId="0" borderId="49" xfId="126" applyNumberFormat="1" applyFont="1" applyBorder="1" applyAlignment="1" applyProtection="1">
      <alignment vertical="center" wrapText="1"/>
      <protection hidden="1"/>
    </xf>
    <xf numFmtId="1" fontId="7" fillId="0" borderId="45" xfId="126" applyNumberFormat="1" applyFont="1" applyBorder="1" applyAlignment="1" applyProtection="1">
      <alignment vertical="center" wrapText="1"/>
      <protection hidden="1"/>
    </xf>
    <xf numFmtId="1" fontId="7" fillId="0" borderId="46" xfId="126" applyNumberFormat="1" applyFont="1" applyBorder="1" applyAlignment="1" applyProtection="1">
      <alignment vertical="center" wrapText="1"/>
      <protection hidden="1"/>
    </xf>
    <xf numFmtId="0" fontId="32" fillId="0" borderId="0" xfId="0" applyFont="1" applyAlignment="1">
      <alignment vertical="center"/>
    </xf>
    <xf numFmtId="1" fontId="7" fillId="0" borderId="140" xfId="0" applyNumberFormat="1" applyFont="1" applyBorder="1" applyAlignment="1">
      <alignment horizontal="center" vertical="center"/>
    </xf>
    <xf numFmtId="0" fontId="4" fillId="14" borderId="140" xfId="123" applyFont="1" applyFill="1" applyBorder="1" applyAlignment="1" applyProtection="1">
      <alignment horizontal="center"/>
      <protection locked="0"/>
    </xf>
    <xf numFmtId="0" fontId="4" fillId="14" borderId="141" xfId="123" applyFont="1" applyFill="1" applyBorder="1" applyAlignment="1" applyProtection="1">
      <alignment horizontal="center"/>
      <protection locked="0"/>
    </xf>
    <xf numFmtId="0" fontId="4" fillId="0" borderId="0" xfId="123" applyFont="1" applyBorder="1" applyAlignment="1" applyProtection="1">
      <alignment horizontal="center"/>
      <protection locked="0"/>
    </xf>
    <xf numFmtId="1" fontId="7" fillId="0" borderId="0" xfId="125" applyNumberFormat="1" applyFont="1" applyAlignment="1" applyProtection="1">
      <alignment horizontal="right"/>
      <protection hidden="1"/>
    </xf>
    <xf numFmtId="1" fontId="7" fillId="0" borderId="0" xfId="125" applyNumberFormat="1" applyFont="1" applyAlignment="1">
      <alignment horizontal="right"/>
    </xf>
    <xf numFmtId="1" fontId="7" fillId="20" borderId="71" xfId="14" applyNumberFormat="1" applyFont="1" applyFill="1" applyBorder="1" applyAlignment="1" applyProtection="1">
      <alignment horizontal="right"/>
    </xf>
    <xf numFmtId="1" fontId="7" fillId="20" borderId="72" xfId="14" applyNumberFormat="1" applyFont="1" applyFill="1" applyBorder="1" applyAlignment="1" applyProtection="1">
      <alignment horizontal="right"/>
    </xf>
    <xf numFmtId="1" fontId="7" fillId="20" borderId="43" xfId="14" applyNumberFormat="1" applyFont="1" applyFill="1" applyBorder="1" applyAlignment="1" applyProtection="1">
      <alignment horizontal="right"/>
    </xf>
    <xf numFmtId="1" fontId="7" fillId="20" borderId="42" xfId="14" applyNumberFormat="1" applyFont="1" applyFill="1" applyBorder="1" applyAlignment="1" applyProtection="1">
      <alignment horizontal="right"/>
    </xf>
    <xf numFmtId="1" fontId="7" fillId="0" borderId="141" xfId="108" applyNumberFormat="1" applyFont="1" applyBorder="1" applyAlignment="1">
      <alignment horizontal="center" vertical="center" wrapText="1"/>
    </xf>
    <xf numFmtId="1" fontId="7" fillId="0" borderId="141" xfId="125" applyNumberFormat="1" applyFont="1" applyBorder="1" applyAlignment="1" applyProtection="1">
      <alignment horizontal="center" vertical="center"/>
      <protection hidden="1"/>
    </xf>
    <xf numFmtId="1" fontId="7" fillId="0" borderId="84" xfId="125" applyNumberFormat="1" applyFont="1" applyBorder="1" applyAlignment="1" applyProtection="1">
      <alignment horizontal="center" vertical="center"/>
      <protection hidden="1"/>
    </xf>
    <xf numFmtId="1" fontId="7" fillId="0" borderId="13" xfId="125" applyNumberFormat="1" applyFont="1" applyBorder="1" applyAlignment="1">
      <alignment horizontal="right"/>
    </xf>
    <xf numFmtId="1" fontId="7" fillId="0" borderId="14" xfId="125" applyNumberFormat="1" applyFont="1" applyBorder="1" applyAlignment="1">
      <alignment horizontal="right"/>
    </xf>
    <xf numFmtId="1" fontId="7" fillId="0" borderId="4" xfId="125" applyNumberFormat="1" applyFont="1" applyBorder="1" applyAlignment="1">
      <alignment horizontal="right"/>
    </xf>
    <xf numFmtId="1" fontId="7" fillId="0" borderId="66" xfId="125" applyNumberFormat="1" applyFont="1" applyBorder="1" applyAlignment="1">
      <alignment horizontal="right"/>
    </xf>
    <xf numFmtId="1" fontId="7" fillId="20" borderId="11" xfId="125" applyNumberFormat="1" applyFont="1" applyFill="1" applyBorder="1" applyAlignment="1">
      <alignment horizontal="right"/>
    </xf>
    <xf numFmtId="1" fontId="7" fillId="20" borderId="70" xfId="125" applyNumberFormat="1" applyFont="1" applyFill="1" applyBorder="1" applyAlignment="1">
      <alignment horizontal="right"/>
    </xf>
    <xf numFmtId="1" fontId="7" fillId="15" borderId="11" xfId="72" applyNumberFormat="1" applyFont="1" applyFill="1" applyBorder="1" applyAlignment="1" applyProtection="1">
      <alignment horizontal="right"/>
      <protection locked="0"/>
    </xf>
    <xf numFmtId="1" fontId="11" fillId="0" borderId="0" xfId="129" applyNumberFormat="1" applyFont="1" applyAlignment="1" applyProtection="1">
      <protection hidden="1"/>
    </xf>
    <xf numFmtId="1" fontId="7" fillId="0" borderId="0" xfId="108" applyNumberFormat="1" applyFont="1" applyAlignment="1">
      <alignment horizontal="center" vertical="center" wrapText="1"/>
    </xf>
    <xf numFmtId="1" fontId="7" fillId="0" borderId="0" xfId="108" applyNumberFormat="1" applyFont="1" applyAlignment="1">
      <alignment vertical="center" wrapText="1"/>
    </xf>
    <xf numFmtId="1" fontId="11" fillId="0" borderId="0" xfId="129" applyNumberFormat="1" applyFont="1" applyBorder="1" applyAlignment="1" applyProtection="1">
      <alignment horizontal="center" vertical="center"/>
      <protection hidden="1"/>
    </xf>
    <xf numFmtId="1" fontId="7" fillId="0" borderId="0" xfId="129" applyNumberFormat="1" applyFont="1" applyAlignment="1" applyProtection="1">
      <alignment horizontal="left" vertical="center"/>
      <protection hidden="1"/>
    </xf>
    <xf numFmtId="1" fontId="11" fillId="0" borderId="0" xfId="129" applyNumberFormat="1" applyFont="1" applyAlignment="1" applyProtection="1">
      <alignment horizontal="center" vertical="center"/>
    </xf>
    <xf numFmtId="1" fontId="11" fillId="0" borderId="0" xfId="129" applyNumberFormat="1" applyFont="1" applyAlignment="1" applyProtection="1">
      <alignment horizontal="center" vertical="center"/>
      <protection hidden="1"/>
    </xf>
    <xf numFmtId="1" fontId="7" fillId="0" borderId="0" xfId="129" applyNumberFormat="1" applyFont="1" applyAlignment="1" applyProtection="1">
      <alignment vertical="center"/>
      <protection hidden="1"/>
    </xf>
    <xf numFmtId="1" fontId="7" fillId="15" borderId="61" xfId="126" applyNumberFormat="1" applyFont="1" applyFill="1" applyBorder="1" applyAlignment="1" applyProtection="1">
      <alignment horizontal="right"/>
      <protection locked="0"/>
    </xf>
    <xf numFmtId="0" fontId="8" fillId="0" borderId="0" xfId="0" applyFont="1" applyAlignment="1">
      <alignment horizontal="left" vertical="center"/>
    </xf>
    <xf numFmtId="0" fontId="8" fillId="0" borderId="0" xfId="14" applyFont="1" applyFill="1" applyBorder="1" applyAlignment="1">
      <alignment horizontal="center"/>
      <protection locked="0"/>
    </xf>
    <xf numFmtId="0" fontId="8" fillId="0" borderId="6" xfId="0" applyFont="1" applyBorder="1"/>
    <xf numFmtId="1" fontId="7" fillId="0" borderId="141" xfId="0" applyNumberFormat="1" applyFont="1" applyBorder="1" applyAlignment="1">
      <alignment horizontal="center" vertical="center"/>
    </xf>
    <xf numFmtId="1" fontId="7" fillId="0" borderId="158" xfId="125" applyNumberFormat="1" applyFont="1" applyBorder="1" applyAlignment="1">
      <alignment horizontal="right"/>
    </xf>
    <xf numFmtId="1" fontId="7" fillId="0" borderId="141" xfId="125" applyNumberFormat="1" applyFont="1" applyBorder="1" applyAlignment="1">
      <alignment horizontal="right"/>
    </xf>
    <xf numFmtId="1" fontId="7" fillId="0" borderId="51" xfId="125" applyNumberFormat="1" applyFont="1" applyBorder="1" applyAlignment="1">
      <alignment horizontal="right"/>
    </xf>
    <xf numFmtId="1" fontId="7" fillId="0" borderId="51" xfId="125" applyNumberFormat="1" applyFont="1" applyBorder="1" applyAlignment="1" applyProtection="1">
      <alignment horizontal="center" vertical="center"/>
      <protection hidden="1"/>
    </xf>
    <xf numFmtId="0" fontId="29" fillId="0" borderId="140" xfId="0" applyFont="1" applyBorder="1" applyAlignment="1">
      <alignment horizontal="center" vertical="center"/>
    </xf>
    <xf numFmtId="1" fontId="7" fillId="30" borderId="0" xfId="0" applyNumberFormat="1" applyFont="1" applyFill="1"/>
    <xf numFmtId="1" fontId="7" fillId="0" borderId="0" xfId="125" quotePrefix="1" applyNumberFormat="1" applyFont="1" applyAlignment="1" applyProtection="1">
      <alignment horizontal="center" vertical="center"/>
      <protection hidden="1"/>
    </xf>
    <xf numFmtId="1" fontId="7" fillId="0" borderId="0" xfId="125" quotePrefix="1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141" xfId="0" applyNumberFormat="1" applyFont="1" applyBorder="1" applyAlignment="1">
      <alignment horizontal="center" vertical="center" wrapText="1"/>
    </xf>
    <xf numFmtId="1" fontId="7" fillId="20" borderId="0" xfId="0" applyNumberFormat="1" applyFont="1" applyFill="1"/>
    <xf numFmtId="1" fontId="31" fillId="0" borderId="0" xfId="0" applyNumberFormat="1" applyFont="1"/>
    <xf numFmtId="1" fontId="5" fillId="0" borderId="0" xfId="127" applyNumberFormat="1" applyFont="1" applyAlignment="1" applyProtection="1">
      <alignment vertical="center" wrapText="1"/>
      <protection hidden="1"/>
    </xf>
    <xf numFmtId="1" fontId="15" fillId="17" borderId="0" xfId="126" applyNumberFormat="1" applyFont="1" applyFill="1" applyAlignment="1" applyProtection="1">
      <alignment vertical="center" wrapText="1"/>
      <protection hidden="1"/>
    </xf>
    <xf numFmtId="0" fontId="34" fillId="0" borderId="0" xfId="0" applyFont="1"/>
    <xf numFmtId="1" fontId="33" fillId="0" borderId="0" xfId="0" applyNumberFormat="1" applyFont="1"/>
    <xf numFmtId="1" fontId="33" fillId="0" borderId="0" xfId="126" applyNumberFormat="1" applyFont="1" applyProtection="1">
      <protection hidden="1"/>
    </xf>
    <xf numFmtId="1" fontId="5" fillId="0" borderId="0" xfId="0" applyNumberFormat="1" applyFont="1" applyAlignment="1">
      <alignment vertical="center"/>
    </xf>
    <xf numFmtId="1" fontId="5" fillId="0" borderId="4" xfId="126" applyNumberFormat="1" applyFont="1" applyBorder="1" applyProtection="1">
      <protection hidden="1"/>
    </xf>
    <xf numFmtId="1" fontId="5" fillId="0" borderId="0" xfId="126" quotePrefix="1" applyNumberFormat="1" applyFont="1" applyAlignment="1" applyProtection="1">
      <alignment horizontal="left"/>
      <protection hidden="1"/>
    </xf>
    <xf numFmtId="1" fontId="33" fillId="0" borderId="0" xfId="0" applyNumberFormat="1" applyFont="1" applyAlignment="1">
      <alignment horizontal="center" vertical="center" wrapText="1"/>
    </xf>
    <xf numFmtId="1" fontId="33" fillId="0" borderId="0" xfId="14" applyNumberFormat="1" applyFont="1" applyFill="1" applyBorder="1" applyProtection="1"/>
    <xf numFmtId="1" fontId="7" fillId="0" borderId="26" xfId="125" applyNumberFormat="1" applyFont="1" applyBorder="1" applyAlignment="1" applyProtection="1">
      <alignment vertical="center"/>
      <protection hidden="1"/>
    </xf>
    <xf numFmtId="1" fontId="7" fillId="17" borderId="6" xfId="122" applyNumberFormat="1" applyFont="1" applyFill="1" applyBorder="1" applyAlignment="1">
      <alignment horizontal="left" vertical="center"/>
    </xf>
    <xf numFmtId="1" fontId="7" fillId="17" borderId="15" xfId="122" applyNumberFormat="1" applyFont="1" applyFill="1" applyBorder="1" applyAlignment="1">
      <alignment horizontal="left" vertical="center"/>
    </xf>
    <xf numFmtId="1" fontId="15" fillId="0" borderId="0" xfId="127" applyNumberFormat="1" applyFont="1" applyAlignment="1" applyProtection="1">
      <alignment vertical="center" wrapText="1"/>
      <protection hidden="1"/>
    </xf>
    <xf numFmtId="1" fontId="7" fillId="0" borderId="19" xfId="129" applyNumberFormat="1" applyFont="1" applyBorder="1" applyAlignment="1" applyProtection="1"/>
    <xf numFmtId="1" fontId="7" fillId="0" borderId="48" xfId="129" applyNumberFormat="1" applyFont="1" applyBorder="1" applyAlignment="1" applyProtection="1"/>
    <xf numFmtId="1" fontId="7" fillId="0" borderId="0" xfId="174" applyNumberFormat="1" applyFont="1" applyFill="1" applyBorder="1" applyProtection="1">
      <protection hidden="1"/>
    </xf>
    <xf numFmtId="1" fontId="7" fillId="0" borderId="0" xfId="129" applyNumberFormat="1" applyFont="1" applyBorder="1" applyAlignment="1" applyProtection="1"/>
    <xf numFmtId="1" fontId="7" fillId="15" borderId="18" xfId="175" applyNumberFormat="1" applyFont="1" applyFill="1" applyBorder="1" applyAlignment="1">
      <alignment horizontal="right"/>
      <protection locked="0"/>
    </xf>
    <xf numFmtId="1" fontId="7" fillId="0" borderId="19" xfId="129" quotePrefix="1" applyNumberFormat="1" applyFont="1" applyBorder="1" applyAlignment="1" applyProtection="1"/>
    <xf numFmtId="1" fontId="7" fillId="0" borderId="15" xfId="129" applyNumberFormat="1" applyFont="1" applyBorder="1" applyAlignment="1" applyProtection="1">
      <alignment wrapText="1"/>
    </xf>
    <xf numFmtId="1" fontId="11" fillId="0" borderId="0" xfId="129" applyNumberFormat="1" applyFont="1" applyBorder="1" applyAlignment="1" applyProtection="1">
      <alignment horizontal="left"/>
    </xf>
    <xf numFmtId="1" fontId="11" fillId="0" borderId="0" xfId="129" applyNumberFormat="1" applyFont="1" applyAlignment="1" applyProtection="1"/>
    <xf numFmtId="1" fontId="7" fillId="0" borderId="15" xfId="129" applyNumberFormat="1" applyFont="1" applyBorder="1" applyAlignment="1" applyProtection="1"/>
    <xf numFmtId="1" fontId="7" fillId="20" borderId="11" xfId="122" applyNumberFormat="1" applyFont="1" applyFill="1" applyBorder="1" applyAlignment="1">
      <alignment horizontal="right"/>
    </xf>
    <xf numFmtId="1" fontId="7" fillId="20" borderId="55" xfId="122" applyNumberFormat="1" applyFont="1" applyFill="1" applyBorder="1" applyAlignment="1">
      <alignment horizontal="right"/>
    </xf>
    <xf numFmtId="1" fontId="7" fillId="17" borderId="16" xfId="122" applyNumberFormat="1" applyFont="1" applyFill="1" applyBorder="1" applyAlignment="1">
      <alignment horizontal="right"/>
    </xf>
    <xf numFmtId="1" fontId="7" fillId="17" borderId="55" xfId="122" applyNumberFormat="1" applyFont="1" applyFill="1" applyBorder="1" applyAlignment="1">
      <alignment horizontal="right"/>
    </xf>
    <xf numFmtId="1" fontId="7" fillId="17" borderId="48" xfId="122" applyNumberFormat="1" applyFont="1" applyFill="1" applyBorder="1" applyAlignment="1">
      <alignment horizontal="right"/>
    </xf>
    <xf numFmtId="1" fontId="7" fillId="17" borderId="40" xfId="122" applyNumberFormat="1" applyFont="1" applyFill="1" applyBorder="1" applyAlignment="1">
      <alignment horizontal="right"/>
    </xf>
    <xf numFmtId="1" fontId="7" fillId="17" borderId="6" xfId="122" applyNumberFormat="1" applyFont="1" applyFill="1" applyBorder="1" applyAlignment="1">
      <alignment horizontal="right"/>
    </xf>
    <xf numFmtId="1" fontId="7" fillId="17" borderId="15" xfId="122" applyNumberFormat="1" applyFont="1" applyFill="1" applyBorder="1" applyAlignment="1">
      <alignment horizontal="right"/>
    </xf>
    <xf numFmtId="1" fontId="7" fillId="0" borderId="48" xfId="125" applyNumberFormat="1" applyFont="1" applyBorder="1" applyAlignment="1">
      <alignment horizontal="right"/>
    </xf>
    <xf numFmtId="1" fontId="7" fillId="0" borderId="40" xfId="125" applyNumberFormat="1" applyFont="1" applyBorder="1" applyAlignment="1">
      <alignment horizontal="right"/>
    </xf>
    <xf numFmtId="1" fontId="7" fillId="0" borderId="6" xfId="125" applyNumberFormat="1" applyFont="1" applyBorder="1" applyAlignment="1">
      <alignment horizontal="right"/>
    </xf>
    <xf numFmtId="1" fontId="7" fillId="0" borderId="15" xfId="125" applyNumberFormat="1" applyFont="1" applyBorder="1" applyAlignment="1">
      <alignment horizontal="right"/>
    </xf>
    <xf numFmtId="1" fontId="7" fillId="0" borderId="27" xfId="125" applyNumberFormat="1" applyFont="1" applyBorder="1" applyAlignment="1">
      <alignment horizontal="right"/>
    </xf>
    <xf numFmtId="1" fontId="7" fillId="0" borderId="19" xfId="125" applyNumberFormat="1" applyFont="1" applyBorder="1" applyAlignment="1">
      <alignment horizontal="right"/>
    </xf>
    <xf numFmtId="1" fontId="7" fillId="0" borderId="15" xfId="126" applyNumberFormat="1" applyFont="1" applyBorder="1" applyAlignment="1">
      <alignment horizontal="right"/>
    </xf>
    <xf numFmtId="1" fontId="7" fillId="0" borderId="19" xfId="126" applyNumberFormat="1" applyFont="1" applyBorder="1" applyAlignment="1">
      <alignment horizontal="right"/>
    </xf>
    <xf numFmtId="1" fontId="7" fillId="0" borderId="16" xfId="126" applyNumberFormat="1" applyFont="1" applyBorder="1" applyAlignment="1">
      <alignment horizontal="right"/>
    </xf>
    <xf numFmtId="1" fontId="7" fillId="0" borderId="11" xfId="14" applyNumberFormat="1" applyFont="1" applyFill="1" applyBorder="1" applyAlignment="1" applyProtection="1">
      <alignment horizontal="right"/>
    </xf>
    <xf numFmtId="1" fontId="7" fillId="0" borderId="20" xfId="14" applyNumberFormat="1" applyFont="1" applyFill="1" applyBorder="1" applyAlignment="1" applyProtection="1">
      <alignment horizontal="right"/>
    </xf>
    <xf numFmtId="1" fontId="7" fillId="0" borderId="23" xfId="14" applyNumberFormat="1" applyFont="1" applyFill="1" applyBorder="1" applyAlignment="1" applyProtection="1">
      <alignment horizontal="right"/>
    </xf>
    <xf numFmtId="1" fontId="7" fillId="0" borderId="48" xfId="126" applyNumberFormat="1" applyFont="1" applyBorder="1" applyAlignment="1">
      <alignment horizontal="right"/>
    </xf>
    <xf numFmtId="1" fontId="7" fillId="0" borderId="6" xfId="126" applyNumberFormat="1" applyFont="1" applyBorder="1" applyAlignment="1">
      <alignment horizontal="right"/>
    </xf>
    <xf numFmtId="1" fontId="7" fillId="0" borderId="27" xfId="126" applyNumberFormat="1" applyFont="1" applyBorder="1" applyAlignment="1">
      <alignment horizontal="right"/>
    </xf>
    <xf numFmtId="1" fontId="7" fillId="0" borderId="11" xfId="126" applyNumberFormat="1" applyFont="1" applyBorder="1" applyAlignment="1" applyProtection="1">
      <alignment horizontal="right"/>
      <protection hidden="1"/>
    </xf>
    <xf numFmtId="1" fontId="7" fillId="0" borderId="70" xfId="126" applyNumberFormat="1" applyFont="1" applyBorder="1" applyAlignment="1" applyProtection="1">
      <alignment horizontal="right"/>
      <protection hidden="1"/>
    </xf>
    <xf numFmtId="1" fontId="7" fillId="0" borderId="15" xfId="126" applyNumberFormat="1" applyFont="1" applyBorder="1" applyAlignment="1" applyProtection="1">
      <alignment horizontal="right"/>
      <protection hidden="1"/>
    </xf>
    <xf numFmtId="1" fontId="7" fillId="0" borderId="40" xfId="126" applyNumberFormat="1" applyFont="1" applyBorder="1" applyAlignment="1" applyProtection="1">
      <alignment horizontal="right"/>
      <protection hidden="1"/>
    </xf>
    <xf numFmtId="1" fontId="7" fillId="0" borderId="141" xfId="126" applyNumberFormat="1" applyFont="1" applyBorder="1" applyAlignment="1" applyProtection="1">
      <alignment horizontal="center" vertical="center" wrapText="1"/>
      <protection hidden="1"/>
    </xf>
    <xf numFmtId="1" fontId="7" fillId="0" borderId="141" xfId="126" applyNumberFormat="1" applyFont="1" applyBorder="1" applyAlignment="1">
      <alignment horizontal="right"/>
    </xf>
    <xf numFmtId="1" fontId="7" fillId="0" borderId="141" xfId="14" applyNumberFormat="1" applyFont="1" applyFill="1" applyBorder="1" applyAlignment="1" applyProtection="1">
      <alignment horizontal="right"/>
    </xf>
    <xf numFmtId="1" fontId="7" fillId="0" borderId="141" xfId="126" applyNumberFormat="1" applyFont="1" applyBorder="1" applyAlignment="1" applyProtection="1">
      <alignment horizontal="center" vertical="center"/>
      <protection hidden="1"/>
    </xf>
    <xf numFmtId="1" fontId="7" fillId="15" borderId="141" xfId="14" applyNumberFormat="1" applyFont="1" applyFill="1" applyBorder="1" applyAlignment="1">
      <alignment horizontal="right"/>
      <protection locked="0"/>
    </xf>
    <xf numFmtId="1" fontId="7" fillId="17" borderId="141" xfId="108" applyNumberFormat="1" applyFont="1" applyFill="1" applyBorder="1" applyAlignment="1">
      <alignment horizontal="right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5" xfId="108" applyNumberFormat="1" applyFont="1" applyBorder="1" applyAlignment="1">
      <alignment horizontal="center" vertical="center" wrapText="1"/>
    </xf>
    <xf numFmtId="1" fontId="7" fillId="0" borderId="5" xfId="125" applyNumberFormat="1" applyFont="1" applyBorder="1" applyAlignment="1" applyProtection="1">
      <alignment horizontal="center" vertical="center"/>
      <protection hidden="1"/>
    </xf>
    <xf numFmtId="1" fontId="7" fillId="0" borderId="5" xfId="125" applyNumberFormat="1" applyFont="1" applyBorder="1" applyAlignment="1">
      <alignment horizontal="right"/>
    </xf>
    <xf numFmtId="1" fontId="7" fillId="0" borderId="5" xfId="126" applyNumberFormat="1" applyFont="1" applyBorder="1" applyAlignment="1">
      <alignment horizontal="right"/>
    </xf>
    <xf numFmtId="1" fontId="7" fillId="0" borderId="5" xfId="14" applyNumberFormat="1" applyFont="1" applyFill="1" applyBorder="1" applyAlignment="1" applyProtection="1">
      <alignment horizontal="right"/>
    </xf>
    <xf numFmtId="1" fontId="7" fillId="0" borderId="5" xfId="126" applyNumberFormat="1" applyFont="1" applyBorder="1" applyAlignment="1" applyProtection="1">
      <alignment horizontal="center" vertical="center" wrapText="1"/>
      <protection hidden="1"/>
    </xf>
    <xf numFmtId="1" fontId="7" fillId="15" borderId="5" xfId="14" applyNumberFormat="1" applyFont="1" applyFill="1" applyBorder="1" applyAlignment="1">
      <alignment horizontal="right"/>
      <protection locked="0"/>
    </xf>
    <xf numFmtId="0" fontId="29" fillId="0" borderId="5" xfId="0" applyFont="1" applyBorder="1" applyAlignment="1">
      <alignment horizontal="center" vertical="center"/>
    </xf>
    <xf numFmtId="1" fontId="7" fillId="17" borderId="6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19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6" xfId="0" applyNumberFormat="1" applyFont="1" applyFill="1" applyBorder="1" applyAlignment="1">
      <alignment vertical="center"/>
    </xf>
    <xf numFmtId="1" fontId="7" fillId="0" borderId="48" xfId="125" applyNumberFormat="1" applyFont="1" applyBorder="1" applyAlignment="1" applyProtection="1">
      <alignment vertical="center" wrapText="1"/>
      <protection hidden="1"/>
    </xf>
    <xf numFmtId="1" fontId="7" fillId="0" borderId="19" xfId="125" applyNumberFormat="1" applyFont="1" applyBorder="1" applyAlignment="1" applyProtection="1">
      <alignment vertical="center" wrapText="1"/>
      <protection hidden="1"/>
    </xf>
    <xf numFmtId="1" fontId="7" fillId="0" borderId="27" xfId="125" applyNumberFormat="1" applyFont="1" applyBorder="1" applyAlignment="1" applyProtection="1">
      <alignment vertical="center" wrapText="1"/>
      <protection hidden="1"/>
    </xf>
    <xf numFmtId="1" fontId="7" fillId="0" borderId="40" xfId="125" applyNumberFormat="1" applyFont="1" applyBorder="1" applyAlignment="1" applyProtection="1">
      <alignment vertical="center" wrapText="1"/>
      <protection hidden="1"/>
    </xf>
    <xf numFmtId="1" fontId="5" fillId="0" borderId="0" xfId="129" applyNumberFormat="1" applyFont="1" applyAlignment="1" applyProtection="1">
      <alignment vertical="center"/>
    </xf>
    <xf numFmtId="1" fontId="15" fillId="0" borderId="0" xfId="129" applyNumberFormat="1" applyFont="1" applyBorder="1" applyAlignment="1" applyProtection="1">
      <alignment vertical="center" wrapText="1"/>
      <protection hidden="1"/>
    </xf>
    <xf numFmtId="1" fontId="7" fillId="15" borderId="18" xfId="14" applyNumberFormat="1" applyFont="1" applyFill="1" applyBorder="1" applyAlignment="1">
      <alignment horizontal="right"/>
      <protection locked="0"/>
    </xf>
    <xf numFmtId="1" fontId="7" fillId="15" borderId="167" xfId="175" applyNumberFormat="1" applyFont="1" applyFill="1" applyBorder="1" applyAlignment="1">
      <alignment horizontal="right"/>
      <protection locked="0"/>
    </xf>
    <xf numFmtId="1" fontId="7" fillId="15" borderId="66" xfId="137" applyNumberFormat="1" applyFont="1" applyFill="1" applyBorder="1" applyAlignment="1">
      <alignment horizontal="right"/>
      <protection locked="0"/>
    </xf>
    <xf numFmtId="1" fontId="7" fillId="15" borderId="167" xfId="173" applyNumberFormat="1" applyFont="1" applyFill="1" applyBorder="1" applyAlignment="1">
      <alignment horizontal="right"/>
      <protection locked="0"/>
    </xf>
    <xf numFmtId="1" fontId="7" fillId="15" borderId="168" xfId="173" applyNumberFormat="1" applyFont="1" applyFill="1" applyBorder="1" applyAlignment="1">
      <alignment horizontal="right"/>
      <protection locked="0"/>
    </xf>
    <xf numFmtId="0" fontId="8" fillId="0" borderId="166" xfId="0" applyFont="1" applyBorder="1" applyAlignment="1">
      <alignment horizontal="left" vertical="center"/>
    </xf>
    <xf numFmtId="1" fontId="7" fillId="0" borderId="169" xfId="125" applyNumberFormat="1" applyFont="1" applyBorder="1" applyAlignment="1">
      <alignment horizontal="right"/>
    </xf>
    <xf numFmtId="1" fontId="7" fillId="0" borderId="172" xfId="0" applyNumberFormat="1" applyFont="1" applyBorder="1" applyAlignment="1">
      <alignment vertical="center" wrapText="1"/>
    </xf>
    <xf numFmtId="1" fontId="11" fillId="0" borderId="172" xfId="125" applyNumberFormat="1" applyFont="1" applyBorder="1" applyAlignment="1" applyProtection="1">
      <alignment horizontal="left" vertical="center"/>
      <protection hidden="1"/>
    </xf>
    <xf numFmtId="1" fontId="7" fillId="0" borderId="169" xfId="126" applyNumberFormat="1" applyFont="1" applyBorder="1" applyAlignment="1">
      <alignment horizontal="right"/>
    </xf>
    <xf numFmtId="0" fontId="4" fillId="14" borderId="137" xfId="123" applyFont="1" applyFill="1" applyBorder="1" applyAlignment="1" applyProtection="1">
      <alignment horizontal="center"/>
      <protection locked="0"/>
    </xf>
    <xf numFmtId="0" fontId="8" fillId="0" borderId="137" xfId="0" applyFont="1" applyBorder="1" applyAlignment="1">
      <alignment wrapText="1"/>
    </xf>
    <xf numFmtId="0" fontId="13" fillId="15" borderId="137" xfId="14" applyNumberFormat="1" applyFont="1" applyFill="1" applyBorder="1" applyAlignment="1">
      <alignment horizontal="center"/>
      <protection locked="0"/>
    </xf>
    <xf numFmtId="0" fontId="7" fillId="0" borderId="0" xfId="0" applyFont="1"/>
    <xf numFmtId="1" fontId="7" fillId="0" borderId="39" xfId="129" applyNumberFormat="1" applyFont="1" applyBorder="1" applyAlignment="1" applyProtection="1">
      <alignment horizontal="center" vertical="center" wrapText="1"/>
    </xf>
    <xf numFmtId="1" fontId="7" fillId="15" borderId="103" xfId="173" applyNumberFormat="1" applyFont="1" applyFill="1" applyBorder="1" applyAlignment="1">
      <alignment horizontal="right"/>
      <protection locked="0"/>
    </xf>
    <xf numFmtId="1" fontId="7" fillId="15" borderId="112" xfId="173" applyNumberFormat="1" applyFont="1" applyFill="1" applyBorder="1" applyAlignment="1">
      <alignment horizontal="right"/>
      <protection locked="0"/>
    </xf>
    <xf numFmtId="1" fontId="32" fillId="0" borderId="39" xfId="0" applyNumberFormat="1" applyFont="1" applyBorder="1"/>
    <xf numFmtId="0" fontId="8" fillId="15" borderId="174" xfId="14" applyFont="1" applyFill="1" applyBorder="1" applyAlignment="1">
      <alignment horizontal="center"/>
      <protection locked="0"/>
    </xf>
    <xf numFmtId="0" fontId="4" fillId="14" borderId="173" xfId="123" applyFont="1" applyFill="1" applyBorder="1" applyAlignment="1" applyProtection="1">
      <alignment horizontal="center"/>
      <protection locked="0"/>
    </xf>
    <xf numFmtId="0" fontId="8" fillId="0" borderId="175" xfId="0" applyFont="1" applyBorder="1" applyAlignment="1">
      <alignment horizontal="left" vertical="center"/>
    </xf>
    <xf numFmtId="0" fontId="8" fillId="15" borderId="176" xfId="14" applyFont="1" applyFill="1" applyBorder="1" applyAlignment="1">
      <alignment horizontal="center"/>
      <protection locked="0"/>
    </xf>
    <xf numFmtId="0" fontId="15" fillId="0" borderId="178" xfId="0" applyFont="1" applyBorder="1" applyAlignment="1">
      <alignment horizontal="center"/>
    </xf>
    <xf numFmtId="0" fontId="8" fillId="17" borderId="179" xfId="0" applyFont="1" applyFill="1" applyBorder="1" applyAlignment="1">
      <alignment horizontal="left" vertical="center"/>
    </xf>
    <xf numFmtId="0" fontId="9" fillId="0" borderId="179" xfId="0" applyFont="1" applyBorder="1"/>
    <xf numFmtId="1" fontId="7" fillId="0" borderId="187" xfId="0" applyNumberFormat="1" applyFont="1" applyBorder="1" applyAlignment="1">
      <alignment horizontal="center" vertical="center"/>
    </xf>
    <xf numFmtId="1" fontId="7" fillId="0" borderId="183" xfId="0" applyNumberFormat="1" applyFont="1" applyBorder="1"/>
    <xf numFmtId="1" fontId="7" fillId="0" borderId="178" xfId="0" applyNumberFormat="1" applyFont="1" applyBorder="1" applyAlignment="1">
      <alignment horizontal="center" vertical="center"/>
    </xf>
    <xf numFmtId="1" fontId="7" fillId="27" borderId="137" xfId="0" applyNumberFormat="1" applyFont="1" applyFill="1" applyBorder="1"/>
    <xf numFmtId="1" fontId="7" fillId="0" borderId="137" xfId="0" applyNumberFormat="1" applyFont="1" applyBorder="1" applyAlignment="1">
      <alignment horizontal="center" vertical="center" wrapText="1"/>
    </xf>
    <xf numFmtId="1" fontId="7" fillId="0" borderId="187" xfId="0" applyNumberFormat="1" applyFont="1" applyBorder="1" applyAlignment="1">
      <alignment horizontal="center" vertical="center" wrapText="1"/>
    </xf>
    <xf numFmtId="1" fontId="7" fillId="0" borderId="137" xfId="126" applyNumberFormat="1" applyFont="1" applyBorder="1" applyAlignment="1" applyProtection="1">
      <alignment horizontal="center" vertical="center" wrapText="1"/>
      <protection hidden="1"/>
    </xf>
    <xf numFmtId="1" fontId="7" fillId="0" borderId="187" xfId="108" applyNumberFormat="1" applyFont="1" applyBorder="1" applyAlignment="1">
      <alignment horizontal="center" vertical="center" wrapText="1"/>
    </xf>
    <xf numFmtId="1" fontId="7" fillId="0" borderId="137" xfId="0" applyNumberFormat="1" applyFont="1" applyBorder="1" applyAlignment="1">
      <alignment horizontal="center" vertical="center"/>
    </xf>
    <xf numFmtId="1" fontId="7" fillId="24" borderId="137" xfId="0" applyNumberFormat="1" applyFont="1" applyFill="1" applyBorder="1"/>
    <xf numFmtId="1" fontId="7" fillId="0" borderId="187" xfId="125" applyNumberFormat="1" applyFont="1" applyBorder="1" applyAlignment="1" applyProtection="1">
      <alignment horizontal="center" vertical="center"/>
      <protection hidden="1"/>
    </xf>
    <xf numFmtId="1" fontId="7" fillId="0" borderId="178" xfId="125" applyNumberFormat="1" applyFont="1" applyBorder="1" applyAlignment="1" applyProtection="1">
      <alignment horizontal="center" vertical="center"/>
      <protection hidden="1"/>
    </xf>
    <xf numFmtId="1" fontId="7" fillId="0" borderId="137" xfId="125" applyNumberFormat="1" applyFont="1" applyBorder="1" applyAlignment="1">
      <alignment horizontal="right"/>
    </xf>
    <xf numFmtId="1" fontId="7" fillId="0" borderId="187" xfId="125" applyNumberFormat="1" applyFont="1" applyBorder="1" applyAlignment="1">
      <alignment horizontal="right"/>
    </xf>
    <xf numFmtId="1" fontId="7" fillId="0" borderId="178" xfId="125" applyNumberFormat="1" applyFont="1" applyBorder="1" applyAlignment="1">
      <alignment horizontal="right"/>
    </xf>
    <xf numFmtId="1" fontId="7" fillId="0" borderId="183" xfId="125" applyNumberFormat="1" applyFont="1" applyBorder="1" applyAlignment="1">
      <alignment horizontal="right"/>
    </xf>
    <xf numFmtId="1" fontId="7" fillId="0" borderId="183" xfId="125" applyNumberFormat="1" applyFont="1" applyBorder="1" applyAlignment="1" applyProtection="1">
      <alignment horizontal="center" vertical="center"/>
      <protection hidden="1"/>
    </xf>
    <xf numFmtId="1" fontId="7" fillId="22" borderId="137" xfId="125" applyNumberFormat="1" applyFont="1" applyFill="1" applyBorder="1" applyAlignment="1" applyProtection="1">
      <alignment horizontal="center" vertical="center" wrapText="1"/>
      <protection hidden="1"/>
    </xf>
    <xf numFmtId="1" fontId="11" fillId="0" borderId="177" xfId="125" applyNumberFormat="1" applyFont="1" applyBorder="1" applyAlignment="1" applyProtection="1">
      <alignment vertical="center"/>
      <protection hidden="1"/>
    </xf>
    <xf numFmtId="1" fontId="11" fillId="0" borderId="179" xfId="125" applyNumberFormat="1" applyFont="1" applyBorder="1" applyAlignment="1" applyProtection="1">
      <alignment vertical="center"/>
      <protection hidden="1"/>
    </xf>
    <xf numFmtId="1" fontId="7" fillId="0" borderId="178" xfId="126" applyNumberFormat="1" applyFont="1" applyBorder="1" applyAlignment="1" applyProtection="1">
      <alignment horizontal="center" vertical="center" wrapText="1"/>
      <protection hidden="1"/>
    </xf>
    <xf numFmtId="1" fontId="7" fillId="0" borderId="137" xfId="125" applyNumberFormat="1" applyFont="1" applyBorder="1" applyAlignment="1" applyProtection="1">
      <alignment horizontal="center" vertical="center" wrapText="1"/>
      <protection hidden="1"/>
    </xf>
    <xf numFmtId="1" fontId="7" fillId="0" borderId="137" xfId="125" applyNumberFormat="1" applyFont="1" applyBorder="1" applyAlignment="1" applyProtection="1">
      <alignment horizontal="center" vertical="center"/>
      <protection hidden="1"/>
    </xf>
    <xf numFmtId="1" fontId="7" fillId="0" borderId="187" xfId="126" applyNumberFormat="1" applyFont="1" applyBorder="1" applyAlignment="1" applyProtection="1">
      <alignment horizontal="center" vertical="center" wrapText="1"/>
      <protection hidden="1"/>
    </xf>
    <xf numFmtId="1" fontId="7" fillId="0" borderId="137" xfId="126" applyNumberFormat="1" applyFont="1" applyBorder="1" applyAlignment="1">
      <alignment horizontal="right"/>
    </xf>
    <xf numFmtId="1" fontId="7" fillId="0" borderId="187" xfId="126" applyNumberFormat="1" applyFont="1" applyBorder="1" applyAlignment="1">
      <alignment horizontal="right"/>
    </xf>
    <xf numFmtId="1" fontId="7" fillId="0" borderId="178" xfId="126" applyNumberFormat="1" applyFont="1" applyBorder="1" applyAlignment="1">
      <alignment horizontal="right"/>
    </xf>
    <xf numFmtId="1" fontId="7" fillId="0" borderId="178" xfId="14" applyNumberFormat="1" applyFont="1" applyFill="1" applyBorder="1" applyAlignment="1" applyProtection="1">
      <alignment horizontal="right"/>
    </xf>
    <xf numFmtId="1" fontId="7" fillId="0" borderId="187" xfId="14" applyNumberFormat="1" applyFont="1" applyFill="1" applyBorder="1" applyAlignment="1" applyProtection="1">
      <alignment horizontal="right"/>
    </xf>
    <xf numFmtId="1" fontId="5" fillId="0" borderId="183" xfId="126" applyNumberFormat="1" applyFont="1" applyBorder="1" applyProtection="1">
      <protection hidden="1"/>
    </xf>
    <xf numFmtId="1" fontId="33" fillId="0" borderId="183" xfId="14" applyNumberFormat="1" applyFont="1" applyFill="1" applyBorder="1" applyProtection="1"/>
    <xf numFmtId="1" fontId="33" fillId="0" borderId="183" xfId="0" applyNumberFormat="1" applyFont="1" applyBorder="1" applyProtection="1">
      <protection hidden="1"/>
    </xf>
    <xf numFmtId="1" fontId="33" fillId="0" borderId="183" xfId="0" applyNumberFormat="1" applyFont="1" applyBorder="1"/>
    <xf numFmtId="1" fontId="7" fillId="0" borderId="187" xfId="126" applyNumberFormat="1" applyFont="1" applyBorder="1" applyAlignment="1" applyProtection="1">
      <alignment horizontal="center" vertical="center"/>
      <protection hidden="1"/>
    </xf>
    <xf numFmtId="1" fontId="7" fillId="0" borderId="178" xfId="126" applyNumberFormat="1" applyFont="1" applyBorder="1" applyAlignment="1" applyProtection="1">
      <alignment horizontal="center" vertical="center"/>
      <protection hidden="1"/>
    </xf>
    <xf numFmtId="1" fontId="7" fillId="15" borderId="187" xfId="14" applyNumberFormat="1" applyFont="1" applyFill="1" applyBorder="1" applyAlignment="1">
      <alignment horizontal="right"/>
      <protection locked="0"/>
    </xf>
    <xf numFmtId="1" fontId="7" fillId="0" borderId="180" xfId="126" applyNumberFormat="1" applyFont="1" applyBorder="1" applyAlignment="1">
      <alignment horizontal="right"/>
    </xf>
    <xf numFmtId="1" fontId="7" fillId="0" borderId="189" xfId="15" applyNumberFormat="1" applyFont="1" applyFill="1" applyBorder="1" applyAlignment="1" applyProtection="1">
      <alignment horizontal="right"/>
    </xf>
    <xf numFmtId="1" fontId="7" fillId="0" borderId="186" xfId="15" applyNumberFormat="1" applyFont="1" applyFill="1" applyBorder="1" applyAlignment="1" applyProtection="1">
      <alignment horizontal="right"/>
    </xf>
    <xf numFmtId="1" fontId="11" fillId="0" borderId="137" xfId="0" applyNumberFormat="1" applyFont="1" applyBorder="1" applyAlignment="1">
      <alignment horizontal="left" vertical="center"/>
    </xf>
    <xf numFmtId="0" fontId="29" fillId="0" borderId="137" xfId="0" applyFont="1" applyBorder="1" applyAlignment="1">
      <alignment horizontal="center" vertical="center"/>
    </xf>
    <xf numFmtId="0" fontId="29" fillId="0" borderId="187" xfId="0" applyFont="1" applyBorder="1" applyAlignment="1">
      <alignment horizontal="center" vertical="center"/>
    </xf>
    <xf numFmtId="0" fontId="29" fillId="0" borderId="178" xfId="0" applyFont="1" applyBorder="1" applyAlignment="1">
      <alignment horizontal="center" vertical="center"/>
    </xf>
    <xf numFmtId="1" fontId="7" fillId="17" borderId="137" xfId="108" applyNumberFormat="1" applyFont="1" applyFill="1" applyBorder="1" applyAlignment="1">
      <alignment horizontal="center" vertical="center" wrapText="1"/>
    </xf>
    <xf numFmtId="1" fontId="7" fillId="17" borderId="189" xfId="108" applyNumberFormat="1" applyFont="1" applyFill="1" applyBorder="1" applyAlignment="1">
      <alignment horizontal="center" vertical="center" wrapText="1"/>
    </xf>
    <xf numFmtId="1" fontId="7" fillId="17" borderId="186" xfId="108" applyNumberFormat="1" applyFont="1" applyFill="1" applyBorder="1" applyAlignment="1">
      <alignment horizontal="center" vertical="center"/>
    </xf>
    <xf numFmtId="1" fontId="7" fillId="17" borderId="137" xfId="108" applyNumberFormat="1" applyFont="1" applyFill="1" applyBorder="1" applyAlignment="1">
      <alignment vertical="center" wrapText="1"/>
    </xf>
    <xf numFmtId="1" fontId="7" fillId="17" borderId="137" xfId="108" applyNumberFormat="1" applyFont="1" applyFill="1" applyBorder="1" applyAlignment="1">
      <alignment horizontal="right" wrapText="1"/>
    </xf>
    <xf numFmtId="1" fontId="7" fillId="17" borderId="187" xfId="108" applyNumberFormat="1" applyFont="1" applyFill="1" applyBorder="1" applyAlignment="1">
      <alignment horizontal="right" wrapText="1"/>
    </xf>
    <xf numFmtId="1" fontId="7" fillId="0" borderId="181" xfId="129" applyNumberFormat="1" applyFont="1" applyBorder="1" applyAlignment="1" applyProtection="1">
      <alignment horizontal="center" vertical="center" wrapText="1"/>
    </xf>
    <xf numFmtId="1" fontId="7" fillId="0" borderId="190" xfId="129" applyNumberFormat="1" applyFont="1" applyBorder="1" applyAlignment="1" applyProtection="1">
      <alignment horizontal="center" vertical="center" wrapText="1"/>
    </xf>
    <xf numFmtId="1" fontId="7" fillId="0" borderId="175" xfId="129" applyNumberFormat="1" applyFont="1" applyBorder="1" applyAlignment="1" applyProtection="1">
      <alignment horizontal="center" vertical="center" wrapText="1"/>
    </xf>
    <xf numFmtId="1" fontId="7" fillId="0" borderId="137" xfId="129" applyNumberFormat="1" applyFont="1" applyBorder="1" applyAlignment="1" applyProtection="1">
      <alignment horizontal="center" vertical="center" wrapText="1"/>
    </xf>
    <xf numFmtId="1" fontId="7" fillId="0" borderId="177" xfId="129" applyNumberFormat="1" applyFont="1" applyBorder="1" applyAlignment="1" applyProtection="1"/>
    <xf numFmtId="1" fontId="7" fillId="0" borderId="190" xfId="129" applyNumberFormat="1" applyFont="1" applyBorder="1" applyAlignment="1" applyProtection="1">
      <alignment horizontal="right"/>
    </xf>
    <xf numFmtId="1" fontId="7" fillId="0" borderId="175" xfId="129" applyNumberFormat="1" applyFont="1" applyBorder="1" applyAlignment="1" applyProtection="1">
      <alignment horizontal="right"/>
    </xf>
    <xf numFmtId="1" fontId="7" fillId="0" borderId="137" xfId="129" applyNumberFormat="1" applyFont="1" applyBorder="1" applyAlignment="1" applyProtection="1">
      <alignment horizontal="right"/>
    </xf>
    <xf numFmtId="1" fontId="32" fillId="0" borderId="175" xfId="0" applyNumberFormat="1" applyFont="1" applyBorder="1"/>
    <xf numFmtId="1" fontId="32" fillId="0" borderId="137" xfId="0" applyNumberFormat="1" applyFont="1" applyBorder="1"/>
    <xf numFmtId="1" fontId="7" fillId="0" borderId="180" xfId="129" applyNumberFormat="1" applyFont="1" applyBorder="1" applyAlignment="1" applyProtection="1">
      <alignment horizontal="center" vertical="center" wrapText="1"/>
    </xf>
    <xf numFmtId="1" fontId="7" fillId="0" borderId="177" xfId="129" applyNumberFormat="1" applyFont="1" applyBorder="1" applyAlignment="1" applyProtection="1">
      <alignment vertical="center"/>
    </xf>
    <xf numFmtId="1" fontId="7" fillId="0" borderId="190" xfId="174" applyNumberFormat="1" applyFont="1" applyFill="1" applyBorder="1" applyAlignment="1" applyProtection="1">
      <alignment horizontal="right"/>
    </xf>
    <xf numFmtId="1" fontId="7" fillId="0" borderId="175" xfId="178" applyNumberFormat="1" applyFont="1" applyFill="1" applyBorder="1" applyAlignment="1" applyProtection="1">
      <alignment horizontal="right"/>
    </xf>
    <xf numFmtId="1" fontId="7" fillId="0" borderId="137" xfId="178" applyNumberFormat="1" applyFont="1" applyFill="1" applyBorder="1" applyAlignment="1" applyProtection="1">
      <alignment horizontal="right"/>
    </xf>
    <xf numFmtId="0" fontId="15" fillId="0" borderId="137" xfId="0" applyFont="1" applyBorder="1" applyAlignment="1" applyProtection="1">
      <alignment horizontal="center" vertical="center" wrapText="1"/>
      <protection hidden="1"/>
    </xf>
    <xf numFmtId="0" fontId="21" fillId="0" borderId="137" xfId="0" applyFont="1" applyBorder="1" applyProtection="1">
      <protection hidden="1"/>
    </xf>
    <xf numFmtId="0" fontId="22" fillId="0" borderId="137" xfId="0" applyFont="1" applyBorder="1" applyAlignment="1" applyProtection="1">
      <alignment horizontal="center"/>
      <protection hidden="1"/>
    </xf>
    <xf numFmtId="1" fontId="22" fillId="0" borderId="137" xfId="0" applyNumberFormat="1" applyFont="1" applyBorder="1" applyAlignment="1" applyProtection="1">
      <alignment horizontal="center"/>
      <protection hidden="1"/>
    </xf>
    <xf numFmtId="0" fontId="23" fillId="0" borderId="137" xfId="0" applyFont="1" applyBorder="1" applyAlignment="1" applyProtection="1">
      <alignment horizontal="center"/>
      <protection hidden="1"/>
    </xf>
    <xf numFmtId="0" fontId="22" fillId="0" borderId="137" xfId="0" applyFont="1" applyBorder="1" applyProtection="1">
      <protection hidden="1"/>
    </xf>
    <xf numFmtId="1" fontId="7" fillId="17" borderId="40" xfId="125" applyNumberFormat="1" applyFont="1" applyFill="1" applyBorder="1" applyAlignment="1" applyProtection="1">
      <alignment horizontal="left" vertical="center" wrapText="1"/>
      <protection hidden="1"/>
    </xf>
    <xf numFmtId="1" fontId="29" fillId="15" borderId="14" xfId="171" applyNumberFormat="1" applyFont="1" applyFill="1" applyBorder="1" applyAlignment="1">
      <alignment horizontal="right"/>
      <protection locked="0"/>
    </xf>
    <xf numFmtId="1" fontId="30" fillId="17" borderId="0" xfId="0" applyNumberFormat="1" applyFont="1" applyFill="1"/>
    <xf numFmtId="1" fontId="30" fillId="22" borderId="0" xfId="0" applyNumberFormat="1" applyFont="1" applyFill="1"/>
    <xf numFmtId="1" fontId="30" fillId="0" borderId="0" xfId="0" applyNumberFormat="1" applyFont="1"/>
    <xf numFmtId="1" fontId="30" fillId="17" borderId="0" xfId="0" applyNumberFormat="1" applyFont="1" applyFill="1" applyAlignment="1">
      <alignment horizontal="center"/>
    </xf>
    <xf numFmtId="1" fontId="29" fillId="0" borderId="0" xfId="0" applyNumberFormat="1" applyFont="1"/>
    <xf numFmtId="1" fontId="29" fillId="22" borderId="0" xfId="0" applyNumberFormat="1" applyFont="1" applyFill="1"/>
    <xf numFmtId="1" fontId="29" fillId="0" borderId="0" xfId="0" applyNumberFormat="1" applyFont="1" applyProtection="1">
      <protection hidden="1"/>
    </xf>
    <xf numFmtId="1" fontId="36" fillId="0" borderId="4" xfId="0" applyNumberFormat="1" applyFont="1" applyBorder="1" applyAlignment="1" applyProtection="1">
      <alignment horizontal="left"/>
      <protection hidden="1"/>
    </xf>
    <xf numFmtId="1" fontId="30" fillId="0" borderId="4" xfId="0" applyNumberFormat="1" applyFont="1" applyBorder="1" applyProtection="1">
      <protection hidden="1"/>
    </xf>
    <xf numFmtId="1" fontId="29" fillId="0" borderId="178" xfId="0" applyNumberFormat="1" applyFont="1" applyBorder="1" applyAlignment="1">
      <alignment horizontal="center" vertical="center" wrapText="1"/>
    </xf>
    <xf numFmtId="1" fontId="29" fillId="0" borderId="173" xfId="0" applyNumberFormat="1" applyFont="1" applyBorder="1" applyAlignment="1">
      <alignment horizontal="center" vertical="center" wrapText="1"/>
    </xf>
    <xf numFmtId="1" fontId="29" fillId="0" borderId="140" xfId="0" quotePrefix="1" applyNumberFormat="1" applyFont="1" applyBorder="1" applyAlignment="1">
      <alignment horizontal="center" vertical="center"/>
    </xf>
    <xf numFmtId="1" fontId="29" fillId="0" borderId="140" xfId="0" applyNumberFormat="1" applyFont="1" applyBorder="1" applyAlignment="1">
      <alignment horizontal="center" vertical="center"/>
    </xf>
    <xf numFmtId="1" fontId="29" fillId="0" borderId="80" xfId="0" applyNumberFormat="1" applyFont="1" applyBorder="1" applyAlignment="1">
      <alignment horizontal="center" vertical="center" wrapText="1"/>
    </xf>
    <xf numFmtId="1" fontId="29" fillId="0" borderId="187" xfId="0" applyNumberFormat="1" applyFont="1" applyBorder="1" applyAlignment="1">
      <alignment horizontal="center" vertical="center"/>
    </xf>
    <xf numFmtId="1" fontId="29" fillId="0" borderId="114" xfId="0" applyNumberFormat="1" applyFont="1" applyBorder="1" applyAlignment="1">
      <alignment horizontal="center" vertical="center" wrapText="1"/>
    </xf>
    <xf numFmtId="1" fontId="29" fillId="0" borderId="52" xfId="0" applyNumberFormat="1" applyFont="1" applyBorder="1" applyAlignment="1">
      <alignment horizontal="center" vertical="center" wrapText="1"/>
    </xf>
    <xf numFmtId="1" fontId="29" fillId="0" borderId="14" xfId="0" applyNumberFormat="1" applyFont="1" applyBorder="1" applyAlignment="1">
      <alignment horizontal="center" vertical="center" wrapText="1"/>
    </xf>
    <xf numFmtId="0" fontId="29" fillId="0" borderId="173" xfId="0" applyFont="1" applyBorder="1" applyAlignment="1">
      <alignment horizontal="center" vertical="center" wrapText="1"/>
    </xf>
    <xf numFmtId="0" fontId="29" fillId="0" borderId="140" xfId="0" applyFont="1" applyBorder="1" applyAlignment="1">
      <alignment horizontal="center" vertical="center" wrapText="1"/>
    </xf>
    <xf numFmtId="0" fontId="29" fillId="0" borderId="154" xfId="0" applyFont="1" applyBorder="1" applyAlignment="1">
      <alignment horizontal="center" vertical="center" wrapText="1"/>
    </xf>
    <xf numFmtId="1" fontId="29" fillId="0" borderId="0" xfId="0" applyNumberFormat="1" applyFont="1" applyAlignment="1">
      <alignment horizontal="center" vertical="center"/>
    </xf>
    <xf numFmtId="1" fontId="29" fillId="22" borderId="0" xfId="0" applyNumberFormat="1" applyFont="1" applyFill="1" applyAlignment="1">
      <alignment horizontal="center" vertical="center"/>
    </xf>
    <xf numFmtId="1" fontId="29" fillId="0" borderId="15" xfId="0" applyNumberFormat="1" applyFont="1" applyBorder="1" applyAlignment="1">
      <alignment horizontal="right"/>
    </xf>
    <xf numFmtId="1" fontId="29" fillId="15" borderId="11" xfId="0" applyNumberFormat="1" applyFont="1" applyFill="1" applyBorder="1" applyAlignment="1" applyProtection="1">
      <alignment horizontal="right"/>
      <protection locked="0"/>
    </xf>
    <xf numFmtId="1" fontId="29" fillId="20" borderId="12" xfId="0" applyNumberFormat="1" applyFont="1" applyFill="1" applyBorder="1" applyAlignment="1">
      <alignment horizontal="right"/>
    </xf>
    <xf numFmtId="1" fontId="29" fillId="20" borderId="33" xfId="0" applyNumberFormat="1" applyFont="1" applyFill="1" applyBorder="1" applyAlignment="1">
      <alignment horizontal="right"/>
    </xf>
    <xf numFmtId="1" fontId="29" fillId="15" borderId="32" xfId="0" applyNumberFormat="1" applyFont="1" applyFill="1" applyBorder="1" applyAlignment="1" applyProtection="1">
      <alignment horizontal="right"/>
      <protection locked="0"/>
    </xf>
    <xf numFmtId="1" fontId="29" fillId="15" borderId="41" xfId="0" applyNumberFormat="1" applyFont="1" applyFill="1" applyBorder="1" applyAlignment="1" applyProtection="1">
      <alignment horizontal="right"/>
      <protection locked="0"/>
    </xf>
    <xf numFmtId="1" fontId="29" fillId="15" borderId="13" xfId="0" applyNumberFormat="1" applyFont="1" applyFill="1" applyBorder="1" applyAlignment="1" applyProtection="1">
      <alignment horizontal="right"/>
      <protection locked="0"/>
    </xf>
    <xf numFmtId="1" fontId="29" fillId="20" borderId="11" xfId="0" applyNumberFormat="1" applyFont="1" applyFill="1" applyBorder="1" applyAlignment="1">
      <alignment horizontal="right"/>
    </xf>
    <xf numFmtId="1" fontId="29" fillId="15" borderId="56" xfId="0" applyNumberFormat="1" applyFont="1" applyFill="1" applyBorder="1" applyAlignment="1" applyProtection="1">
      <alignment horizontal="right"/>
      <protection locked="0"/>
    </xf>
    <xf numFmtId="1" fontId="37" fillId="0" borderId="0" xfId="0" applyNumberFormat="1" applyFont="1"/>
    <xf numFmtId="1" fontId="37" fillId="26" borderId="0" xfId="0" applyNumberFormat="1" applyFont="1" applyFill="1"/>
    <xf numFmtId="1" fontId="37" fillId="32" borderId="0" xfId="0" applyNumberFormat="1" applyFont="1" applyFill="1"/>
    <xf numFmtId="1" fontId="29" fillId="30" borderId="0" xfId="0" applyNumberFormat="1" applyFont="1" applyFill="1"/>
    <xf numFmtId="1" fontId="29" fillId="32" borderId="0" xfId="0" applyNumberFormat="1" applyFont="1" applyFill="1"/>
    <xf numFmtId="1" fontId="29" fillId="0" borderId="133" xfId="0" applyNumberFormat="1" applyFont="1" applyBorder="1" applyAlignment="1" applyProtection="1">
      <alignment horizontal="left"/>
      <protection hidden="1"/>
    </xf>
    <xf numFmtId="1" fontId="29" fillId="0" borderId="0" xfId="0" quotePrefix="1" applyNumberFormat="1" applyFont="1" applyAlignment="1" applyProtection="1">
      <alignment horizontal="left"/>
      <protection hidden="1"/>
    </xf>
    <xf numFmtId="1" fontId="29" fillId="0" borderId="6" xfId="0" applyNumberFormat="1" applyFont="1" applyBorder="1" applyAlignment="1">
      <alignment horizontal="right"/>
    </xf>
    <xf numFmtId="1" fontId="29" fillId="20" borderId="89" xfId="0" applyNumberFormat="1" applyFont="1" applyFill="1" applyBorder="1" applyAlignment="1">
      <alignment horizontal="right"/>
    </xf>
    <xf numFmtId="1" fontId="29" fillId="20" borderId="100" xfId="0" applyNumberFormat="1" applyFont="1" applyFill="1" applyBorder="1" applyAlignment="1">
      <alignment horizontal="right"/>
    </xf>
    <xf numFmtId="1" fontId="29" fillId="15" borderId="105" xfId="0" applyNumberFormat="1" applyFont="1" applyFill="1" applyBorder="1" applyAlignment="1" applyProtection="1">
      <alignment horizontal="right"/>
      <protection locked="0"/>
    </xf>
    <xf numFmtId="1" fontId="29" fillId="15" borderId="52" xfId="0" applyNumberFormat="1" applyFont="1" applyFill="1" applyBorder="1" applyAlignment="1" applyProtection="1">
      <alignment horizontal="right"/>
      <protection locked="0"/>
    </xf>
    <xf numFmtId="1" fontId="29" fillId="15" borderId="14" xfId="0" applyNumberFormat="1" applyFont="1" applyFill="1" applyBorder="1" applyAlignment="1" applyProtection="1">
      <alignment horizontal="right"/>
      <protection locked="0"/>
    </xf>
    <xf numFmtId="1" fontId="29" fillId="15" borderId="55" xfId="0" applyNumberFormat="1" applyFont="1" applyFill="1" applyBorder="1" applyAlignment="1" applyProtection="1">
      <alignment horizontal="right"/>
      <protection locked="0"/>
    </xf>
    <xf numFmtId="1" fontId="29" fillId="20" borderId="55" xfId="0" applyNumberFormat="1" applyFont="1" applyFill="1" applyBorder="1" applyAlignment="1">
      <alignment horizontal="right"/>
    </xf>
    <xf numFmtId="1" fontId="29" fillId="15" borderId="53" xfId="0" applyNumberFormat="1" applyFont="1" applyFill="1" applyBorder="1" applyAlignment="1" applyProtection="1">
      <alignment horizontal="right"/>
      <protection locked="0"/>
    </xf>
    <xf numFmtId="1" fontId="29" fillId="0" borderId="15" xfId="0" applyNumberFormat="1" applyFont="1" applyBorder="1" applyAlignment="1" applyProtection="1">
      <alignment horizontal="left" wrapText="1"/>
      <protection hidden="1"/>
    </xf>
    <xf numFmtId="1" fontId="29" fillId="0" borderId="48" xfId="0" applyNumberFormat="1" applyFont="1" applyBorder="1" applyAlignment="1">
      <alignment horizontal="right"/>
    </xf>
    <xf numFmtId="1" fontId="29" fillId="15" borderId="201" xfId="0" applyNumberFormat="1" applyFont="1" applyFill="1" applyBorder="1" applyAlignment="1" applyProtection="1">
      <alignment horizontal="right"/>
      <protection locked="0"/>
    </xf>
    <xf numFmtId="1" fontId="29" fillId="20" borderId="17" xfId="0" applyNumberFormat="1" applyFont="1" applyFill="1" applyBorder="1" applyAlignment="1">
      <alignment horizontal="right"/>
    </xf>
    <xf numFmtId="1" fontId="29" fillId="20" borderId="110" xfId="0" applyNumberFormat="1" applyFont="1" applyFill="1" applyBorder="1" applyAlignment="1">
      <alignment horizontal="right"/>
    </xf>
    <xf numFmtId="1" fontId="29" fillId="15" borderId="103" xfId="0" applyNumberFormat="1" applyFont="1" applyFill="1" applyBorder="1" applyAlignment="1" applyProtection="1">
      <alignment horizontal="right"/>
      <protection locked="0"/>
    </xf>
    <xf numFmtId="1" fontId="29" fillId="15" borderId="61" xfId="0" applyNumberFormat="1" applyFont="1" applyFill="1" applyBorder="1" applyAlignment="1" applyProtection="1">
      <alignment horizontal="right"/>
      <protection locked="0"/>
    </xf>
    <xf numFmtId="1" fontId="29" fillId="15" borderId="18" xfId="0" applyNumberFormat="1" applyFont="1" applyFill="1" applyBorder="1" applyAlignment="1" applyProtection="1">
      <alignment horizontal="right"/>
      <protection locked="0"/>
    </xf>
    <xf numFmtId="1" fontId="29" fillId="15" borderId="16" xfId="0" applyNumberFormat="1" applyFont="1" applyFill="1" applyBorder="1" applyAlignment="1" applyProtection="1">
      <alignment horizontal="right"/>
      <protection locked="0"/>
    </xf>
    <xf numFmtId="1" fontId="29" fillId="20" borderId="16" xfId="0" applyNumberFormat="1" applyFont="1" applyFill="1" applyBorder="1" applyAlignment="1">
      <alignment horizontal="right"/>
    </xf>
    <xf numFmtId="1" fontId="29" fillId="15" borderId="62" xfId="0" applyNumberFormat="1" applyFont="1" applyFill="1" applyBorder="1" applyAlignment="1" applyProtection="1">
      <alignment horizontal="right"/>
      <protection locked="0"/>
    </xf>
    <xf numFmtId="1" fontId="29" fillId="0" borderId="19" xfId="0" applyNumberFormat="1" applyFont="1" applyBorder="1" applyAlignment="1" applyProtection="1">
      <alignment horizontal="left" wrapText="1"/>
      <protection hidden="1"/>
    </xf>
    <xf numFmtId="1" fontId="29" fillId="15" borderId="24" xfId="0" applyNumberFormat="1" applyFont="1" applyFill="1" applyBorder="1" applyAlignment="1" applyProtection="1">
      <alignment horizontal="right"/>
      <protection locked="0"/>
    </xf>
    <xf numFmtId="1" fontId="29" fillId="15" borderId="8" xfId="0" applyNumberFormat="1" applyFont="1" applyFill="1" applyBorder="1" applyAlignment="1" applyProtection="1">
      <alignment horizontal="right"/>
      <protection locked="0"/>
    </xf>
    <xf numFmtId="1" fontId="29" fillId="15" borderId="20" xfId="0" applyNumberFormat="1" applyFont="1" applyFill="1" applyBorder="1" applyAlignment="1" applyProtection="1">
      <alignment horizontal="right"/>
      <protection locked="0"/>
    </xf>
    <xf numFmtId="1" fontId="29" fillId="20" borderId="8" xfId="0" applyNumberFormat="1" applyFont="1" applyFill="1" applyBorder="1" applyAlignment="1">
      <alignment horizontal="right"/>
    </xf>
    <xf numFmtId="1" fontId="29" fillId="20" borderId="36" xfId="0" applyNumberFormat="1" applyFont="1" applyFill="1" applyBorder="1" applyAlignment="1">
      <alignment horizontal="right"/>
    </xf>
    <xf numFmtId="1" fontId="29" fillId="15" borderId="42" xfId="0" applyNumberFormat="1" applyFont="1" applyFill="1" applyBorder="1" applyAlignment="1" applyProtection="1">
      <alignment horizontal="right"/>
      <protection locked="0"/>
    </xf>
    <xf numFmtId="1" fontId="29" fillId="15" borderId="22" xfId="0" applyNumberFormat="1" applyFont="1" applyFill="1" applyBorder="1" applyAlignment="1" applyProtection="1">
      <alignment horizontal="right"/>
      <protection locked="0"/>
    </xf>
    <xf numFmtId="1" fontId="29" fillId="20" borderId="20" xfId="0" applyNumberFormat="1" applyFont="1" applyFill="1" applyBorder="1" applyAlignment="1">
      <alignment horizontal="right"/>
    </xf>
    <xf numFmtId="1" fontId="29" fillId="15" borderId="43" xfId="0" applyNumberFormat="1" applyFont="1" applyFill="1" applyBorder="1" applyAlignment="1" applyProtection="1">
      <alignment horizontal="right"/>
      <protection locked="0"/>
    </xf>
    <xf numFmtId="1" fontId="29" fillId="20" borderId="24" xfId="0" applyNumberFormat="1" applyFont="1" applyFill="1" applyBorder="1" applyAlignment="1">
      <alignment horizontal="right"/>
    </xf>
    <xf numFmtId="1" fontId="29" fillId="20" borderId="143" xfId="0" applyNumberFormat="1" applyFont="1" applyFill="1" applyBorder="1" applyAlignment="1">
      <alignment horizontal="right"/>
    </xf>
    <xf numFmtId="1" fontId="29" fillId="15" borderId="44" xfId="0" applyNumberFormat="1" applyFont="1" applyFill="1" applyBorder="1" applyAlignment="1" applyProtection="1">
      <alignment horizontal="right"/>
      <protection locked="0"/>
    </xf>
    <xf numFmtId="1" fontId="29" fillId="15" borderId="26" xfId="0" applyNumberFormat="1" applyFont="1" applyFill="1" applyBorder="1" applyAlignment="1" applyProtection="1">
      <alignment horizontal="right"/>
      <protection locked="0"/>
    </xf>
    <xf numFmtId="1" fontId="29" fillId="20" borderId="23" xfId="0" applyNumberFormat="1" applyFont="1" applyFill="1" applyBorder="1" applyAlignment="1">
      <alignment horizontal="right"/>
    </xf>
    <xf numFmtId="1" fontId="29" fillId="15" borderId="60" xfId="0" applyNumberFormat="1" applyFont="1" applyFill="1" applyBorder="1" applyAlignment="1" applyProtection="1">
      <alignment horizontal="right"/>
      <protection locked="0"/>
    </xf>
    <xf numFmtId="1" fontId="29" fillId="15" borderId="35" xfId="0" applyNumberFormat="1" applyFont="1" applyFill="1" applyBorder="1" applyAlignment="1" applyProtection="1">
      <alignment horizontal="right"/>
      <protection locked="0"/>
    </xf>
    <xf numFmtId="1" fontId="29" fillId="0" borderId="19" xfId="0" applyNumberFormat="1" applyFont="1" applyBorder="1" applyAlignment="1">
      <alignment horizontal="right"/>
    </xf>
    <xf numFmtId="1" fontId="29" fillId="0" borderId="6" xfId="0" applyNumberFormat="1" applyFont="1" applyBorder="1" applyAlignment="1" applyProtection="1">
      <alignment vertical="center" wrapText="1"/>
      <protection hidden="1"/>
    </xf>
    <xf numFmtId="1" fontId="29" fillId="20" borderId="85" xfId="0" applyNumberFormat="1" applyFont="1" applyFill="1" applyBorder="1" applyAlignment="1">
      <alignment horizontal="right"/>
    </xf>
    <xf numFmtId="1" fontId="29" fillId="20" borderId="97" xfId="0" applyNumberFormat="1" applyFont="1" applyFill="1" applyBorder="1" applyAlignment="1">
      <alignment horizontal="right"/>
    </xf>
    <xf numFmtId="1" fontId="29" fillId="15" borderId="112" xfId="0" applyNumberFormat="1" applyFont="1" applyFill="1" applyBorder="1" applyAlignment="1" applyProtection="1">
      <alignment horizontal="right"/>
      <protection locked="0"/>
    </xf>
    <xf numFmtId="1" fontId="29" fillId="15" borderId="67" xfId="0" applyNumberFormat="1" applyFont="1" applyFill="1" applyBorder="1" applyAlignment="1" applyProtection="1">
      <alignment horizontal="right"/>
      <protection locked="0"/>
    </xf>
    <xf numFmtId="1" fontId="29" fillId="15" borderId="66" xfId="0" applyNumberFormat="1" applyFont="1" applyFill="1" applyBorder="1" applyAlignment="1" applyProtection="1">
      <alignment horizontal="right"/>
      <protection locked="0"/>
    </xf>
    <xf numFmtId="1" fontId="29" fillId="15" borderId="80" xfId="0" applyNumberFormat="1" applyFont="1" applyFill="1" applyBorder="1" applyAlignment="1" applyProtection="1">
      <alignment horizontal="right"/>
      <protection locked="0"/>
    </xf>
    <xf numFmtId="1" fontId="29" fillId="20" borderId="80" xfId="0" applyNumberFormat="1" applyFont="1" applyFill="1" applyBorder="1" applyAlignment="1">
      <alignment horizontal="right"/>
    </xf>
    <xf numFmtId="1" fontId="29" fillId="15" borderId="65" xfId="0" applyNumberFormat="1" applyFont="1" applyFill="1" applyBorder="1" applyAlignment="1" applyProtection="1">
      <alignment horizontal="right"/>
      <protection locked="0"/>
    </xf>
    <xf numFmtId="1" fontId="29" fillId="0" borderId="13" xfId="0" applyNumberFormat="1" applyFont="1" applyBorder="1" applyAlignment="1" applyProtection="1">
      <alignment horizontal="left" wrapText="1"/>
      <protection hidden="1"/>
    </xf>
    <xf numFmtId="1" fontId="29" fillId="15" borderId="12" xfId="0" applyNumberFormat="1" applyFont="1" applyFill="1" applyBorder="1" applyAlignment="1" applyProtection="1">
      <alignment horizontal="right"/>
      <protection locked="0"/>
    </xf>
    <xf numFmtId="1" fontId="29" fillId="0" borderId="14" xfId="0" applyNumberFormat="1" applyFont="1" applyBorder="1" applyAlignment="1" applyProtection="1">
      <alignment horizontal="left" wrapText="1"/>
      <protection hidden="1"/>
    </xf>
    <xf numFmtId="1" fontId="29" fillId="15" borderId="85" xfId="0" applyNumberFormat="1" applyFont="1" applyFill="1" applyBorder="1" applyAlignment="1" applyProtection="1">
      <alignment horizontal="right"/>
      <protection locked="0"/>
    </xf>
    <xf numFmtId="1" fontId="29" fillId="0" borderId="18" xfId="0" applyNumberFormat="1" applyFont="1" applyBorder="1" applyAlignment="1" applyProtection="1">
      <alignment horizontal="left" wrapText="1"/>
      <protection hidden="1"/>
    </xf>
    <xf numFmtId="1" fontId="29" fillId="0" borderId="40" xfId="0" applyNumberFormat="1" applyFont="1" applyBorder="1" applyAlignment="1" applyProtection="1">
      <alignment horizontal="left" wrapText="1"/>
      <protection hidden="1"/>
    </xf>
    <xf numFmtId="1" fontId="29" fillId="0" borderId="40" xfId="0" applyNumberFormat="1" applyFont="1" applyBorder="1" applyAlignment="1">
      <alignment horizontal="right"/>
    </xf>
    <xf numFmtId="1" fontId="29" fillId="15" borderId="68" xfId="0" applyNumberFormat="1" applyFont="1" applyFill="1" applyBorder="1" applyAlignment="1" applyProtection="1">
      <alignment horizontal="right"/>
      <protection locked="0"/>
    </xf>
    <xf numFmtId="1" fontId="29" fillId="15" borderId="72" xfId="0" applyNumberFormat="1" applyFont="1" applyFill="1" applyBorder="1" applyAlignment="1" applyProtection="1">
      <alignment horizontal="right"/>
      <protection locked="0"/>
    </xf>
    <xf numFmtId="1" fontId="29" fillId="15" borderId="86" xfId="0" applyNumberFormat="1" applyFont="1" applyFill="1" applyBorder="1" applyAlignment="1" applyProtection="1">
      <alignment horizontal="right"/>
      <protection locked="0"/>
    </xf>
    <xf numFmtId="1" fontId="29" fillId="20" borderId="70" xfId="0" applyNumberFormat="1" applyFont="1" applyFill="1" applyBorder="1" applyAlignment="1">
      <alignment horizontal="right"/>
    </xf>
    <xf numFmtId="1" fontId="29" fillId="15" borderId="70" xfId="0" applyNumberFormat="1" applyFont="1" applyFill="1" applyBorder="1" applyAlignment="1" applyProtection="1">
      <alignment horizontal="right"/>
      <protection locked="0"/>
    </xf>
    <xf numFmtId="1" fontId="29" fillId="15" borderId="71" xfId="0" applyNumberFormat="1" applyFont="1" applyFill="1" applyBorder="1" applyAlignment="1" applyProtection="1">
      <alignment horizontal="right"/>
      <protection locked="0"/>
    </xf>
    <xf numFmtId="1" fontId="29" fillId="0" borderId="169" xfId="0" applyNumberFormat="1" applyFont="1" applyBorder="1" applyAlignment="1">
      <alignment horizontal="right"/>
    </xf>
    <xf numFmtId="1" fontId="29" fillId="20" borderId="90" xfId="0" applyNumberFormat="1" applyFont="1" applyFill="1" applyBorder="1" applyAlignment="1">
      <alignment horizontal="right"/>
    </xf>
    <xf numFmtId="1" fontId="29" fillId="20" borderId="114" xfId="0" applyNumberFormat="1" applyFont="1" applyFill="1" applyBorder="1" applyAlignment="1">
      <alignment horizontal="right"/>
    </xf>
    <xf numFmtId="1" fontId="29" fillId="0" borderId="180" xfId="0" applyNumberFormat="1" applyFont="1" applyBorder="1" applyAlignment="1">
      <alignment horizontal="right"/>
    </xf>
    <xf numFmtId="1" fontId="29" fillId="0" borderId="188" xfId="0" applyNumberFormat="1" applyFont="1" applyBorder="1" applyAlignment="1">
      <alignment horizontal="right"/>
    </xf>
    <xf numFmtId="1" fontId="29" fillId="0" borderId="189" xfId="0" applyNumberFormat="1" applyFont="1" applyBorder="1" applyAlignment="1">
      <alignment horizontal="right"/>
    </xf>
    <xf numFmtId="1" fontId="29" fillId="20" borderId="139" xfId="0" applyNumberFormat="1" applyFont="1" applyFill="1" applyBorder="1" applyAlignment="1">
      <alignment horizontal="right"/>
    </xf>
    <xf numFmtId="1" fontId="29" fillId="20" borderId="138" xfId="0" applyNumberFormat="1" applyFont="1" applyFill="1" applyBorder="1" applyAlignment="1">
      <alignment horizontal="right"/>
    </xf>
    <xf numFmtId="1" fontId="29" fillId="20" borderId="144" xfId="0" applyNumberFormat="1" applyFont="1" applyFill="1" applyBorder="1" applyAlignment="1">
      <alignment horizontal="right"/>
    </xf>
    <xf numFmtId="1" fontId="29" fillId="0" borderId="157" xfId="0" applyNumberFormat="1" applyFont="1" applyBorder="1" applyAlignment="1">
      <alignment horizontal="right"/>
    </xf>
    <xf numFmtId="1" fontId="29" fillId="0" borderId="150" xfId="0" applyNumberFormat="1" applyFont="1" applyBorder="1" applyAlignment="1">
      <alignment horizontal="right"/>
    </xf>
    <xf numFmtId="1" fontId="29" fillId="0" borderId="142" xfId="0" applyNumberFormat="1" applyFont="1" applyBorder="1" applyAlignment="1">
      <alignment horizontal="right"/>
    </xf>
    <xf numFmtId="1" fontId="29" fillId="0" borderId="138" xfId="0" applyNumberFormat="1" applyFont="1" applyBorder="1" applyAlignment="1">
      <alignment horizontal="right"/>
    </xf>
    <xf numFmtId="1" fontId="37" fillId="22" borderId="0" xfId="0" applyNumberFormat="1" applyFont="1" applyFill="1"/>
    <xf numFmtId="1" fontId="29" fillId="0" borderId="113" xfId="0" applyNumberFormat="1" applyFont="1" applyBorder="1" applyAlignment="1">
      <alignment horizontal="right"/>
    </xf>
    <xf numFmtId="1" fontId="29" fillId="15" borderId="145" xfId="0" applyNumberFormat="1" applyFont="1" applyFill="1" applyBorder="1" applyAlignment="1" applyProtection="1">
      <alignment horizontal="right"/>
      <protection locked="0"/>
    </xf>
    <xf numFmtId="1" fontId="29" fillId="15" borderId="29" xfId="0" applyNumberFormat="1" applyFont="1" applyFill="1" applyBorder="1" applyAlignment="1" applyProtection="1">
      <alignment horizontal="right"/>
      <protection locked="0"/>
    </xf>
    <xf numFmtId="1" fontId="29" fillId="0" borderId="48" xfId="0" applyNumberFormat="1" applyFont="1" applyBorder="1" applyAlignment="1" applyProtection="1">
      <alignment vertical="center" wrapText="1"/>
      <protection hidden="1"/>
    </xf>
    <xf numFmtId="1" fontId="29" fillId="15" borderId="103" xfId="0" quotePrefix="1" applyNumberFormat="1" applyFont="1" applyFill="1" applyBorder="1" applyAlignment="1" applyProtection="1">
      <alignment horizontal="right"/>
      <protection locked="0"/>
    </xf>
    <xf numFmtId="1" fontId="29" fillId="15" borderId="61" xfId="0" quotePrefix="1" applyNumberFormat="1" applyFont="1" applyFill="1" applyBorder="1" applyAlignment="1" applyProtection="1">
      <alignment horizontal="right"/>
      <protection locked="0"/>
    </xf>
    <xf numFmtId="1" fontId="29" fillId="15" borderId="62" xfId="0" quotePrefix="1" applyNumberFormat="1" applyFont="1" applyFill="1" applyBorder="1" applyAlignment="1" applyProtection="1">
      <alignment horizontal="right"/>
      <protection locked="0"/>
    </xf>
    <xf numFmtId="1" fontId="29" fillId="15" borderId="18" xfId="0" quotePrefix="1" applyNumberFormat="1" applyFont="1" applyFill="1" applyBorder="1" applyAlignment="1" applyProtection="1">
      <alignment horizontal="right"/>
      <protection locked="0"/>
    </xf>
    <xf numFmtId="1" fontId="29" fillId="15" borderId="16" xfId="0" quotePrefix="1" applyNumberFormat="1" applyFont="1" applyFill="1" applyBorder="1" applyAlignment="1" applyProtection="1">
      <alignment horizontal="right"/>
      <protection locked="0"/>
    </xf>
    <xf numFmtId="1" fontId="29" fillId="20" borderId="17" xfId="0" quotePrefix="1" applyNumberFormat="1" applyFont="1" applyFill="1" applyBorder="1" applyAlignment="1">
      <alignment horizontal="right"/>
    </xf>
    <xf numFmtId="1" fontId="29" fillId="0" borderId="6" xfId="0" applyNumberFormat="1" applyFont="1" applyBorder="1" applyAlignment="1" applyProtection="1">
      <alignment horizontal="left" vertical="center" wrapText="1"/>
      <protection hidden="1"/>
    </xf>
    <xf numFmtId="1" fontId="29" fillId="15" borderId="105" xfId="0" quotePrefix="1" applyNumberFormat="1" applyFont="1" applyFill="1" applyBorder="1" applyAlignment="1" applyProtection="1">
      <alignment horizontal="right"/>
      <protection locked="0"/>
    </xf>
    <xf numFmtId="1" fontId="29" fillId="15" borderId="52" xfId="0" quotePrefix="1" applyNumberFormat="1" applyFont="1" applyFill="1" applyBorder="1" applyAlignment="1" applyProtection="1">
      <alignment horizontal="right"/>
      <protection locked="0"/>
    </xf>
    <xf numFmtId="1" fontId="29" fillId="15" borderId="53" xfId="0" quotePrefix="1" applyNumberFormat="1" applyFont="1" applyFill="1" applyBorder="1" applyAlignment="1" applyProtection="1">
      <alignment horizontal="right"/>
      <protection locked="0"/>
    </xf>
    <xf numFmtId="1" fontId="29" fillId="15" borderId="14" xfId="0" quotePrefix="1" applyNumberFormat="1" applyFont="1" applyFill="1" applyBorder="1" applyAlignment="1" applyProtection="1">
      <alignment horizontal="right"/>
      <protection locked="0"/>
    </xf>
    <xf numFmtId="1" fontId="29" fillId="15" borderId="55" xfId="0" quotePrefix="1" applyNumberFormat="1" applyFont="1" applyFill="1" applyBorder="1" applyAlignment="1" applyProtection="1">
      <alignment horizontal="right"/>
      <protection locked="0"/>
    </xf>
    <xf numFmtId="1" fontId="29" fillId="20" borderId="89" xfId="0" quotePrefix="1" applyNumberFormat="1" applyFont="1" applyFill="1" applyBorder="1" applyAlignment="1">
      <alignment horizontal="right"/>
    </xf>
    <xf numFmtId="1" fontId="29" fillId="0" borderId="15" xfId="0" applyNumberFormat="1" applyFont="1" applyBorder="1" applyAlignment="1" applyProtection="1">
      <alignment vertical="center" wrapText="1"/>
      <protection hidden="1"/>
    </xf>
    <xf numFmtId="1" fontId="29" fillId="15" borderId="32" xfId="0" quotePrefix="1" applyNumberFormat="1" applyFont="1" applyFill="1" applyBorder="1" applyAlignment="1" applyProtection="1">
      <alignment horizontal="right"/>
      <protection locked="0"/>
    </xf>
    <xf numFmtId="1" fontId="29" fillId="15" borderId="41" xfId="0" quotePrefix="1" applyNumberFormat="1" applyFont="1" applyFill="1" applyBorder="1" applyAlignment="1" applyProtection="1">
      <alignment horizontal="right"/>
      <protection locked="0"/>
    </xf>
    <xf numFmtId="1" fontId="29" fillId="15" borderId="56" xfId="0" quotePrefix="1" applyNumberFormat="1" applyFont="1" applyFill="1" applyBorder="1" applyAlignment="1" applyProtection="1">
      <alignment horizontal="right"/>
      <protection locked="0"/>
    </xf>
    <xf numFmtId="1" fontId="29" fillId="15" borderId="13" xfId="0" quotePrefix="1" applyNumberFormat="1" applyFont="1" applyFill="1" applyBorder="1" applyAlignment="1" applyProtection="1">
      <alignment horizontal="right"/>
      <protection locked="0"/>
    </xf>
    <xf numFmtId="1" fontId="29" fillId="15" borderId="11" xfId="0" quotePrefix="1" applyNumberFormat="1" applyFont="1" applyFill="1" applyBorder="1" applyAlignment="1" applyProtection="1">
      <alignment horizontal="right"/>
      <protection locked="0"/>
    </xf>
    <xf numFmtId="1" fontId="29" fillId="20" borderId="12" xfId="0" quotePrefix="1" applyNumberFormat="1" applyFont="1" applyFill="1" applyBorder="1" applyAlignment="1">
      <alignment horizontal="right"/>
    </xf>
    <xf numFmtId="1" fontId="29" fillId="0" borderId="137" xfId="0" applyNumberFormat="1" applyFont="1" applyBorder="1" applyAlignment="1">
      <alignment horizontal="right"/>
    </xf>
    <xf numFmtId="1" fontId="29" fillId="20" borderId="140" xfId="0" applyNumberFormat="1" applyFont="1" applyFill="1" applyBorder="1" applyAlignment="1">
      <alignment horizontal="right"/>
    </xf>
    <xf numFmtId="1" fontId="29" fillId="20" borderId="184" xfId="0" applyNumberFormat="1" applyFont="1" applyFill="1" applyBorder="1" applyAlignment="1">
      <alignment horizontal="right"/>
    </xf>
    <xf numFmtId="1" fontId="29" fillId="15" borderId="39" xfId="0" quotePrefix="1" applyNumberFormat="1" applyFont="1" applyFill="1" applyBorder="1" applyAlignment="1" applyProtection="1">
      <alignment horizontal="right"/>
      <protection locked="0"/>
    </xf>
    <xf numFmtId="1" fontId="29" fillId="15" borderId="173" xfId="0" applyNumberFormat="1" applyFont="1" applyFill="1" applyBorder="1" applyAlignment="1" applyProtection="1">
      <alignment horizontal="right"/>
      <protection locked="0"/>
    </xf>
    <xf numFmtId="1" fontId="29" fillId="15" borderId="178" xfId="0" applyNumberFormat="1" applyFont="1" applyFill="1" applyBorder="1" applyAlignment="1" applyProtection="1">
      <alignment horizontal="right"/>
      <protection locked="0"/>
    </xf>
    <xf numFmtId="1" fontId="29" fillId="15" borderId="187" xfId="0" quotePrefix="1" applyNumberFormat="1" applyFont="1" applyFill="1" applyBorder="1" applyAlignment="1" applyProtection="1">
      <alignment horizontal="right"/>
      <protection locked="0"/>
    </xf>
    <xf numFmtId="1" fontId="29" fillId="20" borderId="187" xfId="0" applyNumberFormat="1" applyFont="1" applyFill="1" applyBorder="1" applyAlignment="1">
      <alignment horizontal="right"/>
    </xf>
    <xf numFmtId="1" fontId="29" fillId="15" borderId="141" xfId="0" applyNumberFormat="1" applyFont="1" applyFill="1" applyBorder="1" applyAlignment="1" applyProtection="1">
      <alignment horizontal="right"/>
      <protection locked="0"/>
    </xf>
    <xf numFmtId="1" fontId="36" fillId="0" borderId="165" xfId="0" applyNumberFormat="1" applyFont="1" applyBorder="1" applyAlignment="1" applyProtection="1">
      <alignment horizontal="left"/>
      <protection hidden="1"/>
    </xf>
    <xf numFmtId="1" fontId="36" fillId="0" borderId="183" xfId="0" applyNumberFormat="1" applyFont="1" applyBorder="1" applyAlignment="1" applyProtection="1">
      <alignment horizontal="left"/>
      <protection hidden="1"/>
    </xf>
    <xf numFmtId="1" fontId="29" fillId="0" borderId="183" xfId="0" applyNumberFormat="1" applyFont="1" applyBorder="1"/>
    <xf numFmtId="1" fontId="29" fillId="0" borderId="140" xfId="0" applyNumberFormat="1" applyFont="1" applyBorder="1" applyAlignment="1">
      <alignment horizontal="center" vertical="center" wrapText="1"/>
    </xf>
    <xf numFmtId="1" fontId="29" fillId="0" borderId="50" xfId="0" applyNumberFormat="1" applyFont="1" applyBorder="1" applyAlignment="1">
      <alignment horizontal="center" vertical="center" wrapText="1"/>
    </xf>
    <xf numFmtId="0" fontId="29" fillId="0" borderId="155" xfId="0" applyFont="1" applyBorder="1" applyAlignment="1">
      <alignment horizontal="center" vertical="center" wrapText="1"/>
    </xf>
    <xf numFmtId="1" fontId="29" fillId="15" borderId="57" xfId="0" applyNumberFormat="1" applyFont="1" applyFill="1" applyBorder="1" applyAlignment="1" applyProtection="1">
      <alignment horizontal="right"/>
      <protection locked="0"/>
    </xf>
    <xf numFmtId="1" fontId="29" fillId="15" borderId="15" xfId="0" applyNumberFormat="1" applyFont="1" applyFill="1" applyBorder="1" applyAlignment="1" applyProtection="1">
      <alignment horizontal="right"/>
      <protection locked="0"/>
    </xf>
    <xf numFmtId="1" fontId="29" fillId="26" borderId="0" xfId="0" applyNumberFormat="1" applyFont="1" applyFill="1"/>
    <xf numFmtId="1" fontId="29" fillId="0" borderId="27" xfId="0" applyNumberFormat="1" applyFont="1" applyBorder="1" applyAlignment="1" applyProtection="1">
      <alignment horizontal="left" wrapText="1"/>
      <protection hidden="1"/>
    </xf>
    <xf numFmtId="1" fontId="29" fillId="15" borderId="90" xfId="0" applyNumberFormat="1" applyFont="1" applyFill="1" applyBorder="1" applyAlignment="1" applyProtection="1">
      <alignment horizontal="right"/>
      <protection locked="0"/>
    </xf>
    <xf numFmtId="1" fontId="29" fillId="15" borderId="17" xfId="0" applyNumberFormat="1" applyFont="1" applyFill="1" applyBorder="1" applyAlignment="1" applyProtection="1">
      <alignment horizontal="right"/>
      <protection locked="0"/>
    </xf>
    <xf numFmtId="1" fontId="29" fillId="20" borderId="67" xfId="0" applyNumberFormat="1" applyFont="1" applyFill="1" applyBorder="1" applyAlignment="1">
      <alignment horizontal="right"/>
    </xf>
    <xf numFmtId="1" fontId="29" fillId="15" borderId="169" xfId="0" applyNumberFormat="1" applyFont="1" applyFill="1" applyBorder="1" applyAlignment="1" applyProtection="1">
      <alignment horizontal="right"/>
      <protection locked="0"/>
    </xf>
    <xf numFmtId="1" fontId="29" fillId="0" borderId="6" xfId="0" applyNumberFormat="1" applyFont="1" applyBorder="1" applyAlignment="1" applyProtection="1">
      <alignment horizontal="left" wrapText="1"/>
      <protection hidden="1"/>
    </xf>
    <xf numFmtId="1" fontId="29" fillId="15" borderId="89" xfId="0" applyNumberFormat="1" applyFont="1" applyFill="1" applyBorder="1" applyAlignment="1" applyProtection="1">
      <alignment horizontal="right"/>
      <protection locked="0"/>
    </xf>
    <xf numFmtId="1" fontId="29" fillId="20" borderId="52" xfId="0" applyNumberFormat="1" applyFont="1" applyFill="1" applyBorder="1" applyAlignment="1">
      <alignment horizontal="right"/>
    </xf>
    <xf numFmtId="1" fontId="29" fillId="15" borderId="6" xfId="0" applyNumberFormat="1" applyFont="1" applyFill="1" applyBorder="1" applyAlignment="1" applyProtection="1">
      <alignment horizontal="right"/>
      <protection locked="0"/>
    </xf>
    <xf numFmtId="1" fontId="29" fillId="15" borderId="106" xfId="0" applyNumberFormat="1" applyFont="1" applyFill="1" applyBorder="1" applyAlignment="1" applyProtection="1">
      <alignment horizontal="right"/>
      <protection locked="0"/>
    </xf>
    <xf numFmtId="1" fontId="29" fillId="20" borderId="106" xfId="0" applyNumberFormat="1" applyFont="1" applyFill="1" applyBorder="1" applyAlignment="1">
      <alignment horizontal="right"/>
    </xf>
    <xf numFmtId="1" fontId="29" fillId="0" borderId="137" xfId="0" applyNumberFormat="1" applyFont="1" applyBorder="1" applyAlignment="1" applyProtection="1">
      <alignment horizontal="center" vertical="center" wrapText="1"/>
      <protection hidden="1"/>
    </xf>
    <xf numFmtId="1" fontId="29" fillId="0" borderId="51" xfId="0" applyNumberFormat="1" applyFont="1" applyBorder="1" applyAlignment="1" applyProtection="1">
      <alignment horizontal="center" vertical="center" wrapText="1"/>
      <protection hidden="1"/>
    </xf>
    <xf numFmtId="1" fontId="29" fillId="0" borderId="178" xfId="0" applyNumberFormat="1" applyFont="1" applyBorder="1" applyAlignment="1" applyProtection="1">
      <alignment horizontal="center" vertical="center" wrapText="1"/>
      <protection hidden="1"/>
    </xf>
    <xf numFmtId="1" fontId="29" fillId="0" borderId="14" xfId="0" applyNumberFormat="1" applyFont="1" applyBorder="1" applyAlignment="1" applyProtection="1">
      <alignment horizontal="center" vertical="center" wrapText="1"/>
      <protection hidden="1"/>
    </xf>
    <xf numFmtId="1" fontId="29" fillId="0" borderId="15" xfId="0" applyNumberFormat="1" applyFont="1" applyBorder="1" applyProtection="1">
      <protection hidden="1"/>
    </xf>
    <xf numFmtId="1" fontId="29" fillId="15" borderId="31" xfId="0" applyNumberFormat="1" applyFont="1" applyFill="1" applyBorder="1" applyAlignment="1" applyProtection="1">
      <alignment horizontal="right"/>
      <protection locked="0"/>
    </xf>
    <xf numFmtId="1" fontId="29" fillId="15" borderId="69" xfId="0" applyNumberFormat="1" applyFont="1" applyFill="1" applyBorder="1" applyAlignment="1" applyProtection="1">
      <alignment horizontal="right"/>
      <protection locked="0"/>
    </xf>
    <xf numFmtId="1" fontId="29" fillId="15" borderId="33" xfId="0" applyNumberFormat="1" applyFont="1" applyFill="1" applyBorder="1" applyAlignment="1" applyProtection="1">
      <alignment horizontal="right"/>
      <protection locked="0"/>
    </xf>
    <xf numFmtId="1" fontId="29" fillId="0" borderId="19" xfId="0" applyNumberFormat="1" applyFont="1" applyBorder="1" applyProtection="1">
      <protection hidden="1"/>
    </xf>
    <xf numFmtId="1" fontId="29" fillId="15" borderId="34" xfId="0" applyNumberFormat="1" applyFont="1" applyFill="1" applyBorder="1" applyAlignment="1" applyProtection="1">
      <alignment horizontal="right"/>
      <protection locked="0"/>
    </xf>
    <xf numFmtId="1" fontId="29" fillId="15" borderId="64" xfId="0" applyNumberFormat="1" applyFont="1" applyFill="1" applyBorder="1" applyAlignment="1" applyProtection="1">
      <alignment horizontal="right"/>
      <protection locked="0"/>
    </xf>
    <xf numFmtId="1" fontId="29" fillId="15" borderId="36" xfId="0" applyNumberFormat="1" applyFont="1" applyFill="1" applyBorder="1" applyAlignment="1" applyProtection="1">
      <alignment horizontal="right"/>
      <protection locked="0"/>
    </xf>
    <xf numFmtId="1" fontId="29" fillId="15" borderId="37" xfId="0" applyNumberFormat="1" applyFont="1" applyFill="1" applyBorder="1" applyAlignment="1" applyProtection="1">
      <alignment horizontal="right"/>
      <protection locked="0"/>
    </xf>
    <xf numFmtId="1" fontId="29" fillId="15" borderId="99" xfId="0" applyNumberFormat="1" applyFont="1" applyFill="1" applyBorder="1" applyAlignment="1" applyProtection="1">
      <alignment horizontal="right"/>
      <protection locked="0"/>
    </xf>
    <xf numFmtId="1" fontId="29" fillId="15" borderId="143" xfId="0" applyNumberFormat="1" applyFont="1" applyFill="1" applyBorder="1" applyAlignment="1" applyProtection="1">
      <alignment horizontal="right"/>
      <protection locked="0"/>
    </xf>
    <xf numFmtId="1" fontId="29" fillId="0" borderId="137" xfId="0" applyNumberFormat="1" applyFont="1" applyBorder="1" applyAlignment="1" applyProtection="1">
      <alignment horizontal="center"/>
      <protection hidden="1"/>
    </xf>
    <xf numFmtId="1" fontId="29" fillId="0" borderId="178" xfId="0" applyNumberFormat="1" applyFont="1" applyBorder="1" applyAlignment="1">
      <alignment horizontal="right"/>
    </xf>
    <xf numFmtId="1" fontId="29" fillId="0" borderId="51" xfId="0" applyNumberFormat="1" applyFont="1" applyBorder="1" applyAlignment="1">
      <alignment horizontal="right"/>
    </xf>
    <xf numFmtId="1" fontId="29" fillId="0" borderId="140" xfId="0" applyNumberFormat="1" applyFont="1" applyBorder="1" applyAlignment="1">
      <alignment horizontal="right"/>
    </xf>
    <xf numFmtId="1" fontId="29" fillId="0" borderId="184" xfId="0" applyNumberFormat="1" applyFont="1" applyBorder="1" applyAlignment="1">
      <alignment horizontal="right"/>
    </xf>
    <xf numFmtId="1" fontId="30" fillId="0" borderId="0" xfId="0" applyNumberFormat="1" applyFont="1" applyProtection="1">
      <protection hidden="1"/>
    </xf>
    <xf numFmtId="1" fontId="29" fillId="15" borderId="19" xfId="0" applyNumberFormat="1" applyFont="1" applyFill="1" applyBorder="1" applyAlignment="1" applyProtection="1">
      <alignment horizontal="right"/>
      <protection locked="0"/>
    </xf>
    <xf numFmtId="1" fontId="29" fillId="0" borderId="27" xfId="0" applyNumberFormat="1" applyFont="1" applyBorder="1" applyAlignment="1">
      <alignment horizontal="right"/>
    </xf>
    <xf numFmtId="1" fontId="29" fillId="0" borderId="40" xfId="0" applyNumberFormat="1" applyFont="1" applyBorder="1" applyProtection="1">
      <protection hidden="1"/>
    </xf>
    <xf numFmtId="1" fontId="29" fillId="15" borderId="40" xfId="0" applyNumberFormat="1" applyFont="1" applyFill="1" applyBorder="1" applyAlignment="1" applyProtection="1">
      <alignment horizontal="right"/>
      <protection locked="0"/>
    </xf>
    <xf numFmtId="1" fontId="29" fillId="0" borderId="177" xfId="0" applyNumberFormat="1" applyFont="1" applyBorder="1" applyAlignment="1" applyProtection="1">
      <alignment horizontal="center" vertical="center" wrapText="1"/>
      <protection hidden="1"/>
    </xf>
    <xf numFmtId="1" fontId="29" fillId="0" borderId="5" xfId="0" applyNumberFormat="1" applyFont="1" applyBorder="1" applyAlignment="1" applyProtection="1">
      <alignment horizontal="center" vertical="center" wrapText="1"/>
      <protection hidden="1"/>
    </xf>
    <xf numFmtId="1" fontId="29" fillId="0" borderId="140" xfId="0" applyNumberFormat="1" applyFont="1" applyBorder="1" applyAlignment="1" applyProtection="1">
      <alignment horizontal="center" vertical="center" wrapText="1"/>
      <protection hidden="1"/>
    </xf>
    <xf numFmtId="1" fontId="29" fillId="0" borderId="178" xfId="0" applyNumberFormat="1" applyFont="1" applyBorder="1" applyAlignment="1">
      <alignment horizontal="center" vertical="center"/>
    </xf>
    <xf numFmtId="1" fontId="29" fillId="0" borderId="15" xfId="0" applyNumberFormat="1" applyFont="1" applyBorder="1" applyAlignment="1" applyProtection="1">
      <alignment horizontal="left"/>
      <protection hidden="1"/>
    </xf>
    <xf numFmtId="1" fontId="29" fillId="17" borderId="15" xfId="0" applyNumberFormat="1" applyFont="1" applyFill="1" applyBorder="1" applyAlignment="1">
      <alignment horizontal="right"/>
    </xf>
    <xf numFmtId="1" fontId="29" fillId="0" borderId="19" xfId="0" applyNumberFormat="1" applyFont="1" applyBorder="1" applyAlignment="1" applyProtection="1">
      <alignment horizontal="left"/>
      <protection hidden="1"/>
    </xf>
    <xf numFmtId="1" fontId="29" fillId="17" borderId="19" xfId="0" applyNumberFormat="1" applyFont="1" applyFill="1" applyBorder="1" applyAlignment="1">
      <alignment horizontal="right"/>
    </xf>
    <xf numFmtId="1" fontId="29" fillId="0" borderId="27" xfId="0" applyNumberFormat="1" applyFont="1" applyBorder="1" applyAlignment="1" applyProtection="1">
      <alignment horizontal="left"/>
      <protection hidden="1"/>
    </xf>
    <xf numFmtId="1" fontId="29" fillId="17" borderId="27" xfId="0" applyNumberFormat="1" applyFont="1" applyFill="1" applyBorder="1" applyAlignment="1">
      <alignment horizontal="right"/>
    </xf>
    <xf numFmtId="1" fontId="29" fillId="0" borderId="5" xfId="0" applyNumberFormat="1" applyFont="1" applyBorder="1" applyAlignment="1">
      <alignment horizontal="right"/>
    </xf>
    <xf numFmtId="1" fontId="29" fillId="17" borderId="137" xfId="0" applyNumberFormat="1" applyFont="1" applyFill="1" applyBorder="1" applyAlignment="1">
      <alignment horizontal="right"/>
    </xf>
    <xf numFmtId="1" fontId="29" fillId="17" borderId="5" xfId="0" applyNumberFormat="1" applyFont="1" applyFill="1" applyBorder="1" applyAlignment="1">
      <alignment horizontal="right"/>
    </xf>
    <xf numFmtId="1" fontId="29" fillId="17" borderId="140" xfId="0" applyNumberFormat="1" applyFont="1" applyFill="1" applyBorder="1" applyAlignment="1">
      <alignment horizontal="right"/>
    </xf>
    <xf numFmtId="1" fontId="29" fillId="17" borderId="178" xfId="0" applyNumberFormat="1" applyFont="1" applyFill="1" applyBorder="1" applyAlignment="1">
      <alignment horizontal="right"/>
    </xf>
    <xf numFmtId="1" fontId="30" fillId="0" borderId="179" xfId="0" applyNumberFormat="1" applyFont="1" applyBorder="1" applyProtection="1">
      <protection hidden="1"/>
    </xf>
    <xf numFmtId="1" fontId="30" fillId="0" borderId="133" xfId="0" applyNumberFormat="1" applyFont="1" applyBorder="1"/>
    <xf numFmtId="1" fontId="29" fillId="0" borderId="0" xfId="0" applyNumberFormat="1" applyFont="1" applyAlignment="1" applyProtection="1">
      <alignment horizontal="center" vertical="center"/>
      <protection hidden="1"/>
    </xf>
    <xf numFmtId="1" fontId="29" fillId="0" borderId="45" xfId="0" applyNumberFormat="1" applyFont="1" applyBorder="1" applyAlignment="1" applyProtection="1">
      <alignment vertical="center" wrapText="1"/>
      <protection hidden="1"/>
    </xf>
    <xf numFmtId="1" fontId="29" fillId="0" borderId="46" xfId="0" applyNumberFormat="1" applyFont="1" applyBorder="1" applyAlignment="1" applyProtection="1">
      <alignment vertical="center" wrapText="1"/>
      <protection hidden="1"/>
    </xf>
    <xf numFmtId="1" fontId="29" fillId="0" borderId="40" xfId="0" applyNumberFormat="1" applyFont="1" applyBorder="1" applyAlignment="1" applyProtection="1">
      <alignment vertical="center" wrapText="1"/>
      <protection hidden="1"/>
    </xf>
    <xf numFmtId="1" fontId="36" fillId="0" borderId="0" xfId="0" applyNumberFormat="1" applyFont="1" applyProtection="1">
      <protection hidden="1"/>
    </xf>
    <xf numFmtId="1" fontId="29" fillId="0" borderId="184" xfId="0" applyNumberFormat="1" applyFont="1" applyBorder="1" applyAlignment="1" applyProtection="1">
      <alignment horizontal="center" vertical="center" wrapText="1"/>
      <protection hidden="1"/>
    </xf>
    <xf numFmtId="1" fontId="30" fillId="0" borderId="0" xfId="0" applyNumberFormat="1" applyFont="1" applyAlignment="1" applyProtection="1">
      <alignment horizontal="center" vertical="center"/>
      <protection hidden="1"/>
    </xf>
    <xf numFmtId="1" fontId="29" fillId="0" borderId="177" xfId="0" applyNumberFormat="1" applyFont="1" applyBorder="1" applyAlignment="1" applyProtection="1">
      <alignment vertical="center" wrapText="1"/>
      <protection hidden="1"/>
    </xf>
    <xf numFmtId="1" fontId="29" fillId="15" borderId="184" xfId="0" applyNumberFormat="1" applyFont="1" applyFill="1" applyBorder="1" applyAlignment="1" applyProtection="1">
      <alignment horizontal="right"/>
      <protection locked="0"/>
    </xf>
    <xf numFmtId="1" fontId="29" fillId="15" borderId="51" xfId="0" applyNumberFormat="1" applyFont="1" applyFill="1" applyBorder="1" applyAlignment="1" applyProtection="1">
      <alignment horizontal="right"/>
      <protection locked="0"/>
    </xf>
    <xf numFmtId="1" fontId="29" fillId="15" borderId="140" xfId="0" applyNumberFormat="1" applyFont="1" applyFill="1" applyBorder="1" applyAlignment="1" applyProtection="1">
      <alignment horizontal="right"/>
      <protection locked="0"/>
    </xf>
    <xf numFmtId="1" fontId="29" fillId="17" borderId="15" xfId="0" applyNumberFormat="1" applyFont="1" applyFill="1" applyBorder="1" applyAlignment="1" applyProtection="1">
      <alignment vertical="center" wrapText="1"/>
      <protection hidden="1"/>
    </xf>
    <xf numFmtId="1" fontId="29" fillId="15" borderId="110" xfId="0" applyNumberFormat="1" applyFont="1" applyFill="1" applyBorder="1" applyAlignment="1" applyProtection="1">
      <alignment horizontal="right"/>
      <protection locked="0"/>
    </xf>
    <xf numFmtId="1" fontId="29" fillId="15" borderId="98" xfId="0" applyNumberFormat="1" applyFont="1" applyFill="1" applyBorder="1" applyAlignment="1" applyProtection="1">
      <alignment horizontal="right"/>
      <protection locked="0"/>
    </xf>
    <xf numFmtId="1" fontId="29" fillId="17" borderId="19" xfId="0" applyNumberFormat="1" applyFont="1" applyFill="1" applyBorder="1" applyAlignment="1" applyProtection="1">
      <alignment vertical="center" wrapText="1"/>
      <protection hidden="1"/>
    </xf>
    <xf numFmtId="1" fontId="29" fillId="17" borderId="48" xfId="0" applyNumberFormat="1" applyFont="1" applyFill="1" applyBorder="1" applyAlignment="1" applyProtection="1">
      <alignment vertical="center" wrapText="1"/>
      <protection hidden="1"/>
    </xf>
    <xf numFmtId="1" fontId="29" fillId="15" borderId="114" xfId="0" applyNumberFormat="1" applyFont="1" applyFill="1" applyBorder="1" applyAlignment="1" applyProtection="1">
      <alignment horizontal="right"/>
      <protection locked="0"/>
    </xf>
    <xf numFmtId="1" fontId="29" fillId="15" borderId="58" xfId="0" applyNumberFormat="1" applyFont="1" applyFill="1" applyBorder="1" applyAlignment="1" applyProtection="1">
      <alignment horizontal="right"/>
      <protection locked="0"/>
    </xf>
    <xf numFmtId="1" fontId="29" fillId="20" borderId="64" xfId="0" applyNumberFormat="1" applyFont="1" applyFill="1" applyBorder="1" applyAlignment="1">
      <alignment horizontal="right"/>
    </xf>
    <xf numFmtId="1" fontId="29" fillId="31" borderId="0" xfId="0" applyNumberFormat="1" applyFont="1" applyFill="1"/>
    <xf numFmtId="1" fontId="29" fillId="17" borderId="22" xfId="0" applyNumberFormat="1" applyFont="1" applyFill="1" applyBorder="1" applyAlignment="1" applyProtection="1">
      <alignment vertical="center" wrapText="1"/>
      <protection hidden="1"/>
    </xf>
    <xf numFmtId="1" fontId="29" fillId="17" borderId="14" xfId="0" applyNumberFormat="1" applyFont="1" applyFill="1" applyBorder="1" applyAlignment="1" applyProtection="1">
      <alignment vertical="center" wrapText="1"/>
      <protection hidden="1"/>
    </xf>
    <xf numFmtId="1" fontId="29" fillId="15" borderId="100" xfId="0" applyNumberFormat="1" applyFont="1" applyFill="1" applyBorder="1" applyAlignment="1" applyProtection="1">
      <alignment horizontal="right"/>
      <protection locked="0"/>
    </xf>
    <xf numFmtId="1" fontId="29" fillId="15" borderId="54" xfId="0" applyNumberFormat="1" applyFont="1" applyFill="1" applyBorder="1" applyAlignment="1" applyProtection="1">
      <alignment horizontal="right"/>
      <protection locked="0"/>
    </xf>
    <xf numFmtId="1" fontId="29" fillId="0" borderId="5" xfId="0" applyNumberFormat="1" applyFont="1" applyBorder="1" applyAlignment="1">
      <alignment horizontal="center" vertical="center" wrapText="1"/>
    </xf>
    <xf numFmtId="1" fontId="29" fillId="0" borderId="46" xfId="0" applyNumberFormat="1" applyFont="1" applyBorder="1" applyAlignment="1" applyProtection="1">
      <alignment horizontal="left"/>
      <protection hidden="1"/>
    </xf>
    <xf numFmtId="1" fontId="29" fillId="0" borderId="87" xfId="0" quotePrefix="1" applyNumberFormat="1" applyFont="1" applyBorder="1" applyAlignment="1" applyProtection="1">
      <alignment horizontal="left"/>
      <protection hidden="1"/>
    </xf>
    <xf numFmtId="1" fontId="29" fillId="0" borderId="186" xfId="0" applyNumberFormat="1" applyFont="1" applyBorder="1" applyAlignment="1" applyProtection="1">
      <alignment horizontal="center" vertical="center" wrapText="1"/>
      <protection hidden="1"/>
    </xf>
    <xf numFmtId="1" fontId="29" fillId="0" borderId="15" xfId="0" applyNumberFormat="1" applyFont="1" applyBorder="1" applyAlignment="1">
      <alignment horizontal="center" vertical="center" wrapText="1"/>
    </xf>
    <xf numFmtId="1" fontId="29" fillId="0" borderId="19" xfId="0" applyNumberFormat="1" applyFont="1" applyBorder="1" applyAlignment="1">
      <alignment horizontal="center" vertical="center"/>
    </xf>
    <xf numFmtId="1" fontId="29" fillId="22" borderId="0" xfId="0" applyNumberFormat="1" applyFont="1" applyFill="1" applyProtection="1">
      <protection hidden="1"/>
    </xf>
    <xf numFmtId="1" fontId="29" fillId="0" borderId="40" xfId="0" applyNumberFormat="1" applyFont="1" applyBorder="1" applyAlignment="1">
      <alignment horizontal="center" vertical="center"/>
    </xf>
    <xf numFmtId="1" fontId="29" fillId="0" borderId="6" xfId="0" applyNumberFormat="1" applyFont="1" applyBorder="1" applyAlignment="1">
      <alignment horizontal="center" wrapText="1"/>
    </xf>
    <xf numFmtId="1" fontId="29" fillId="0" borderId="53" xfId="0" applyNumberFormat="1" applyFont="1" applyBorder="1" applyAlignment="1">
      <alignment horizontal="right"/>
    </xf>
    <xf numFmtId="1" fontId="29" fillId="0" borderId="52" xfId="0" applyNumberFormat="1" applyFont="1" applyBorder="1" applyAlignment="1">
      <alignment horizontal="right" wrapText="1"/>
    </xf>
    <xf numFmtId="1" fontId="29" fillId="0" borderId="141" xfId="0" applyNumberFormat="1" applyFont="1" applyBorder="1" applyAlignment="1" applyProtection="1">
      <alignment horizontal="center" vertical="center" wrapText="1"/>
      <protection hidden="1"/>
    </xf>
    <xf numFmtId="0" fontId="29" fillId="0" borderId="15" xfId="0" applyFont="1" applyBorder="1"/>
    <xf numFmtId="0" fontId="29" fillId="28" borderId="15" xfId="0" applyFont="1" applyFill="1" applyBorder="1" applyAlignment="1">
      <alignment horizontal="right"/>
    </xf>
    <xf numFmtId="0" fontId="29" fillId="23" borderId="41" xfId="0" applyFont="1" applyFill="1" applyBorder="1" applyAlignment="1" applyProtection="1">
      <alignment horizontal="right"/>
      <protection locked="0"/>
    </xf>
    <xf numFmtId="1" fontId="29" fillId="0" borderId="0" xfId="0" applyNumberFormat="1" applyFont="1" applyProtection="1">
      <protection locked="0"/>
    </xf>
    <xf numFmtId="0" fontId="29" fillId="0" borderId="19" xfId="0" applyFont="1" applyBorder="1"/>
    <xf numFmtId="0" fontId="29" fillId="28" borderId="19" xfId="0" applyFont="1" applyFill="1" applyBorder="1" applyAlignment="1">
      <alignment horizontal="right"/>
    </xf>
    <xf numFmtId="0" fontId="29" fillId="23" borderId="42" xfId="0" applyFont="1" applyFill="1" applyBorder="1" applyAlignment="1" applyProtection="1">
      <alignment horizontal="right"/>
      <protection locked="0"/>
    </xf>
    <xf numFmtId="0" fontId="29" fillId="0" borderId="40" xfId="0" applyFont="1" applyBorder="1"/>
    <xf numFmtId="0" fontId="29" fillId="28" borderId="40" xfId="0" applyFont="1" applyFill="1" applyBorder="1" applyAlignment="1">
      <alignment horizontal="right"/>
    </xf>
    <xf numFmtId="0" fontId="29" fillId="23" borderId="72" xfId="0" applyFont="1" applyFill="1" applyBorder="1" applyAlignment="1" applyProtection="1">
      <alignment horizontal="right"/>
      <protection locked="0"/>
    </xf>
    <xf numFmtId="0" fontId="29" fillId="23" borderId="85" xfId="0" applyFont="1" applyFill="1" applyBorder="1" applyAlignment="1" applyProtection="1">
      <alignment horizontal="right"/>
      <protection locked="0"/>
    </xf>
    <xf numFmtId="0" fontId="29" fillId="23" borderId="71" xfId="0" applyFont="1" applyFill="1" applyBorder="1" applyAlignment="1" applyProtection="1">
      <alignment horizontal="right"/>
      <protection locked="0"/>
    </xf>
    <xf numFmtId="0" fontId="29" fillId="0" borderId="137" xfId="0" applyFont="1" applyBorder="1" applyAlignment="1">
      <alignment horizontal="center"/>
    </xf>
    <xf numFmtId="0" fontId="29" fillId="0" borderId="137" xfId="0" applyFont="1" applyBorder="1" applyAlignment="1">
      <alignment horizontal="right"/>
    </xf>
    <xf numFmtId="0" fontId="29" fillId="0" borderId="5" xfId="0" applyFont="1" applyBorder="1" applyAlignment="1">
      <alignment horizontal="right"/>
    </xf>
    <xf numFmtId="0" fontId="29" fillId="0" borderId="140" xfId="0" applyFont="1" applyBorder="1" applyAlignment="1">
      <alignment horizontal="right"/>
    </xf>
    <xf numFmtId="0" fontId="29" fillId="0" borderId="141" xfId="0" applyFont="1" applyBorder="1" applyAlignment="1">
      <alignment horizontal="right"/>
    </xf>
    <xf numFmtId="0" fontId="29" fillId="0" borderId="0" xfId="0" applyFont="1" applyAlignment="1">
      <alignment horizontal="right"/>
    </xf>
    <xf numFmtId="0" fontId="29" fillId="0" borderId="51" xfId="0" applyFont="1" applyBorder="1" applyAlignment="1">
      <alignment horizontal="center" vertical="center" wrapText="1"/>
    </xf>
    <xf numFmtId="0" fontId="29" fillId="0" borderId="178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23" borderId="15" xfId="0" applyFont="1" applyFill="1" applyBorder="1" applyAlignment="1" applyProtection="1">
      <alignment horizontal="right" vertical="center"/>
      <protection locked="0"/>
    </xf>
    <xf numFmtId="0" fontId="29" fillId="23" borderId="41" xfId="0" applyFont="1" applyFill="1" applyBorder="1" applyAlignment="1" applyProtection="1">
      <alignment horizontal="right" vertical="center"/>
      <protection locked="0"/>
    </xf>
    <xf numFmtId="0" fontId="29" fillId="23" borderId="33" xfId="0" applyFont="1" applyFill="1" applyBorder="1" applyAlignment="1" applyProtection="1">
      <alignment horizontal="right" vertical="center"/>
      <protection locked="0"/>
    </xf>
    <xf numFmtId="0" fontId="29" fillId="23" borderId="69" xfId="0" applyFont="1" applyFill="1" applyBorder="1" applyAlignment="1" applyProtection="1">
      <alignment horizontal="right" vertical="center"/>
      <protection locked="0"/>
    </xf>
    <xf numFmtId="0" fontId="29" fillId="23" borderId="12" xfId="0" applyFont="1" applyFill="1" applyBorder="1" applyAlignment="1" applyProtection="1">
      <alignment horizontal="right" vertical="center"/>
      <protection locked="0"/>
    </xf>
    <xf numFmtId="0" fontId="29" fillId="23" borderId="13" xfId="0" applyFont="1" applyFill="1" applyBorder="1" applyAlignment="1" applyProtection="1">
      <alignment horizontal="right" vertical="center"/>
      <protection locked="0"/>
    </xf>
    <xf numFmtId="0" fontId="29" fillId="0" borderId="19" xfId="0" applyFont="1" applyBorder="1" applyAlignment="1">
      <alignment horizontal="center" vertical="center"/>
    </xf>
    <xf numFmtId="0" fontId="29" fillId="23" borderId="19" xfId="0" applyFont="1" applyFill="1" applyBorder="1" applyAlignment="1" applyProtection="1">
      <alignment horizontal="right" vertical="center"/>
      <protection locked="0"/>
    </xf>
    <xf numFmtId="0" fontId="29" fillId="23" borderId="42" xfId="0" applyFont="1" applyFill="1" applyBorder="1" applyAlignment="1" applyProtection="1">
      <alignment horizontal="right" vertical="center"/>
      <protection locked="0"/>
    </xf>
    <xf numFmtId="0" fontId="29" fillId="23" borderId="36" xfId="0" applyFont="1" applyFill="1" applyBorder="1" applyAlignment="1" applyProtection="1">
      <alignment horizontal="right" vertical="center"/>
      <protection locked="0"/>
    </xf>
    <xf numFmtId="0" fontId="29" fillId="23" borderId="64" xfId="0" applyFont="1" applyFill="1" applyBorder="1" applyAlignment="1" applyProtection="1">
      <alignment horizontal="right" vertical="center"/>
      <protection locked="0"/>
    </xf>
    <xf numFmtId="0" fontId="29" fillId="23" borderId="8" xfId="0" applyFont="1" applyFill="1" applyBorder="1" applyAlignment="1" applyProtection="1">
      <alignment horizontal="right" vertical="center"/>
      <protection locked="0"/>
    </xf>
    <xf numFmtId="0" fontId="29" fillId="23" borderId="22" xfId="0" applyFont="1" applyFill="1" applyBorder="1" applyAlignment="1" applyProtection="1">
      <alignment horizontal="right" vertical="center"/>
      <protection locked="0"/>
    </xf>
    <xf numFmtId="0" fontId="29" fillId="0" borderId="6" xfId="0" applyFont="1" applyBorder="1" applyAlignment="1">
      <alignment horizontal="center" vertical="center"/>
    </xf>
    <xf numFmtId="0" fontId="29" fillId="23" borderId="6" xfId="0" applyFont="1" applyFill="1" applyBorder="1" applyAlignment="1" applyProtection="1">
      <alignment horizontal="right" vertical="center"/>
      <protection locked="0"/>
    </xf>
    <xf numFmtId="0" fontId="29" fillId="23" borderId="52" xfId="0" applyFont="1" applyFill="1" applyBorder="1" applyAlignment="1" applyProtection="1">
      <alignment horizontal="right" vertical="center"/>
      <protection locked="0"/>
    </xf>
    <xf numFmtId="0" fontId="29" fillId="23" borderId="100" xfId="0" applyFont="1" applyFill="1" applyBorder="1" applyAlignment="1" applyProtection="1">
      <alignment horizontal="right" vertical="center"/>
      <protection locked="0"/>
    </xf>
    <xf numFmtId="0" fontId="29" fillId="23" borderId="54" xfId="0" applyFont="1" applyFill="1" applyBorder="1" applyAlignment="1" applyProtection="1">
      <alignment horizontal="right" vertical="center"/>
      <protection locked="0"/>
    </xf>
    <xf numFmtId="0" fontId="29" fillId="23" borderId="89" xfId="0" applyFont="1" applyFill="1" applyBorder="1" applyAlignment="1" applyProtection="1">
      <alignment horizontal="right" vertical="center"/>
      <protection locked="0"/>
    </xf>
    <xf numFmtId="0" fontId="29" fillId="23" borderId="14" xfId="0" applyFont="1" applyFill="1" applyBorder="1" applyAlignment="1" applyProtection="1">
      <alignment horizontal="right" vertical="center"/>
      <protection locked="0"/>
    </xf>
    <xf numFmtId="0" fontId="29" fillId="0" borderId="137" xfId="0" applyFont="1" applyBorder="1" applyAlignment="1">
      <alignment horizontal="center" vertical="center" wrapText="1"/>
    </xf>
    <xf numFmtId="0" fontId="29" fillId="0" borderId="137" xfId="0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29" fillId="0" borderId="184" xfId="0" applyFont="1" applyBorder="1" applyAlignment="1">
      <alignment horizontal="right" vertical="center" wrapText="1"/>
    </xf>
    <xf numFmtId="0" fontId="29" fillId="0" borderId="51" xfId="0" applyFont="1" applyBorder="1" applyAlignment="1">
      <alignment horizontal="right" vertical="center" wrapText="1"/>
    </xf>
    <xf numFmtId="0" fontId="29" fillId="0" borderId="140" xfId="0" applyFont="1" applyBorder="1" applyAlignment="1">
      <alignment horizontal="right" vertical="center"/>
    </xf>
    <xf numFmtId="0" fontId="29" fillId="0" borderId="184" xfId="0" applyFont="1" applyBorder="1" applyAlignment="1">
      <alignment horizontal="right" vertical="center"/>
    </xf>
    <xf numFmtId="0" fontId="29" fillId="0" borderId="51" xfId="0" applyFont="1" applyBorder="1" applyAlignment="1">
      <alignment horizontal="right" vertical="center"/>
    </xf>
    <xf numFmtId="0" fontId="29" fillId="0" borderId="178" xfId="0" applyFont="1" applyBorder="1" applyAlignment="1">
      <alignment horizontal="right" vertical="center"/>
    </xf>
    <xf numFmtId="0" fontId="29" fillId="20" borderId="137" xfId="0" applyFont="1" applyFill="1" applyBorder="1" applyAlignment="1">
      <alignment horizontal="right" vertical="center"/>
    </xf>
    <xf numFmtId="0" fontId="29" fillId="23" borderId="5" xfId="0" applyFont="1" applyFill="1" applyBorder="1" applyAlignment="1" applyProtection="1">
      <alignment horizontal="right" vertical="center"/>
      <protection locked="0"/>
    </xf>
    <xf numFmtId="0" fontId="29" fillId="23" borderId="184" xfId="0" applyFont="1" applyFill="1" applyBorder="1" applyAlignment="1" applyProtection="1">
      <alignment horizontal="right" vertical="center"/>
      <protection locked="0"/>
    </xf>
    <xf numFmtId="0" fontId="29" fillId="20" borderId="51" xfId="0" applyFont="1" applyFill="1" applyBorder="1" applyAlignment="1">
      <alignment horizontal="right" vertical="center" wrapText="1"/>
    </xf>
    <xf numFmtId="0" fontId="29" fillId="23" borderId="140" xfId="0" applyFont="1" applyFill="1" applyBorder="1" applyAlignment="1" applyProtection="1">
      <alignment horizontal="right" vertical="center"/>
      <protection locked="0"/>
    </xf>
    <xf numFmtId="0" fontId="29" fillId="23" borderId="51" xfId="0" applyFont="1" applyFill="1" applyBorder="1" applyAlignment="1" applyProtection="1">
      <alignment horizontal="right" vertical="center"/>
      <protection locked="0"/>
    </xf>
    <xf numFmtId="0" fontId="29" fillId="23" borderId="178" xfId="0" applyFont="1" applyFill="1" applyBorder="1" applyAlignment="1" applyProtection="1">
      <alignment horizontal="right" vertical="center"/>
      <protection locked="0"/>
    </xf>
    <xf numFmtId="1" fontId="36" fillId="0" borderId="171" xfId="0" applyNumberFormat="1" applyFont="1" applyBorder="1" applyProtection="1">
      <protection hidden="1"/>
    </xf>
    <xf numFmtId="1" fontId="37" fillId="0" borderId="0" xfId="0" applyNumberFormat="1" applyFont="1" applyProtection="1">
      <protection hidden="1"/>
    </xf>
    <xf numFmtId="1" fontId="29" fillId="0" borderId="172" xfId="0" applyNumberFormat="1" applyFont="1" applyBorder="1" applyAlignment="1" applyProtection="1">
      <alignment horizontal="center" vertical="center" wrapText="1"/>
      <protection hidden="1"/>
    </xf>
    <xf numFmtId="1" fontId="29" fillId="0" borderId="0" xfId="0" applyNumberFormat="1" applyFont="1" applyAlignment="1" applyProtection="1">
      <alignment horizontal="center" vertical="center" wrapText="1"/>
      <protection hidden="1"/>
    </xf>
    <xf numFmtId="1" fontId="29" fillId="0" borderId="0" xfId="0" applyNumberFormat="1" applyFont="1" applyAlignment="1" applyProtection="1">
      <alignment wrapText="1"/>
      <protection hidden="1"/>
    </xf>
    <xf numFmtId="1" fontId="29" fillId="0" borderId="45" xfId="0" applyNumberFormat="1" applyFont="1" applyBorder="1" applyAlignment="1">
      <alignment wrapText="1"/>
    </xf>
    <xf numFmtId="1" fontId="29" fillId="0" borderId="0" xfId="0" applyNumberFormat="1" applyFont="1" applyAlignment="1">
      <alignment horizontal="right"/>
    </xf>
    <xf numFmtId="1" fontId="29" fillId="0" borderId="48" xfId="0" applyNumberFormat="1" applyFont="1" applyBorder="1" applyAlignment="1" applyProtection="1">
      <alignment wrapText="1"/>
      <protection hidden="1"/>
    </xf>
    <xf numFmtId="1" fontId="30" fillId="0" borderId="0" xfId="0" applyNumberFormat="1" applyFont="1" applyAlignment="1">
      <alignment horizontal="right"/>
    </xf>
    <xf numFmtId="1" fontId="29" fillId="0" borderId="46" xfId="0" applyNumberFormat="1" applyFont="1" applyBorder="1" applyAlignment="1">
      <alignment wrapText="1"/>
    </xf>
    <xf numFmtId="1" fontId="29" fillId="0" borderId="49" xfId="0" applyNumberFormat="1" applyFont="1" applyBorder="1" applyAlignment="1">
      <alignment wrapText="1"/>
    </xf>
    <xf numFmtId="1" fontId="29" fillId="15" borderId="27" xfId="0" applyNumberFormat="1" applyFont="1" applyFill="1" applyBorder="1" applyAlignment="1" applyProtection="1">
      <alignment horizontal="right"/>
      <protection locked="0"/>
    </xf>
    <xf numFmtId="1" fontId="29" fillId="0" borderId="49" xfId="0" applyNumberFormat="1" applyFont="1" applyBorder="1" applyAlignment="1">
      <alignment horizontal="center" wrapText="1"/>
    </xf>
    <xf numFmtId="1" fontId="29" fillId="0" borderId="172" xfId="0" applyNumberFormat="1" applyFont="1" applyBorder="1" applyProtection="1">
      <protection hidden="1"/>
    </xf>
    <xf numFmtId="1" fontId="29" fillId="27" borderId="137" xfId="0" applyNumberFormat="1" applyFont="1" applyFill="1" applyBorder="1"/>
    <xf numFmtId="1" fontId="29" fillId="27" borderId="0" xfId="0" applyNumberFormat="1" applyFont="1" applyFill="1"/>
    <xf numFmtId="1" fontId="29" fillId="21" borderId="0" xfId="0" applyNumberFormat="1" applyFont="1" applyFill="1"/>
    <xf numFmtId="1" fontId="35" fillId="17" borderId="0" xfId="124" applyNumberFormat="1" applyFont="1" applyFill="1" applyAlignment="1">
      <alignment horizontal="center" vertical="center" wrapText="1"/>
    </xf>
    <xf numFmtId="1" fontId="30" fillId="17" borderId="0" xfId="124" applyNumberFormat="1" applyFont="1" applyFill="1" applyAlignment="1">
      <alignment vertical="center" wrapText="1"/>
    </xf>
    <xf numFmtId="1" fontId="30" fillId="0" borderId="0" xfId="124" applyNumberFormat="1" applyFont="1" applyAlignment="1">
      <alignment vertical="center" wrapText="1"/>
    </xf>
    <xf numFmtId="1" fontId="29" fillId="17" borderId="0" xfId="0" applyNumberFormat="1" applyFont="1" applyFill="1"/>
    <xf numFmtId="1" fontId="30" fillId="17" borderId="0" xfId="0" applyNumberFormat="1" applyFont="1" applyFill="1" applyAlignment="1">
      <alignment vertical="center"/>
    </xf>
    <xf numFmtId="1" fontId="29" fillId="0" borderId="0" xfId="124" quotePrefix="1" applyNumberFormat="1" applyFont="1" applyAlignment="1">
      <alignment vertical="center" wrapText="1"/>
    </xf>
    <xf numFmtId="1" fontId="29" fillId="0" borderId="0" xfId="124" quotePrefix="1" applyNumberFormat="1" applyFont="1" applyAlignment="1">
      <alignment horizontal="center" vertical="center" wrapText="1"/>
    </xf>
    <xf numFmtId="1" fontId="29" fillId="0" borderId="0" xfId="0" applyNumberFormat="1" applyFont="1" applyAlignment="1">
      <alignment vertical="center" wrapText="1"/>
    </xf>
    <xf numFmtId="1" fontId="29" fillId="0" borderId="177" xfId="124" applyNumberFormat="1" applyFont="1" applyBorder="1" applyAlignment="1">
      <alignment horizontal="center" vertical="center" wrapText="1"/>
    </xf>
    <xf numFmtId="1" fontId="29" fillId="0" borderId="178" xfId="124" applyNumberFormat="1" applyFont="1" applyBorder="1" applyAlignment="1">
      <alignment horizontal="center" vertical="center" wrapText="1"/>
    </xf>
    <xf numFmtId="1" fontId="29" fillId="0" borderId="0" xfId="124" applyNumberFormat="1" applyFont="1" applyAlignment="1">
      <alignment vertical="center" wrapText="1"/>
    </xf>
    <xf numFmtId="1" fontId="29" fillId="0" borderId="0" xfId="124" applyNumberFormat="1" applyFont="1" applyAlignment="1">
      <alignment horizontal="center" vertical="center" wrapText="1"/>
    </xf>
    <xf numFmtId="1" fontId="29" fillId="0" borderId="14" xfId="124" applyNumberFormat="1" applyFont="1" applyBorder="1" applyAlignment="1">
      <alignment horizontal="center" vertical="center"/>
    </xf>
    <xf numFmtId="1" fontId="29" fillId="0" borderId="14" xfId="126" applyNumberFormat="1" applyFont="1" applyBorder="1" applyAlignment="1" applyProtection="1">
      <alignment horizontal="center" vertical="center" wrapText="1"/>
      <protection hidden="1"/>
    </xf>
    <xf numFmtId="1" fontId="29" fillId="0" borderId="5" xfId="124" applyNumberFormat="1" applyFont="1" applyBorder="1" applyAlignment="1">
      <alignment horizontal="center" vertical="center" wrapText="1"/>
    </xf>
    <xf numFmtId="1" fontId="29" fillId="0" borderId="141" xfId="124" applyNumberFormat="1" applyFont="1" applyBorder="1" applyAlignment="1">
      <alignment horizontal="center" vertical="center" wrapText="1"/>
    </xf>
    <xf numFmtId="1" fontId="29" fillId="0" borderId="10" xfId="124" applyNumberFormat="1" applyFont="1" applyBorder="1" applyAlignment="1">
      <alignment horizontal="center" vertical="center" wrapText="1"/>
    </xf>
    <xf numFmtId="1" fontId="29" fillId="0" borderId="51" xfId="0" applyNumberFormat="1" applyFont="1" applyBorder="1" applyAlignment="1">
      <alignment horizontal="center" vertical="center"/>
    </xf>
    <xf numFmtId="1" fontId="29" fillId="0" borderId="14" xfId="124" applyNumberFormat="1" applyFont="1" applyBorder="1" applyAlignment="1">
      <alignment horizontal="right" wrapText="1"/>
    </xf>
    <xf numFmtId="1" fontId="29" fillId="0" borderId="52" xfId="124" applyNumberFormat="1" applyFont="1" applyBorder="1" applyAlignment="1">
      <alignment horizontal="right" wrapText="1"/>
    </xf>
    <xf numFmtId="1" fontId="29" fillId="0" borderId="14" xfId="124" applyNumberFormat="1" applyFont="1" applyBorder="1" applyAlignment="1">
      <alignment horizontal="right"/>
    </xf>
    <xf numFmtId="1" fontId="29" fillId="15" borderId="52" xfId="124" applyNumberFormat="1" applyFont="1" applyFill="1" applyBorder="1" applyAlignment="1" applyProtection="1">
      <alignment horizontal="right"/>
      <protection locked="0"/>
    </xf>
    <xf numFmtId="1" fontId="29" fillId="15" borderId="14" xfId="124" applyNumberFormat="1" applyFont="1" applyFill="1" applyBorder="1" applyAlignment="1" applyProtection="1">
      <alignment horizontal="right"/>
      <protection locked="0"/>
    </xf>
    <xf numFmtId="1" fontId="29" fillId="15" borderId="53" xfId="124" applyNumberFormat="1" applyFont="1" applyFill="1" applyBorder="1" applyAlignment="1" applyProtection="1">
      <alignment horizontal="right"/>
      <protection locked="0"/>
    </xf>
    <xf numFmtId="1" fontId="29" fillId="15" borderId="94" xfId="124" applyNumberFormat="1" applyFont="1" applyFill="1" applyBorder="1" applyAlignment="1" applyProtection="1">
      <alignment horizontal="right"/>
      <protection locked="0"/>
    </xf>
    <xf numFmtId="1" fontId="29" fillId="15" borderId="5" xfId="124" applyNumberFormat="1" applyFont="1" applyFill="1" applyBorder="1" applyAlignment="1" applyProtection="1">
      <alignment horizontal="right"/>
      <protection locked="0"/>
    </xf>
    <xf numFmtId="1" fontId="29" fillId="15" borderId="141" xfId="124" applyNumberFormat="1" applyFont="1" applyFill="1" applyBorder="1" applyAlignment="1" applyProtection="1">
      <alignment horizontal="right"/>
      <protection locked="0"/>
    </xf>
    <xf numFmtId="1" fontId="29" fillId="15" borderId="55" xfId="124" applyNumberFormat="1" applyFont="1" applyFill="1" applyBorder="1" applyAlignment="1" applyProtection="1">
      <alignment horizontal="right"/>
      <protection locked="0"/>
    </xf>
    <xf numFmtId="1" fontId="29" fillId="15" borderId="4" xfId="124" applyNumberFormat="1" applyFont="1" applyFill="1" applyBorder="1" applyAlignment="1" applyProtection="1">
      <alignment horizontal="right"/>
      <protection locked="0"/>
    </xf>
    <xf numFmtId="1" fontId="29" fillId="15" borderId="177" xfId="124" applyNumberFormat="1" applyFont="1" applyFill="1" applyBorder="1" applyAlignment="1" applyProtection="1">
      <alignment horizontal="right"/>
      <protection locked="0"/>
    </xf>
    <xf numFmtId="1" fontId="29" fillId="15" borderId="51" xfId="124" applyNumberFormat="1" applyFont="1" applyFill="1" applyBorder="1" applyAlignment="1" applyProtection="1">
      <alignment horizontal="right"/>
      <protection locked="0"/>
    </xf>
    <xf numFmtId="1" fontId="29" fillId="15" borderId="140" xfId="124" applyNumberFormat="1" applyFont="1" applyFill="1" applyBorder="1" applyAlignment="1" applyProtection="1">
      <alignment horizontal="right"/>
      <protection locked="0"/>
    </xf>
    <xf numFmtId="1" fontId="29" fillId="15" borderId="187" xfId="124" applyNumberFormat="1" applyFont="1" applyFill="1" applyBorder="1" applyAlignment="1" applyProtection="1">
      <alignment horizontal="right"/>
      <protection locked="0"/>
    </xf>
    <xf numFmtId="1" fontId="29" fillId="0" borderId="46" xfId="124" applyNumberFormat="1" applyFont="1" applyBorder="1"/>
    <xf numFmtId="1" fontId="29" fillId="0" borderId="15" xfId="124" applyNumberFormat="1" applyFont="1" applyBorder="1" applyAlignment="1">
      <alignment horizontal="right"/>
    </xf>
    <xf numFmtId="1" fontId="29" fillId="0" borderId="41" xfId="124" applyNumberFormat="1" applyFont="1" applyBorder="1" applyAlignment="1">
      <alignment horizontal="right" wrapText="1"/>
    </xf>
    <xf numFmtId="1" fontId="29" fillId="0" borderId="13" xfId="124" applyNumberFormat="1" applyFont="1" applyBorder="1" applyAlignment="1">
      <alignment horizontal="right"/>
    </xf>
    <xf numFmtId="1" fontId="29" fillId="15" borderId="41" xfId="124" applyNumberFormat="1" applyFont="1" applyFill="1" applyBorder="1" applyAlignment="1" applyProtection="1">
      <alignment horizontal="right"/>
      <protection locked="0"/>
    </xf>
    <xf numFmtId="1" fontId="29" fillId="15" borderId="13" xfId="124" applyNumberFormat="1" applyFont="1" applyFill="1" applyBorder="1" applyAlignment="1" applyProtection="1">
      <alignment horizontal="right"/>
      <protection locked="0"/>
    </xf>
    <xf numFmtId="1" fontId="29" fillId="15" borderId="56" xfId="124" applyNumberFormat="1" applyFont="1" applyFill="1" applyBorder="1" applyAlignment="1" applyProtection="1">
      <alignment horizontal="right"/>
      <protection locked="0"/>
    </xf>
    <xf numFmtId="1" fontId="29" fillId="15" borderId="91" xfId="124" applyNumberFormat="1" applyFont="1" applyFill="1" applyBorder="1" applyAlignment="1" applyProtection="1">
      <alignment horizontal="right"/>
      <protection locked="0"/>
    </xf>
    <xf numFmtId="1" fontId="29" fillId="15" borderId="11" xfId="124" applyNumberFormat="1" applyFont="1" applyFill="1" applyBorder="1" applyAlignment="1" applyProtection="1">
      <alignment horizontal="right"/>
      <protection locked="0"/>
    </xf>
    <xf numFmtId="1" fontId="29" fillId="15" borderId="82" xfId="124" applyNumberFormat="1" applyFont="1" applyFill="1" applyBorder="1" applyAlignment="1" applyProtection="1">
      <alignment horizontal="right"/>
      <protection locked="0"/>
    </xf>
    <xf numFmtId="1" fontId="29" fillId="15" borderId="45" xfId="124" applyNumberFormat="1" applyFont="1" applyFill="1" applyBorder="1" applyAlignment="1" applyProtection="1">
      <alignment horizontal="right"/>
      <protection locked="0"/>
    </xf>
    <xf numFmtId="1" fontId="29" fillId="15" borderId="69" xfId="124" applyNumberFormat="1" applyFont="1" applyFill="1" applyBorder="1" applyAlignment="1" applyProtection="1">
      <alignment horizontal="right"/>
      <protection locked="0"/>
    </xf>
    <xf numFmtId="1" fontId="29" fillId="15" borderId="12" xfId="124" applyNumberFormat="1" applyFont="1" applyFill="1" applyBorder="1" applyAlignment="1" applyProtection="1">
      <alignment horizontal="right"/>
      <protection locked="0"/>
    </xf>
    <xf numFmtId="1" fontId="29" fillId="0" borderId="59" xfId="124" applyNumberFormat="1" applyFont="1" applyBorder="1"/>
    <xf numFmtId="1" fontId="29" fillId="0" borderId="27" xfId="124" applyNumberFormat="1" applyFont="1" applyBorder="1" applyAlignment="1">
      <alignment horizontal="right"/>
    </xf>
    <xf numFmtId="1" fontId="29" fillId="15" borderId="72" xfId="124" applyNumberFormat="1" applyFont="1" applyFill="1" applyBorder="1" applyAlignment="1" applyProtection="1">
      <alignment horizontal="right"/>
      <protection locked="0"/>
    </xf>
    <xf numFmtId="1" fontId="29" fillId="15" borderId="86" xfId="124" applyNumberFormat="1" applyFont="1" applyFill="1" applyBorder="1" applyAlignment="1" applyProtection="1">
      <alignment horizontal="right"/>
      <protection locked="0"/>
    </xf>
    <xf numFmtId="1" fontId="29" fillId="15" borderId="71" xfId="124" applyNumberFormat="1" applyFont="1" applyFill="1" applyBorder="1" applyAlignment="1" applyProtection="1">
      <alignment horizontal="right"/>
      <protection locked="0"/>
    </xf>
    <xf numFmtId="1" fontId="29" fillId="15" borderId="81" xfId="124" applyNumberFormat="1" applyFont="1" applyFill="1" applyBorder="1" applyAlignment="1" applyProtection="1">
      <alignment horizontal="right"/>
      <protection locked="0"/>
    </xf>
    <xf numFmtId="1" fontId="29" fillId="15" borderId="70" xfId="124" applyNumberFormat="1" applyFont="1" applyFill="1" applyBorder="1" applyAlignment="1" applyProtection="1">
      <alignment horizontal="right"/>
      <protection locked="0"/>
    </xf>
    <xf numFmtId="1" fontId="29" fillId="15" borderId="88" xfId="124" applyNumberFormat="1" applyFont="1" applyFill="1" applyBorder="1" applyAlignment="1" applyProtection="1">
      <alignment horizontal="right"/>
      <protection locked="0"/>
    </xf>
    <xf numFmtId="1" fontId="29" fillId="15" borderId="49" xfId="124" applyNumberFormat="1" applyFont="1" applyFill="1" applyBorder="1" applyAlignment="1" applyProtection="1">
      <alignment horizontal="right"/>
      <protection locked="0"/>
    </xf>
    <xf numFmtId="1" fontId="29" fillId="15" borderId="95" xfId="124" applyNumberFormat="1" applyFont="1" applyFill="1" applyBorder="1" applyAlignment="1" applyProtection="1">
      <alignment horizontal="right"/>
      <protection locked="0"/>
    </xf>
    <xf numFmtId="1" fontId="29" fillId="15" borderId="85" xfId="124" applyNumberFormat="1" applyFont="1" applyFill="1" applyBorder="1" applyAlignment="1" applyProtection="1">
      <alignment horizontal="right"/>
      <protection locked="0"/>
    </xf>
    <xf numFmtId="1" fontId="29" fillId="0" borderId="177" xfId="124" applyNumberFormat="1" applyFont="1" applyBorder="1" applyAlignment="1">
      <alignment horizontal="center"/>
    </xf>
    <xf numFmtId="1" fontId="29" fillId="0" borderId="137" xfId="124" applyNumberFormat="1" applyFont="1" applyBorder="1" applyAlignment="1">
      <alignment horizontal="right"/>
    </xf>
    <xf numFmtId="1" fontId="29" fillId="0" borderId="5" xfId="124" applyNumberFormat="1" applyFont="1" applyBorder="1" applyAlignment="1">
      <alignment horizontal="right"/>
    </xf>
    <xf numFmtId="1" fontId="29" fillId="0" borderId="187" xfId="124" applyNumberFormat="1" applyFont="1" applyBorder="1" applyAlignment="1">
      <alignment horizontal="right"/>
    </xf>
    <xf numFmtId="1" fontId="29" fillId="0" borderId="141" xfId="124" applyNumberFormat="1" applyFont="1" applyBorder="1" applyAlignment="1">
      <alignment horizontal="right"/>
    </xf>
    <xf numFmtId="1" fontId="29" fillId="0" borderId="10" xfId="124" applyNumberFormat="1" applyFont="1" applyBorder="1" applyAlignment="1">
      <alignment horizontal="right"/>
    </xf>
    <xf numFmtId="1" fontId="29" fillId="0" borderId="177" xfId="124" applyNumberFormat="1" applyFont="1" applyBorder="1" applyAlignment="1">
      <alignment horizontal="right"/>
    </xf>
    <xf numFmtId="1" fontId="29" fillId="0" borderId="51" xfId="124" applyNumberFormat="1" applyFont="1" applyBorder="1" applyAlignment="1">
      <alignment horizontal="right"/>
    </xf>
    <xf numFmtId="1" fontId="29" fillId="0" borderId="140" xfId="124" applyNumberFormat="1" applyFont="1" applyBorder="1" applyAlignment="1">
      <alignment horizontal="right"/>
    </xf>
    <xf numFmtId="1" fontId="29" fillId="0" borderId="47" xfId="124" applyNumberFormat="1" applyFont="1" applyBorder="1"/>
    <xf numFmtId="1" fontId="29" fillId="0" borderId="169" xfId="124" applyNumberFormat="1" applyFont="1" applyBorder="1" applyAlignment="1">
      <alignment horizontal="right"/>
    </xf>
    <xf numFmtId="1" fontId="29" fillId="0" borderId="48" xfId="124" applyNumberFormat="1" applyFont="1" applyBorder="1" applyAlignment="1">
      <alignment horizontal="right"/>
    </xf>
    <xf numFmtId="1" fontId="29" fillId="0" borderId="0" xfId="124" applyNumberFormat="1" applyFont="1"/>
    <xf numFmtId="1" fontId="29" fillId="0" borderId="183" xfId="124" applyNumberFormat="1" applyFont="1" applyBorder="1" applyAlignment="1">
      <alignment horizontal="right"/>
    </xf>
    <xf numFmtId="1" fontId="29" fillId="0" borderId="45" xfId="124" applyNumberFormat="1" applyFont="1" applyBorder="1" applyAlignment="1">
      <alignment horizontal="right"/>
    </xf>
    <xf numFmtId="1" fontId="29" fillId="0" borderId="172" xfId="124" applyNumberFormat="1" applyFont="1" applyBorder="1" applyAlignment="1">
      <alignment horizontal="right"/>
    </xf>
    <xf numFmtId="1" fontId="29" fillId="0" borderId="177" xfId="124" applyNumberFormat="1" applyFont="1" applyBorder="1"/>
    <xf numFmtId="1" fontId="29" fillId="22" borderId="5" xfId="124" applyNumberFormat="1" applyFont="1" applyFill="1" applyBorder="1" applyAlignment="1">
      <alignment horizontal="right"/>
    </xf>
    <xf numFmtId="1" fontId="29" fillId="22" borderId="178" xfId="124" applyNumberFormat="1" applyFont="1" applyFill="1" applyBorder="1" applyAlignment="1">
      <alignment horizontal="right"/>
    </xf>
    <xf numFmtId="1" fontId="29" fillId="22" borderId="10" xfId="124" applyNumberFormat="1" applyFont="1" applyFill="1" applyBorder="1" applyAlignment="1">
      <alignment horizontal="right"/>
    </xf>
    <xf numFmtId="1" fontId="29" fillId="22" borderId="141" xfId="124" applyNumberFormat="1" applyFont="1" applyFill="1" applyBorder="1" applyAlignment="1">
      <alignment horizontal="right"/>
    </xf>
    <xf numFmtId="1" fontId="29" fillId="22" borderId="187" xfId="124" applyNumberFormat="1" applyFont="1" applyFill="1" applyBorder="1" applyAlignment="1">
      <alignment horizontal="right"/>
    </xf>
    <xf numFmtId="1" fontId="29" fillId="22" borderId="183" xfId="124" applyNumberFormat="1" applyFont="1" applyFill="1" applyBorder="1" applyAlignment="1">
      <alignment horizontal="right"/>
    </xf>
    <xf numFmtId="1" fontId="29" fillId="22" borderId="177" xfId="124" applyNumberFormat="1" applyFont="1" applyFill="1" applyBorder="1" applyAlignment="1">
      <alignment horizontal="right"/>
    </xf>
    <xf numFmtId="1" fontId="29" fillId="22" borderId="51" xfId="124" applyNumberFormat="1" applyFont="1" applyFill="1" applyBorder="1" applyAlignment="1">
      <alignment horizontal="right"/>
    </xf>
    <xf numFmtId="1" fontId="29" fillId="15" borderId="61" xfId="124" applyNumberFormat="1" applyFont="1" applyFill="1" applyBorder="1" applyAlignment="1" applyProtection="1">
      <alignment horizontal="right"/>
      <protection locked="0"/>
    </xf>
    <xf numFmtId="1" fontId="29" fillId="15" borderId="16" xfId="124" applyNumberFormat="1" applyFont="1" applyFill="1" applyBorder="1" applyAlignment="1" applyProtection="1">
      <alignment horizontal="right"/>
      <protection locked="0"/>
    </xf>
    <xf numFmtId="1" fontId="29" fillId="15" borderId="92" xfId="124" applyNumberFormat="1" applyFont="1" applyFill="1" applyBorder="1" applyAlignment="1" applyProtection="1">
      <alignment horizontal="right"/>
      <protection locked="0"/>
    </xf>
    <xf numFmtId="1" fontId="29" fillId="15" borderId="62" xfId="124" applyNumberFormat="1" applyFont="1" applyFill="1" applyBorder="1" applyAlignment="1" applyProtection="1">
      <alignment horizontal="right"/>
      <protection locked="0"/>
    </xf>
    <xf numFmtId="1" fontId="29" fillId="15" borderId="83" xfId="124" applyNumberFormat="1" applyFont="1" applyFill="1" applyBorder="1" applyAlignment="1" applyProtection="1">
      <alignment horizontal="right"/>
      <protection locked="0"/>
    </xf>
    <xf numFmtId="1" fontId="29" fillId="15" borderId="47" xfId="124" applyNumberFormat="1" applyFont="1" applyFill="1" applyBorder="1" applyAlignment="1" applyProtection="1">
      <alignment horizontal="right"/>
      <protection locked="0"/>
    </xf>
    <xf numFmtId="1" fontId="29" fillId="15" borderId="98" xfId="124" applyNumberFormat="1" applyFont="1" applyFill="1" applyBorder="1" applyAlignment="1" applyProtection="1">
      <alignment horizontal="right"/>
      <protection locked="0"/>
    </xf>
    <xf numFmtId="1" fontId="29" fillId="15" borderId="17" xfId="124" applyNumberFormat="1" applyFont="1" applyFill="1" applyBorder="1" applyAlignment="1" applyProtection="1">
      <alignment horizontal="right"/>
      <protection locked="0"/>
    </xf>
    <xf numFmtId="1" fontId="29" fillId="0" borderId="63" xfId="124" applyNumberFormat="1" applyFont="1" applyBorder="1"/>
    <xf numFmtId="1" fontId="29" fillId="0" borderId="63" xfId="124" applyNumberFormat="1" applyFont="1" applyBorder="1" applyAlignment="1">
      <alignment horizontal="right"/>
    </xf>
    <xf numFmtId="1" fontId="29" fillId="15" borderId="178" xfId="124" applyNumberFormat="1" applyFont="1" applyFill="1" applyBorder="1" applyAlignment="1" applyProtection="1">
      <alignment horizontal="right"/>
      <protection locked="0"/>
    </xf>
    <xf numFmtId="1" fontId="29" fillId="15" borderId="10" xfId="124" applyNumberFormat="1" applyFont="1" applyFill="1" applyBorder="1" applyAlignment="1" applyProtection="1">
      <alignment horizontal="right"/>
      <protection locked="0"/>
    </xf>
    <xf numFmtId="1" fontId="29" fillId="15" borderId="63" xfId="124" applyNumberFormat="1" applyFont="1" applyFill="1" applyBorder="1" applyAlignment="1" applyProtection="1">
      <alignment horizontal="right"/>
      <protection locked="0"/>
    </xf>
    <xf numFmtId="1" fontId="29" fillId="15" borderId="54" xfId="124" applyNumberFormat="1" applyFont="1" applyFill="1" applyBorder="1" applyAlignment="1" applyProtection="1">
      <alignment horizontal="right"/>
      <protection locked="0"/>
    </xf>
    <xf numFmtId="1" fontId="29" fillId="0" borderId="182" xfId="124" applyNumberFormat="1" applyFont="1" applyBorder="1" applyAlignment="1">
      <alignment horizontal="center" vertical="center" wrapText="1"/>
    </xf>
    <xf numFmtId="1" fontId="29" fillId="0" borderId="47" xfId="124" applyNumberFormat="1" applyFont="1" applyBorder="1" applyAlignment="1">
      <alignment horizontal="right"/>
    </xf>
    <xf numFmtId="1" fontId="29" fillId="20" borderId="41" xfId="124" applyNumberFormat="1" applyFont="1" applyFill="1" applyBorder="1" applyAlignment="1">
      <alignment horizontal="right"/>
    </xf>
    <xf numFmtId="1" fontId="29" fillId="20" borderId="13" xfId="124" applyNumberFormat="1" applyFont="1" applyFill="1" applyBorder="1" applyAlignment="1">
      <alignment horizontal="right"/>
    </xf>
    <xf numFmtId="1" fontId="29" fillId="0" borderId="46" xfId="124" applyNumberFormat="1" applyFont="1" applyBorder="1" applyAlignment="1">
      <alignment horizontal="right"/>
    </xf>
    <xf numFmtId="1" fontId="29" fillId="0" borderId="42" xfId="124" applyNumberFormat="1" applyFont="1" applyBorder="1" applyAlignment="1">
      <alignment horizontal="right" wrapText="1"/>
    </xf>
    <xf numFmtId="1" fontId="29" fillId="0" borderId="22" xfId="124" applyNumberFormat="1" applyFont="1" applyBorder="1" applyAlignment="1">
      <alignment horizontal="right"/>
    </xf>
    <xf numFmtId="1" fontId="29" fillId="20" borderId="42" xfId="124" applyNumberFormat="1" applyFont="1" applyFill="1" applyBorder="1" applyAlignment="1">
      <alignment horizontal="right"/>
    </xf>
    <xf numFmtId="1" fontId="29" fillId="20" borderId="22" xfId="124" applyNumberFormat="1" applyFont="1" applyFill="1" applyBorder="1" applyAlignment="1">
      <alignment horizontal="right"/>
    </xf>
    <xf numFmtId="1" fontId="29" fillId="15" borderId="42" xfId="124" applyNumberFormat="1" applyFont="1" applyFill="1" applyBorder="1" applyAlignment="1" applyProtection="1">
      <alignment horizontal="right"/>
      <protection locked="0"/>
    </xf>
    <xf numFmtId="1" fontId="29" fillId="15" borderId="43" xfId="124" applyNumberFormat="1" applyFont="1" applyFill="1" applyBorder="1" applyAlignment="1" applyProtection="1">
      <alignment horizontal="right"/>
      <protection locked="0"/>
    </xf>
    <xf numFmtId="1" fontId="29" fillId="15" borderId="73" xfId="124" applyNumberFormat="1" applyFont="1" applyFill="1" applyBorder="1" applyAlignment="1" applyProtection="1">
      <alignment horizontal="right"/>
      <protection locked="0"/>
    </xf>
    <xf numFmtId="1" fontId="29" fillId="15" borderId="20" xfId="124" applyNumberFormat="1" applyFont="1" applyFill="1" applyBorder="1" applyAlignment="1" applyProtection="1">
      <alignment horizontal="right"/>
      <protection locked="0"/>
    </xf>
    <xf numFmtId="1" fontId="29" fillId="15" borderId="46" xfId="124" applyNumberFormat="1" applyFont="1" applyFill="1" applyBorder="1" applyAlignment="1" applyProtection="1">
      <alignment horizontal="right"/>
      <protection locked="0"/>
    </xf>
    <xf numFmtId="1" fontId="29" fillId="15" borderId="64" xfId="124" applyNumberFormat="1" applyFont="1" applyFill="1" applyBorder="1" applyAlignment="1" applyProtection="1">
      <alignment horizontal="right"/>
      <protection locked="0"/>
    </xf>
    <xf numFmtId="1" fontId="29" fillId="15" borderId="8" xfId="124" applyNumberFormat="1" applyFont="1" applyFill="1" applyBorder="1" applyAlignment="1" applyProtection="1">
      <alignment horizontal="right"/>
      <protection locked="0"/>
    </xf>
    <xf numFmtId="1" fontId="29" fillId="0" borderId="61" xfId="124" applyNumberFormat="1" applyFont="1" applyBorder="1" applyAlignment="1">
      <alignment horizontal="right" wrapText="1"/>
    </xf>
    <xf numFmtId="1" fontId="29" fillId="0" borderId="18" xfId="124" applyNumberFormat="1" applyFont="1" applyBorder="1" applyAlignment="1">
      <alignment horizontal="right"/>
    </xf>
    <xf numFmtId="1" fontId="29" fillId="15" borderId="65" xfId="124" applyNumberFormat="1" applyFont="1" applyFill="1" applyBorder="1" applyAlignment="1" applyProtection="1">
      <alignment horizontal="right"/>
      <protection locked="0"/>
    </xf>
    <xf numFmtId="1" fontId="29" fillId="0" borderId="137" xfId="124" applyNumberFormat="1" applyFont="1" applyBorder="1" applyAlignment="1">
      <alignment horizontal="right" wrapText="1"/>
    </xf>
    <xf numFmtId="1" fontId="29" fillId="0" borderId="177" xfId="124" applyNumberFormat="1" applyFont="1" applyBorder="1" applyAlignment="1">
      <alignment wrapText="1"/>
    </xf>
    <xf numFmtId="1" fontId="29" fillId="15" borderId="58" xfId="124" applyNumberFormat="1" applyFont="1" applyFill="1" applyBorder="1" applyAlignment="1" applyProtection="1">
      <alignment horizontal="right"/>
      <protection locked="0"/>
    </xf>
    <xf numFmtId="1" fontId="29" fillId="0" borderId="177" xfId="124" applyNumberFormat="1" applyFont="1" applyBorder="1" applyAlignment="1">
      <alignment horizontal="right" wrapText="1"/>
    </xf>
    <xf numFmtId="1" fontId="29" fillId="0" borderId="5" xfId="124" applyNumberFormat="1" applyFont="1" applyBorder="1" applyAlignment="1">
      <alignment horizontal="right" wrapText="1"/>
    </xf>
    <xf numFmtId="1" fontId="29" fillId="0" borderId="178" xfId="124" applyNumberFormat="1" applyFont="1" applyBorder="1" applyAlignment="1">
      <alignment horizontal="right"/>
    </xf>
    <xf numFmtId="1" fontId="30" fillId="0" borderId="0" xfId="124" quotePrefix="1" applyNumberFormat="1" applyFont="1"/>
    <xf numFmtId="1" fontId="29" fillId="0" borderId="137" xfId="0" applyNumberFormat="1" applyFont="1" applyBorder="1" applyAlignment="1">
      <alignment horizontal="center" vertical="center" wrapText="1"/>
    </xf>
    <xf numFmtId="1" fontId="29" fillId="0" borderId="66" xfId="126" applyNumberFormat="1" applyFont="1" applyBorder="1" applyAlignment="1" applyProtection="1">
      <alignment horizontal="center" vertical="center" wrapText="1"/>
      <protection hidden="1"/>
    </xf>
    <xf numFmtId="1" fontId="29" fillId="0" borderId="52" xfId="124" applyNumberFormat="1" applyFont="1" applyBorder="1" applyAlignment="1">
      <alignment horizontal="center" vertical="center" wrapText="1"/>
    </xf>
    <xf numFmtId="1" fontId="29" fillId="0" borderId="53" xfId="124" applyNumberFormat="1" applyFont="1" applyBorder="1" applyAlignment="1">
      <alignment horizontal="center" vertical="center" wrapText="1"/>
    </xf>
    <xf numFmtId="1" fontId="29" fillId="0" borderId="55" xfId="124" applyNumberFormat="1" applyFont="1" applyBorder="1" applyAlignment="1">
      <alignment horizontal="center" vertical="center" wrapText="1"/>
    </xf>
    <xf numFmtId="1" fontId="29" fillId="0" borderId="106" xfId="124" applyNumberFormat="1" applyFont="1" applyBorder="1" applyAlignment="1">
      <alignment horizontal="center" vertical="center" wrapText="1"/>
    </xf>
    <xf numFmtId="1" fontId="29" fillId="0" borderId="54" xfId="124" applyNumberFormat="1" applyFont="1" applyBorder="1" applyAlignment="1">
      <alignment horizontal="center" vertical="center" wrapText="1"/>
    </xf>
    <xf numFmtId="1" fontId="29" fillId="0" borderId="187" xfId="124" applyNumberFormat="1" applyFont="1" applyBorder="1" applyAlignment="1">
      <alignment horizontal="center" vertical="center" wrapText="1"/>
    </xf>
    <xf numFmtId="1" fontId="29" fillId="0" borderId="178" xfId="124" applyNumberFormat="1" applyFont="1" applyBorder="1" applyAlignment="1">
      <alignment horizontal="right" wrapText="1"/>
    </xf>
    <xf numFmtId="1" fontId="29" fillId="0" borderId="13" xfId="124" applyNumberFormat="1" applyFont="1" applyBorder="1"/>
    <xf numFmtId="1" fontId="29" fillId="0" borderId="41" xfId="124" applyNumberFormat="1" applyFont="1" applyBorder="1" applyAlignment="1">
      <alignment horizontal="right"/>
    </xf>
    <xf numFmtId="1" fontId="29" fillId="0" borderId="22" xfId="124" applyNumberFormat="1" applyFont="1" applyBorder="1"/>
    <xf numFmtId="1" fontId="29" fillId="0" borderId="42" xfId="124" applyNumberFormat="1" applyFont="1" applyBorder="1" applyAlignment="1">
      <alignment horizontal="right"/>
    </xf>
    <xf numFmtId="1" fontId="29" fillId="0" borderId="26" xfId="124" applyNumberFormat="1" applyFont="1" applyBorder="1"/>
    <xf numFmtId="1" fontId="29" fillId="0" borderId="59" xfId="124" applyNumberFormat="1" applyFont="1" applyBorder="1" applyAlignment="1">
      <alignment horizontal="right"/>
    </xf>
    <xf numFmtId="1" fontId="29" fillId="0" borderId="44" xfId="124" applyNumberFormat="1" applyFont="1" applyBorder="1" applyAlignment="1">
      <alignment horizontal="right"/>
    </xf>
    <xf numFmtId="1" fontId="29" fillId="0" borderId="26" xfId="124" applyNumberFormat="1" applyFont="1" applyBorder="1" applyAlignment="1">
      <alignment horizontal="right"/>
    </xf>
    <xf numFmtId="1" fontId="29" fillId="0" borderId="137" xfId="124" applyNumberFormat="1" applyFont="1" applyBorder="1" applyAlignment="1">
      <alignment horizontal="center"/>
    </xf>
    <xf numFmtId="1" fontId="29" fillId="0" borderId="18" xfId="124" applyNumberFormat="1" applyFont="1" applyBorder="1"/>
    <xf numFmtId="1" fontId="29" fillId="0" borderId="61" xfId="124" applyNumberFormat="1" applyFont="1" applyBorder="1" applyAlignment="1">
      <alignment horizontal="right"/>
    </xf>
    <xf numFmtId="1" fontId="29" fillId="0" borderId="137" xfId="124" applyNumberFormat="1" applyFont="1" applyBorder="1"/>
    <xf numFmtId="1" fontId="29" fillId="15" borderId="50" xfId="124" applyNumberFormat="1" applyFont="1" applyFill="1" applyBorder="1" applyAlignment="1" applyProtection="1">
      <alignment horizontal="right"/>
      <protection locked="0"/>
    </xf>
    <xf numFmtId="1" fontId="29" fillId="22" borderId="46" xfId="124" applyNumberFormat="1" applyFont="1" applyFill="1" applyBorder="1"/>
    <xf numFmtId="1" fontId="29" fillId="22" borderId="47" xfId="124" applyNumberFormat="1" applyFont="1" applyFill="1" applyBorder="1" applyAlignment="1">
      <alignment horizontal="right"/>
    </xf>
    <xf numFmtId="1" fontId="29" fillId="22" borderId="61" xfId="124" applyNumberFormat="1" applyFont="1" applyFill="1" applyBorder="1" applyAlignment="1">
      <alignment horizontal="right"/>
    </xf>
    <xf numFmtId="1" fontId="29" fillId="22" borderId="18" xfId="124" applyNumberFormat="1" applyFont="1" applyFill="1" applyBorder="1" applyAlignment="1">
      <alignment horizontal="right"/>
    </xf>
    <xf numFmtId="1" fontId="29" fillId="15" borderId="101" xfId="124" applyNumberFormat="1" applyFont="1" applyFill="1" applyBorder="1" applyAlignment="1" applyProtection="1">
      <alignment horizontal="right"/>
      <protection locked="0"/>
    </xf>
    <xf numFmtId="1" fontId="29" fillId="22" borderId="59" xfId="124" applyNumberFormat="1" applyFont="1" applyFill="1" applyBorder="1"/>
    <xf numFmtId="1" fontId="29" fillId="22" borderId="59" xfId="124" applyNumberFormat="1" applyFont="1" applyFill="1" applyBorder="1" applyAlignment="1">
      <alignment horizontal="right"/>
    </xf>
    <xf numFmtId="1" fontId="29" fillId="22" borderId="44" xfId="124" applyNumberFormat="1" applyFont="1" applyFill="1" applyBorder="1" applyAlignment="1">
      <alignment horizontal="right"/>
    </xf>
    <xf numFmtId="1" fontId="29" fillId="22" borderId="26" xfId="124" applyNumberFormat="1" applyFont="1" applyFill="1" applyBorder="1" applyAlignment="1">
      <alignment horizontal="right"/>
    </xf>
    <xf numFmtId="1" fontId="29" fillId="15" borderId="96" xfId="124" applyNumberFormat="1" applyFont="1" applyFill="1" applyBorder="1" applyAlignment="1" applyProtection="1">
      <alignment horizontal="right"/>
      <protection locked="0"/>
    </xf>
    <xf numFmtId="1" fontId="29" fillId="22" borderId="177" xfId="124" applyNumberFormat="1" applyFont="1" applyFill="1" applyBorder="1" applyAlignment="1">
      <alignment horizontal="center"/>
    </xf>
    <xf numFmtId="1" fontId="29" fillId="22" borderId="50" xfId="124" applyNumberFormat="1" applyFont="1" applyFill="1" applyBorder="1" applyAlignment="1">
      <alignment horizontal="right"/>
    </xf>
    <xf numFmtId="1" fontId="29" fillId="22" borderId="47" xfId="124" applyNumberFormat="1" applyFont="1" applyFill="1" applyBorder="1"/>
    <xf numFmtId="1" fontId="29" fillId="22" borderId="6" xfId="124" applyNumberFormat="1" applyFont="1" applyFill="1" applyBorder="1"/>
    <xf numFmtId="1" fontId="29" fillId="22" borderId="63" xfId="124" applyNumberFormat="1" applyFont="1" applyFill="1" applyBorder="1" applyAlignment="1">
      <alignment horizontal="right"/>
    </xf>
    <xf numFmtId="1" fontId="29" fillId="22" borderId="52" xfId="124" applyNumberFormat="1" applyFont="1" applyFill="1" applyBorder="1" applyAlignment="1">
      <alignment horizontal="right"/>
    </xf>
    <xf numFmtId="1" fontId="29" fillId="22" borderId="14" xfId="124" applyNumberFormat="1" applyFont="1" applyFill="1" applyBorder="1" applyAlignment="1">
      <alignment horizontal="right"/>
    </xf>
    <xf numFmtId="1" fontId="29" fillId="15" borderId="106" xfId="124" applyNumberFormat="1" applyFont="1" applyFill="1" applyBorder="1" applyAlignment="1" applyProtection="1">
      <alignment horizontal="right"/>
      <protection locked="0"/>
    </xf>
    <xf numFmtId="1" fontId="29" fillId="0" borderId="0" xfId="124" applyNumberFormat="1" applyFont="1" applyAlignment="1">
      <alignment horizontal="center" vertical="center"/>
    </xf>
    <xf numFmtId="1" fontId="29" fillId="0" borderId="0" xfId="124" quotePrefix="1" applyNumberFormat="1" applyFont="1" applyAlignment="1">
      <alignment horizontal="center" vertical="center"/>
    </xf>
    <xf numFmtId="1" fontId="29" fillId="0" borderId="15" xfId="0" quotePrefix="1" applyNumberFormat="1" applyFont="1" applyBorder="1" applyAlignment="1">
      <alignment horizontal="left" wrapText="1"/>
    </xf>
    <xf numFmtId="1" fontId="29" fillId="15" borderId="21" xfId="0" applyNumberFormat="1" applyFont="1" applyFill="1" applyBorder="1" applyAlignment="1" applyProtection="1">
      <alignment horizontal="right"/>
      <protection locked="0"/>
    </xf>
    <xf numFmtId="1" fontId="29" fillId="0" borderId="19" xfId="0" quotePrefix="1" applyNumberFormat="1" applyFont="1" applyBorder="1" applyAlignment="1">
      <alignment horizontal="left" wrapText="1"/>
    </xf>
    <xf numFmtId="1" fontId="29" fillId="17" borderId="0" xfId="124" applyNumberFormat="1" applyFont="1" applyFill="1" applyAlignment="1">
      <alignment horizontal="right"/>
    </xf>
    <xf numFmtId="1" fontId="29" fillId="0" borderId="27" xfId="0" quotePrefix="1" applyNumberFormat="1" applyFont="1" applyBorder="1" applyAlignment="1">
      <alignment horizontal="left" wrapText="1"/>
    </xf>
    <xf numFmtId="1" fontId="29" fillId="15" borderId="25" xfId="0" applyNumberFormat="1" applyFont="1" applyFill="1" applyBorder="1" applyAlignment="1" applyProtection="1">
      <alignment horizontal="right"/>
      <protection locked="0"/>
    </xf>
    <xf numFmtId="1" fontId="29" fillId="0" borderId="40" xfId="0" quotePrefix="1" applyNumberFormat="1" applyFont="1" applyBorder="1" applyAlignment="1">
      <alignment horizontal="left" wrapText="1"/>
    </xf>
    <xf numFmtId="1" fontId="29" fillId="15" borderId="96" xfId="0" applyNumberFormat="1" applyFont="1" applyFill="1" applyBorder="1" applyAlignment="1" applyProtection="1">
      <alignment horizontal="right"/>
      <protection locked="0"/>
    </xf>
    <xf numFmtId="1" fontId="29" fillId="15" borderId="101" xfId="0" applyNumberFormat="1" applyFont="1" applyFill="1" applyBorder="1" applyAlignment="1" applyProtection="1">
      <alignment horizontal="right"/>
      <protection locked="0"/>
    </xf>
    <xf numFmtId="1" fontId="29" fillId="17" borderId="0" xfId="124" applyNumberFormat="1" applyFont="1" applyFill="1" applyAlignment="1">
      <alignment horizontal="center" vertical="center"/>
    </xf>
    <xf numFmtId="1" fontId="29" fillId="17" borderId="0" xfId="124" applyNumberFormat="1" applyFont="1" applyFill="1" applyAlignment="1" applyProtection="1">
      <alignment horizontal="right"/>
      <protection hidden="1"/>
    </xf>
    <xf numFmtId="1" fontId="30" fillId="17" borderId="0" xfId="124" quotePrefix="1" applyNumberFormat="1" applyFont="1" applyFill="1"/>
    <xf numFmtId="1" fontId="29" fillId="0" borderId="188" xfId="124" applyNumberFormat="1" applyFont="1" applyBorder="1" applyAlignment="1">
      <alignment horizontal="center" vertical="center" wrapText="1"/>
    </xf>
    <xf numFmtId="1" fontId="29" fillId="0" borderId="191" xfId="124" applyNumberFormat="1" applyFont="1" applyBorder="1" applyAlignment="1">
      <alignment horizontal="center" vertical="center" wrapText="1"/>
    </xf>
    <xf numFmtId="1" fontId="29" fillId="0" borderId="186" xfId="124" applyNumberFormat="1" applyFont="1" applyBorder="1" applyAlignment="1">
      <alignment horizontal="center" vertical="center" wrapText="1"/>
    </xf>
    <xf numFmtId="1" fontId="29" fillId="0" borderId="15" xfId="124" applyNumberFormat="1" applyFont="1" applyBorder="1" applyAlignment="1">
      <alignment vertical="center"/>
    </xf>
    <xf numFmtId="1" fontId="29" fillId="15" borderId="33" xfId="124" applyNumberFormat="1" applyFont="1" applyFill="1" applyBorder="1" applyAlignment="1" applyProtection="1">
      <alignment horizontal="right"/>
      <protection locked="0"/>
    </xf>
    <xf numFmtId="1" fontId="29" fillId="20" borderId="32" xfId="124" applyNumberFormat="1" applyFont="1" applyFill="1" applyBorder="1" applyAlignment="1">
      <alignment horizontal="right"/>
    </xf>
    <xf numFmtId="1" fontId="29" fillId="15" borderId="22" xfId="124" applyNumberFormat="1" applyFont="1" applyFill="1" applyBorder="1" applyAlignment="1" applyProtection="1">
      <alignment horizontal="right"/>
      <protection locked="0"/>
    </xf>
    <xf numFmtId="1" fontId="29" fillId="0" borderId="19" xfId="124" applyNumberFormat="1" applyFont="1" applyBorder="1" applyAlignment="1">
      <alignment vertical="center"/>
    </xf>
    <xf numFmtId="1" fontId="29" fillId="0" borderId="19" xfId="124" applyNumberFormat="1" applyFont="1" applyBorder="1" applyAlignment="1">
      <alignment horizontal="right"/>
    </xf>
    <xf numFmtId="1" fontId="29" fillId="15" borderId="36" xfId="124" applyNumberFormat="1" applyFont="1" applyFill="1" applyBorder="1" applyAlignment="1" applyProtection="1">
      <alignment horizontal="right"/>
      <protection locked="0"/>
    </xf>
    <xf numFmtId="1" fontId="29" fillId="15" borderId="35" xfId="124" applyNumberFormat="1" applyFont="1" applyFill="1" applyBorder="1" applyAlignment="1" applyProtection="1">
      <alignment horizontal="right"/>
      <protection locked="0"/>
    </xf>
    <xf numFmtId="1" fontId="29" fillId="0" borderId="27" xfId="124" applyNumberFormat="1" applyFont="1" applyBorder="1" applyAlignment="1">
      <alignment vertical="center"/>
    </xf>
    <xf numFmtId="1" fontId="29" fillId="0" borderId="40" xfId="124" applyNumberFormat="1" applyFont="1" applyBorder="1" applyAlignment="1">
      <alignment horizontal="right"/>
    </xf>
    <xf numFmtId="1" fontId="29" fillId="15" borderId="97" xfId="124" applyNumberFormat="1" applyFont="1" applyFill="1" applyBorder="1" applyAlignment="1" applyProtection="1">
      <alignment horizontal="right"/>
      <protection locked="0"/>
    </xf>
    <xf numFmtId="1" fontId="29" fillId="15" borderId="68" xfId="124" applyNumberFormat="1" applyFont="1" applyFill="1" applyBorder="1" applyAlignment="1" applyProtection="1">
      <alignment horizontal="right"/>
      <protection locked="0"/>
    </xf>
    <xf numFmtId="1" fontId="29" fillId="0" borderId="137" xfId="124" applyNumberFormat="1" applyFont="1" applyBorder="1" applyAlignment="1">
      <alignment horizontal="center" vertical="center"/>
    </xf>
    <xf numFmtId="1" fontId="29" fillId="0" borderId="6" xfId="124" applyNumberFormat="1" applyFont="1" applyBorder="1" applyAlignment="1">
      <alignment horizontal="right"/>
    </xf>
    <xf numFmtId="1" fontId="29" fillId="0" borderId="184" xfId="124" applyNumberFormat="1" applyFont="1" applyBorder="1" applyAlignment="1">
      <alignment horizontal="right"/>
    </xf>
    <xf numFmtId="1" fontId="29" fillId="0" borderId="39" xfId="124" applyNumberFormat="1" applyFont="1" applyBorder="1" applyAlignment="1">
      <alignment horizontal="right"/>
    </xf>
    <xf numFmtId="1" fontId="30" fillId="0" borderId="179" xfId="124" quotePrefix="1" applyNumberFormat="1" applyFont="1" applyBorder="1"/>
    <xf numFmtId="1" fontId="29" fillId="17" borderId="172" xfId="124" applyNumberFormat="1" applyFont="1" applyFill="1" applyBorder="1" applyAlignment="1">
      <alignment horizontal="center" vertical="center"/>
    </xf>
    <xf numFmtId="1" fontId="29" fillId="17" borderId="0" xfId="124" quotePrefix="1" applyNumberFormat="1" applyFont="1" applyFill="1" applyAlignment="1">
      <alignment horizontal="center" vertical="center"/>
    </xf>
    <xf numFmtId="1" fontId="29" fillId="0" borderId="0" xfId="0" applyNumberFormat="1" applyFont="1" applyAlignment="1">
      <alignment horizontal="center" vertical="center" wrapText="1"/>
    </xf>
    <xf numFmtId="1" fontId="29" fillId="15" borderId="15" xfId="124" applyNumberFormat="1" applyFont="1" applyFill="1" applyBorder="1" applyAlignment="1" applyProtection="1">
      <alignment horizontal="right"/>
      <protection locked="0"/>
    </xf>
    <xf numFmtId="1" fontId="29" fillId="15" borderId="40" xfId="124" applyNumberFormat="1" applyFont="1" applyFill="1" applyBorder="1" applyAlignment="1" applyProtection="1">
      <alignment horizontal="right"/>
      <protection locked="0"/>
    </xf>
    <xf numFmtId="1" fontId="30" fillId="22" borderId="0" xfId="124" quotePrefix="1" applyNumberFormat="1" applyFont="1" applyFill="1"/>
    <xf numFmtId="1" fontId="29" fillId="15" borderId="19" xfId="124" applyNumberFormat="1" applyFont="1" applyFill="1" applyBorder="1" applyAlignment="1" applyProtection="1">
      <alignment horizontal="right"/>
      <protection locked="0"/>
    </xf>
    <xf numFmtId="1" fontId="29" fillId="15" borderId="27" xfId="124" applyNumberFormat="1" applyFont="1" applyFill="1" applyBorder="1" applyAlignment="1" applyProtection="1">
      <alignment horizontal="right"/>
      <protection locked="0"/>
    </xf>
    <xf numFmtId="1" fontId="29" fillId="22" borderId="137" xfId="124" applyNumberFormat="1" applyFont="1" applyFill="1" applyBorder="1" applyAlignment="1">
      <alignment horizontal="right"/>
    </xf>
    <xf numFmtId="1" fontId="29" fillId="0" borderId="179" xfId="124" applyNumberFormat="1" applyFont="1" applyBorder="1" applyAlignment="1">
      <alignment horizontal="center" vertical="center" wrapText="1"/>
    </xf>
    <xf numFmtId="1" fontId="29" fillId="0" borderId="137" xfId="124" applyNumberFormat="1" applyFont="1" applyBorder="1" applyAlignment="1">
      <alignment horizontal="center" vertical="center" wrapText="1"/>
    </xf>
    <xf numFmtId="1" fontId="29" fillId="0" borderId="140" xfId="124" applyNumberFormat="1" applyFont="1" applyBorder="1" applyAlignment="1">
      <alignment horizontal="center" vertical="center" wrapText="1"/>
    </xf>
    <xf numFmtId="1" fontId="29" fillId="0" borderId="13" xfId="124" applyNumberFormat="1" applyFont="1" applyBorder="1" applyAlignment="1">
      <alignment horizontal="left" vertical="center"/>
    </xf>
    <xf numFmtId="1" fontId="29" fillId="0" borderId="15" xfId="124" applyNumberFormat="1" applyFont="1" applyBorder="1" applyAlignment="1">
      <alignment horizontal="right" vertical="center"/>
    </xf>
    <xf numFmtId="1" fontId="29" fillId="0" borderId="11" xfId="124" applyNumberFormat="1" applyFont="1" applyBorder="1" applyAlignment="1">
      <alignment horizontal="right" vertical="center"/>
    </xf>
    <xf numFmtId="1" fontId="29" fillId="0" borderId="13" xfId="124" applyNumberFormat="1" applyFont="1" applyBorder="1" applyAlignment="1">
      <alignment horizontal="right" vertical="center"/>
    </xf>
    <xf numFmtId="1" fontId="29" fillId="0" borderId="19" xfId="124" applyNumberFormat="1" applyFont="1" applyBorder="1" applyAlignment="1">
      <alignment horizontal="right" vertical="center"/>
    </xf>
    <xf numFmtId="1" fontId="29" fillId="0" borderId="20" xfId="124" applyNumberFormat="1" applyFont="1" applyBorder="1" applyAlignment="1">
      <alignment horizontal="right" vertical="center"/>
    </xf>
    <xf numFmtId="1" fontId="29" fillId="0" borderId="22" xfId="124" applyNumberFormat="1" applyFont="1" applyBorder="1" applyAlignment="1">
      <alignment horizontal="right" vertical="center"/>
    </xf>
    <xf numFmtId="1" fontId="29" fillId="0" borderId="40" xfId="124" applyNumberFormat="1" applyFont="1" applyBorder="1" applyAlignment="1">
      <alignment horizontal="right" vertical="center"/>
    </xf>
    <xf numFmtId="1" fontId="29" fillId="0" borderId="70" xfId="124" applyNumberFormat="1" applyFont="1" applyBorder="1" applyAlignment="1">
      <alignment horizontal="right" vertical="center"/>
    </xf>
    <xf numFmtId="1" fontId="29" fillId="0" borderId="86" xfId="124" applyNumberFormat="1" applyFont="1" applyBorder="1" applyAlignment="1">
      <alignment horizontal="right" vertical="center"/>
    </xf>
    <xf numFmtId="1" fontId="29" fillId="0" borderId="137" xfId="0" applyNumberFormat="1" applyFont="1" applyBorder="1"/>
    <xf numFmtId="1" fontId="29" fillId="0" borderId="187" xfId="0" applyNumberFormat="1" applyFont="1" applyBorder="1"/>
    <xf numFmtId="1" fontId="29" fillId="0" borderId="137" xfId="126" applyNumberFormat="1" applyFont="1" applyBorder="1" applyAlignment="1" applyProtection="1">
      <alignment horizontal="center" vertical="center" wrapText="1"/>
      <protection hidden="1"/>
    </xf>
    <xf numFmtId="1" fontId="29" fillId="0" borderId="51" xfId="124" applyNumberFormat="1" applyFont="1" applyBorder="1" applyAlignment="1">
      <alignment horizontal="center" vertical="center" wrapText="1"/>
    </xf>
    <xf numFmtId="1" fontId="29" fillId="0" borderId="16" xfId="124" applyNumberFormat="1" applyFont="1" applyBorder="1" applyAlignment="1">
      <alignment horizontal="right"/>
    </xf>
    <xf numFmtId="1" fontId="29" fillId="0" borderId="62" xfId="124" applyNumberFormat="1" applyFont="1" applyBorder="1" applyAlignment="1">
      <alignment horizontal="right"/>
    </xf>
    <xf numFmtId="1" fontId="29" fillId="0" borderId="20" xfId="124" applyNumberFormat="1" applyFont="1" applyBorder="1" applyAlignment="1">
      <alignment horizontal="right"/>
    </xf>
    <xf numFmtId="1" fontId="29" fillId="0" borderId="43" xfId="124" applyNumberFormat="1" applyFont="1" applyBorder="1" applyAlignment="1">
      <alignment horizontal="right"/>
    </xf>
    <xf numFmtId="1" fontId="29" fillId="0" borderId="43" xfId="124" applyNumberFormat="1" applyFont="1" applyBorder="1" applyAlignment="1">
      <alignment horizontal="right" vertical="center"/>
    </xf>
    <xf numFmtId="1" fontId="29" fillId="15" borderId="20" xfId="124" applyNumberFormat="1" applyFont="1" applyFill="1" applyBorder="1" applyAlignment="1" applyProtection="1">
      <alignment horizontal="right" vertical="center"/>
      <protection locked="0"/>
    </xf>
    <xf numFmtId="1" fontId="29" fillId="15" borderId="8" xfId="124" applyNumberFormat="1" applyFont="1" applyFill="1" applyBorder="1" applyAlignment="1" applyProtection="1">
      <alignment horizontal="right" vertical="center"/>
      <protection locked="0"/>
    </xf>
    <xf numFmtId="1" fontId="29" fillId="15" borderId="73" xfId="124" applyNumberFormat="1" applyFont="1" applyFill="1" applyBorder="1" applyAlignment="1" applyProtection="1">
      <alignment horizontal="right" vertical="center"/>
      <protection locked="0"/>
    </xf>
    <xf numFmtId="1" fontId="29" fillId="15" borderId="64" xfId="124" applyNumberFormat="1" applyFont="1" applyFill="1" applyBorder="1" applyAlignment="1" applyProtection="1">
      <alignment horizontal="right" vertical="center"/>
      <protection locked="0"/>
    </xf>
    <xf numFmtId="1" fontId="29" fillId="15" borderId="42" xfId="124" applyNumberFormat="1" applyFont="1" applyFill="1" applyBorder="1" applyAlignment="1" applyProtection="1">
      <alignment horizontal="right" vertical="center"/>
      <protection locked="0"/>
    </xf>
    <xf numFmtId="1" fontId="29" fillId="15" borderId="43" xfId="124" applyNumberFormat="1" applyFont="1" applyFill="1" applyBorder="1" applyAlignment="1" applyProtection="1">
      <alignment horizontal="right" vertical="center"/>
      <protection locked="0"/>
    </xf>
    <xf numFmtId="1" fontId="29" fillId="17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1" fontId="29" fillId="0" borderId="0" xfId="0" applyNumberFormat="1" applyFont="1" applyAlignment="1">
      <alignment vertical="center"/>
    </xf>
    <xf numFmtId="1" fontId="30" fillId="0" borderId="0" xfId="0" applyNumberFormat="1" applyFont="1" applyAlignment="1">
      <alignment vertical="center"/>
    </xf>
    <xf numFmtId="1" fontId="29" fillId="0" borderId="70" xfId="124" applyNumberFormat="1" applyFont="1" applyBorder="1" applyAlignment="1">
      <alignment horizontal="right"/>
    </xf>
    <xf numFmtId="1" fontId="29" fillId="0" borderId="71" xfId="124" applyNumberFormat="1" applyFont="1" applyBorder="1" applyAlignment="1">
      <alignment horizontal="right"/>
    </xf>
    <xf numFmtId="1" fontId="29" fillId="22" borderId="41" xfId="124" applyNumberFormat="1" applyFont="1" applyFill="1" applyBorder="1" applyAlignment="1">
      <alignment horizontal="right"/>
    </xf>
    <xf numFmtId="1" fontId="29" fillId="22" borderId="56" xfId="124" applyNumberFormat="1" applyFont="1" applyFill="1" applyBorder="1" applyAlignment="1">
      <alignment horizontal="right"/>
    </xf>
    <xf numFmtId="1" fontId="29" fillId="22" borderId="69" xfId="124" applyNumberFormat="1" applyFont="1" applyFill="1" applyBorder="1" applyAlignment="1">
      <alignment horizontal="right"/>
    </xf>
    <xf numFmtId="1" fontId="29" fillId="15" borderId="57" xfId="124" applyNumberFormat="1" applyFont="1" applyFill="1" applyBorder="1" applyAlignment="1" applyProtection="1">
      <alignment horizontal="right"/>
      <protection locked="0"/>
    </xf>
    <xf numFmtId="1" fontId="29" fillId="0" borderId="18" xfId="124" applyNumberFormat="1" applyFont="1" applyBorder="1" applyAlignment="1">
      <alignment horizontal="left" vertical="center"/>
    </xf>
    <xf numFmtId="1" fontId="29" fillId="15" borderId="87" xfId="124" applyNumberFormat="1" applyFont="1" applyFill="1" applyBorder="1" applyAlignment="1" applyProtection="1">
      <alignment horizontal="right"/>
      <protection locked="0"/>
    </xf>
    <xf numFmtId="1" fontId="29" fillId="15" borderId="21" xfId="124" applyNumberFormat="1" applyFont="1" applyFill="1" applyBorder="1" applyAlignment="1" applyProtection="1">
      <alignment horizontal="right"/>
      <protection locked="0"/>
    </xf>
    <xf numFmtId="1" fontId="29" fillId="0" borderId="72" xfId="124" applyNumberFormat="1" applyFont="1" applyBorder="1" applyAlignment="1">
      <alignment horizontal="right"/>
    </xf>
    <xf numFmtId="1" fontId="29" fillId="0" borderId="86" xfId="124" applyNumberFormat="1" applyFont="1" applyBorder="1" applyAlignment="1">
      <alignment horizontal="right"/>
    </xf>
    <xf numFmtId="1" fontId="29" fillId="0" borderId="189" xfId="0" applyNumberFormat="1" applyFont="1" applyBorder="1" applyAlignment="1">
      <alignment horizontal="center" vertical="center"/>
    </xf>
    <xf numFmtId="1" fontId="29" fillId="0" borderId="182" xfId="0" applyNumberFormat="1" applyFont="1" applyBorder="1" applyAlignment="1">
      <alignment horizontal="center" vertical="center"/>
    </xf>
    <xf numFmtId="1" fontId="29" fillId="0" borderId="188" xfId="0" applyNumberFormat="1" applyFont="1" applyBorder="1" applyAlignment="1">
      <alignment horizontal="center" vertical="center"/>
    </xf>
    <xf numFmtId="1" fontId="29" fillId="0" borderId="149" xfId="124" applyNumberFormat="1" applyFont="1" applyBorder="1" applyAlignment="1">
      <alignment horizontal="right" wrapText="1"/>
    </xf>
    <xf numFmtId="1" fontId="29" fillId="0" borderId="150" xfId="124" applyNumberFormat="1" applyFont="1" applyBorder="1" applyAlignment="1">
      <alignment horizontal="right" wrapText="1"/>
    </xf>
    <xf numFmtId="1" fontId="29" fillId="0" borderId="142" xfId="124" applyNumberFormat="1" applyFont="1" applyBorder="1" applyAlignment="1">
      <alignment horizontal="right"/>
    </xf>
    <xf numFmtId="1" fontId="29" fillId="23" borderId="150" xfId="124" applyNumberFormat="1" applyFont="1" applyFill="1" applyBorder="1" applyAlignment="1" applyProtection="1">
      <alignment horizontal="right"/>
      <protection locked="0"/>
    </xf>
    <xf numFmtId="1" fontId="29" fillId="23" borderId="142" xfId="124" applyNumberFormat="1" applyFont="1" applyFill="1" applyBorder="1" applyAlignment="1" applyProtection="1">
      <alignment horizontal="right"/>
      <protection locked="0"/>
    </xf>
    <xf numFmtId="1" fontId="29" fillId="23" borderId="151" xfId="124" applyNumberFormat="1" applyFont="1" applyFill="1" applyBorder="1" applyAlignment="1" applyProtection="1">
      <alignment horizontal="right"/>
      <protection locked="0"/>
    </xf>
    <xf numFmtId="1" fontId="29" fillId="23" borderId="152" xfId="124" applyNumberFormat="1" applyFont="1" applyFill="1" applyBorder="1" applyAlignment="1" applyProtection="1">
      <alignment horizontal="right"/>
      <protection locked="0"/>
    </xf>
    <xf numFmtId="1" fontId="29" fillId="0" borderId="0" xfId="124" applyNumberFormat="1" applyFont="1" applyAlignment="1" applyProtection="1">
      <alignment horizontal="right" wrapText="1"/>
      <protection locked="0"/>
    </xf>
    <xf numFmtId="1" fontId="29" fillId="23" borderId="61" xfId="124" applyNumberFormat="1" applyFont="1" applyFill="1" applyBorder="1" applyAlignment="1" applyProtection="1">
      <alignment horizontal="right"/>
      <protection locked="0"/>
    </xf>
    <xf numFmtId="1" fontId="29" fillId="23" borderId="18" xfId="124" applyNumberFormat="1" applyFont="1" applyFill="1" applyBorder="1" applyAlignment="1" applyProtection="1">
      <alignment horizontal="right"/>
      <protection locked="0"/>
    </xf>
    <xf numFmtId="1" fontId="29" fillId="23" borderId="83" xfId="124" applyNumberFormat="1" applyFont="1" applyFill="1" applyBorder="1" applyAlignment="1" applyProtection="1">
      <alignment horizontal="right"/>
      <protection locked="0"/>
    </xf>
    <xf numFmtId="1" fontId="29" fillId="23" borderId="98" xfId="124" applyNumberFormat="1" applyFont="1" applyFill="1" applyBorder="1" applyAlignment="1" applyProtection="1">
      <alignment horizontal="right"/>
      <protection locked="0"/>
    </xf>
    <xf numFmtId="1" fontId="29" fillId="0" borderId="52" xfId="124" applyNumberFormat="1" applyFont="1" applyBorder="1" applyAlignment="1">
      <alignment horizontal="right"/>
    </xf>
    <xf numFmtId="1" fontId="29" fillId="23" borderId="52" xfId="124" applyNumberFormat="1" applyFont="1" applyFill="1" applyBorder="1" applyAlignment="1" applyProtection="1">
      <alignment horizontal="right"/>
      <protection locked="0"/>
    </xf>
    <xf numFmtId="1" fontId="29" fillId="23" borderId="14" xfId="124" applyNumberFormat="1" applyFont="1" applyFill="1" applyBorder="1" applyAlignment="1" applyProtection="1">
      <alignment horizontal="right"/>
      <protection locked="0"/>
    </xf>
    <xf numFmtId="1" fontId="29" fillId="0" borderId="6" xfId="124" applyNumberFormat="1" applyFont="1" applyBorder="1" applyAlignment="1">
      <alignment vertical="center" wrapText="1"/>
    </xf>
    <xf numFmtId="1" fontId="29" fillId="0" borderId="6" xfId="124" applyNumberFormat="1" applyFont="1" applyBorder="1" applyAlignment="1">
      <alignment horizontal="center"/>
    </xf>
    <xf numFmtId="1" fontId="29" fillId="0" borderId="0" xfId="124" applyNumberFormat="1" applyFont="1" applyAlignment="1">
      <alignment horizontal="right"/>
    </xf>
    <xf numFmtId="1" fontId="29" fillId="20" borderId="15" xfId="124" applyNumberFormat="1" applyFont="1" applyFill="1" applyBorder="1" applyAlignment="1">
      <alignment horizontal="left"/>
    </xf>
    <xf numFmtId="1" fontId="29" fillId="20" borderId="15" xfId="124" applyNumberFormat="1" applyFont="1" applyFill="1" applyBorder="1" applyAlignment="1">
      <alignment horizontal="right"/>
    </xf>
    <xf numFmtId="1" fontId="29" fillId="20" borderId="82" xfId="124" applyNumberFormat="1" applyFont="1" applyFill="1" applyBorder="1" applyAlignment="1">
      <alignment horizontal="right"/>
    </xf>
    <xf numFmtId="1" fontId="29" fillId="20" borderId="69" xfId="124" applyNumberFormat="1" applyFont="1" applyFill="1" applyBorder="1" applyAlignment="1">
      <alignment horizontal="right"/>
    </xf>
    <xf numFmtId="1" fontId="29" fillId="20" borderId="19" xfId="124" applyNumberFormat="1" applyFont="1" applyFill="1" applyBorder="1" applyAlignment="1">
      <alignment horizontal="left"/>
    </xf>
    <xf numFmtId="1" fontId="29" fillId="20" borderId="19" xfId="124" applyNumberFormat="1" applyFont="1" applyFill="1" applyBorder="1" applyAlignment="1">
      <alignment horizontal="right"/>
    </xf>
    <xf numFmtId="1" fontId="29" fillId="20" borderId="87" xfId="124" applyNumberFormat="1" applyFont="1" applyFill="1" applyBorder="1" applyAlignment="1">
      <alignment horizontal="right"/>
    </xf>
    <xf numFmtId="1" fontId="29" fillId="20" borderId="64" xfId="124" applyNumberFormat="1" applyFont="1" applyFill="1" applyBorder="1" applyAlignment="1">
      <alignment horizontal="right"/>
    </xf>
    <xf numFmtId="1" fontId="29" fillId="20" borderId="40" xfId="124" applyNumberFormat="1" applyFont="1" applyFill="1" applyBorder="1" applyAlignment="1">
      <alignment horizontal="left"/>
    </xf>
    <xf numFmtId="1" fontId="29" fillId="20" borderId="40" xfId="124" applyNumberFormat="1" applyFont="1" applyFill="1" applyBorder="1" applyAlignment="1">
      <alignment horizontal="right"/>
    </xf>
    <xf numFmtId="1" fontId="29" fillId="20" borderId="72" xfId="124" applyNumberFormat="1" applyFont="1" applyFill="1" applyBorder="1" applyAlignment="1">
      <alignment horizontal="right"/>
    </xf>
    <xf numFmtId="1" fontId="29" fillId="20" borderId="86" xfId="124" applyNumberFormat="1" applyFont="1" applyFill="1" applyBorder="1" applyAlignment="1">
      <alignment horizontal="right"/>
    </xf>
    <xf numFmtId="1" fontId="29" fillId="20" borderId="88" xfId="124" applyNumberFormat="1" applyFont="1" applyFill="1" applyBorder="1" applyAlignment="1">
      <alignment horizontal="right"/>
    </xf>
    <xf numFmtId="1" fontId="29" fillId="20" borderId="95" xfId="124" applyNumberFormat="1" applyFont="1" applyFill="1" applyBorder="1" applyAlignment="1">
      <alignment horizontal="right"/>
    </xf>
    <xf numFmtId="1" fontId="29" fillId="20" borderId="137" xfId="124" applyNumberFormat="1" applyFont="1" applyFill="1" applyBorder="1" applyAlignment="1">
      <alignment horizontal="left"/>
    </xf>
    <xf numFmtId="1" fontId="29" fillId="20" borderId="137" xfId="124" applyNumberFormat="1" applyFont="1" applyFill="1" applyBorder="1" applyAlignment="1">
      <alignment horizontal="right"/>
    </xf>
    <xf numFmtId="1" fontId="29" fillId="20" borderId="5" xfId="124" applyNumberFormat="1" applyFont="1" applyFill="1" applyBorder="1" applyAlignment="1">
      <alignment horizontal="right"/>
    </xf>
    <xf numFmtId="1" fontId="29" fillId="20" borderId="178" xfId="124" applyNumberFormat="1" applyFont="1" applyFill="1" applyBorder="1" applyAlignment="1">
      <alignment horizontal="right"/>
    </xf>
    <xf numFmtId="1" fontId="29" fillId="20" borderId="183" xfId="124" applyNumberFormat="1" applyFont="1" applyFill="1" applyBorder="1" applyAlignment="1">
      <alignment horizontal="right"/>
    </xf>
    <xf numFmtId="1" fontId="29" fillId="20" borderId="51" xfId="124" applyNumberFormat="1" applyFont="1" applyFill="1" applyBorder="1" applyAlignment="1">
      <alignment horizontal="right"/>
    </xf>
    <xf numFmtId="1" fontId="29" fillId="20" borderId="180" xfId="124" applyNumberFormat="1" applyFont="1" applyFill="1" applyBorder="1" applyAlignment="1">
      <alignment horizontal="center"/>
    </xf>
    <xf numFmtId="1" fontId="29" fillId="20" borderId="188" xfId="124" applyNumberFormat="1" applyFont="1" applyFill="1" applyBorder="1" applyAlignment="1">
      <alignment horizontal="right"/>
    </xf>
    <xf numFmtId="1" fontId="29" fillId="20" borderId="189" xfId="124" applyNumberFormat="1" applyFont="1" applyFill="1" applyBorder="1" applyAlignment="1">
      <alignment horizontal="right"/>
    </xf>
    <xf numFmtId="1" fontId="29" fillId="20" borderId="179" xfId="124" applyNumberFormat="1" applyFont="1" applyFill="1" applyBorder="1" applyAlignment="1">
      <alignment horizontal="right"/>
    </xf>
    <xf numFmtId="1" fontId="29" fillId="20" borderId="193" xfId="124" applyNumberFormat="1" applyFont="1" applyFill="1" applyBorder="1" applyAlignment="1">
      <alignment horizontal="right"/>
    </xf>
    <xf numFmtId="1" fontId="29" fillId="20" borderId="182" xfId="124" applyNumberFormat="1" applyFont="1" applyFill="1" applyBorder="1" applyAlignment="1">
      <alignment horizontal="right"/>
    </xf>
    <xf numFmtId="1" fontId="29" fillId="20" borderId="52" xfId="124" applyNumberFormat="1" applyFont="1" applyFill="1" applyBorder="1" applyAlignment="1">
      <alignment horizontal="right"/>
    </xf>
    <xf numFmtId="1" fontId="29" fillId="20" borderId="14" xfId="124" applyNumberFormat="1" applyFont="1" applyFill="1" applyBorder="1" applyAlignment="1">
      <alignment horizontal="right"/>
    </xf>
    <xf numFmtId="1" fontId="29" fillId="23" borderId="5" xfId="124" applyNumberFormat="1" applyFont="1" applyFill="1" applyBorder="1" applyAlignment="1" applyProtection="1">
      <alignment horizontal="right"/>
      <protection locked="0"/>
    </xf>
    <xf numFmtId="1" fontId="29" fillId="23" borderId="178" xfId="124" applyNumberFormat="1" applyFont="1" applyFill="1" applyBorder="1" applyAlignment="1" applyProtection="1">
      <alignment horizontal="right"/>
      <protection locked="0"/>
    </xf>
    <xf numFmtId="1" fontId="29" fillId="23" borderId="141" xfId="124" applyNumberFormat="1" applyFont="1" applyFill="1" applyBorder="1" applyAlignment="1" applyProtection="1">
      <alignment horizontal="right"/>
      <protection locked="0"/>
    </xf>
    <xf numFmtId="1" fontId="29" fillId="23" borderId="173" xfId="124" applyNumberFormat="1" applyFont="1" applyFill="1" applyBorder="1" applyAlignment="1" applyProtection="1">
      <alignment horizontal="right"/>
      <protection locked="0"/>
    </xf>
    <xf numFmtId="1" fontId="29" fillId="23" borderId="183" xfId="124" applyNumberFormat="1" applyFont="1" applyFill="1" applyBorder="1" applyAlignment="1" applyProtection="1">
      <alignment horizontal="right"/>
      <protection locked="0"/>
    </xf>
    <xf numFmtId="1" fontId="29" fillId="23" borderId="51" xfId="124" applyNumberFormat="1" applyFont="1" applyFill="1" applyBorder="1" applyAlignment="1" applyProtection="1">
      <alignment horizontal="right"/>
      <protection locked="0"/>
    </xf>
    <xf numFmtId="1" fontId="29" fillId="21" borderId="137" xfId="0" applyNumberFormat="1" applyFont="1" applyFill="1" applyBorder="1"/>
    <xf numFmtId="1" fontId="29" fillId="25" borderId="0" xfId="0" applyNumberFormat="1" applyFont="1" applyFill="1"/>
    <xf numFmtId="1" fontId="30" fillId="0" borderId="0" xfId="0" applyNumberFormat="1" applyFont="1" applyAlignment="1">
      <alignment horizontal="center"/>
    </xf>
    <xf numFmtId="1" fontId="30" fillId="0" borderId="0" xfId="130" applyNumberFormat="1" applyFont="1" applyAlignment="1">
      <alignment horizontal="left"/>
    </xf>
    <xf numFmtId="1" fontId="35" fillId="0" borderId="0" xfId="125" applyNumberFormat="1" applyFont="1" applyAlignment="1">
      <alignment vertical="center" wrapText="1"/>
    </xf>
    <xf numFmtId="1" fontId="36" fillId="0" borderId="4" xfId="125" applyNumberFormat="1" applyFont="1" applyBorder="1"/>
    <xf numFmtId="1" fontId="35" fillId="0" borderId="4" xfId="125" applyNumberFormat="1" applyFont="1" applyBorder="1"/>
    <xf numFmtId="1" fontId="30" fillId="0" borderId="4" xfId="125" applyNumberFormat="1" applyFont="1" applyBorder="1"/>
    <xf numFmtId="1" fontId="30" fillId="0" borderId="0" xfId="125" applyNumberFormat="1" applyFont="1"/>
    <xf numFmtId="1" fontId="30" fillId="0" borderId="0" xfId="125" applyNumberFormat="1" applyFont="1" applyAlignment="1">
      <alignment vertical="center"/>
    </xf>
    <xf numFmtId="1" fontId="29" fillId="0" borderId="0" xfId="125" applyNumberFormat="1" applyFont="1"/>
    <xf numFmtId="1" fontId="29" fillId="0" borderId="189" xfId="125" applyNumberFormat="1" applyFont="1" applyBorder="1" applyAlignment="1">
      <alignment horizontal="center" vertical="center"/>
    </xf>
    <xf numFmtId="1" fontId="29" fillId="0" borderId="186" xfId="125" applyNumberFormat="1" applyFont="1" applyBorder="1" applyAlignment="1">
      <alignment horizontal="center" vertical="center"/>
    </xf>
    <xf numFmtId="1" fontId="29" fillId="0" borderId="188" xfId="125" applyNumberFormat="1" applyFont="1" applyBorder="1" applyAlignment="1">
      <alignment horizontal="center" vertical="center"/>
    </xf>
    <xf numFmtId="1" fontId="29" fillId="0" borderId="188" xfId="125" applyNumberFormat="1" applyFont="1" applyBorder="1" applyAlignment="1" applyProtection="1">
      <alignment horizontal="center" vertical="center"/>
      <protection hidden="1"/>
    </xf>
    <xf numFmtId="1" fontId="29" fillId="0" borderId="186" xfId="125" applyNumberFormat="1" applyFont="1" applyBorder="1" applyAlignment="1" applyProtection="1">
      <alignment horizontal="center" vertical="center"/>
      <protection hidden="1"/>
    </xf>
    <xf numFmtId="1" fontId="29" fillId="0" borderId="5" xfId="0" applyNumberFormat="1" applyFont="1" applyBorder="1" applyAlignment="1">
      <alignment horizontal="center" vertical="center"/>
    </xf>
    <xf numFmtId="1" fontId="29" fillId="0" borderId="141" xfId="0" applyNumberFormat="1" applyFont="1" applyBorder="1" applyAlignment="1">
      <alignment horizontal="center" vertical="center"/>
    </xf>
    <xf numFmtId="1" fontId="29" fillId="0" borderId="5" xfId="108" applyNumberFormat="1" applyFont="1" applyBorder="1" applyAlignment="1">
      <alignment horizontal="center" vertical="center" wrapText="1"/>
    </xf>
    <xf numFmtId="1" fontId="29" fillId="0" borderId="141" xfId="108" applyNumberFormat="1" applyFont="1" applyBorder="1" applyAlignment="1">
      <alignment horizontal="center" vertical="center" wrapText="1"/>
    </xf>
    <xf numFmtId="1" fontId="29" fillId="0" borderId="10" xfId="108" applyNumberFormat="1" applyFont="1" applyBorder="1" applyAlignment="1">
      <alignment horizontal="center" vertical="center" wrapText="1"/>
    </xf>
    <xf numFmtId="1" fontId="29" fillId="0" borderId="50" xfId="108" applyNumberFormat="1" applyFont="1" applyBorder="1" applyAlignment="1">
      <alignment horizontal="center" vertical="center" wrapText="1"/>
    </xf>
    <xf numFmtId="1" fontId="29" fillId="0" borderId="187" xfId="108" applyNumberFormat="1" applyFont="1" applyBorder="1" applyAlignment="1">
      <alignment horizontal="center" vertical="center" wrapText="1"/>
    </xf>
    <xf numFmtId="1" fontId="29" fillId="0" borderId="15" xfId="125" applyNumberFormat="1" applyFont="1" applyBorder="1" applyAlignment="1">
      <alignment horizontal="right"/>
    </xf>
    <xf numFmtId="1" fontId="29" fillId="0" borderId="11" xfId="125" applyNumberFormat="1" applyFont="1" applyBorder="1" applyAlignment="1">
      <alignment horizontal="right"/>
    </xf>
    <xf numFmtId="1" fontId="29" fillId="0" borderId="56" xfId="125" applyNumberFormat="1" applyFont="1" applyBorder="1" applyAlignment="1">
      <alignment horizontal="right"/>
    </xf>
    <xf numFmtId="1" fontId="29" fillId="20" borderId="41" xfId="125" applyNumberFormat="1" applyFont="1" applyFill="1" applyBorder="1" applyAlignment="1">
      <alignment horizontal="right"/>
    </xf>
    <xf numFmtId="1" fontId="29" fillId="20" borderId="56" xfId="125" applyNumberFormat="1" applyFont="1" applyFill="1" applyBorder="1" applyAlignment="1">
      <alignment horizontal="right"/>
    </xf>
    <xf numFmtId="1" fontId="29" fillId="20" borderId="57" xfId="125" applyNumberFormat="1" applyFont="1" applyFill="1" applyBorder="1" applyAlignment="1">
      <alignment horizontal="right"/>
    </xf>
    <xf numFmtId="1" fontId="0" fillId="0" borderId="0" xfId="0" applyNumberFormat="1"/>
    <xf numFmtId="1" fontId="29" fillId="0" borderId="48" xfId="125" applyNumberFormat="1" applyFont="1" applyBorder="1" applyAlignment="1">
      <alignment horizontal="right"/>
    </xf>
    <xf numFmtId="1" fontId="29" fillId="0" borderId="20" xfId="125" applyNumberFormat="1" applyFont="1" applyBorder="1" applyAlignment="1">
      <alignment horizontal="right"/>
    </xf>
    <xf numFmtId="1" fontId="29" fillId="0" borderId="43" xfId="125" applyNumberFormat="1" applyFont="1" applyBorder="1" applyAlignment="1">
      <alignment horizontal="right"/>
    </xf>
    <xf numFmtId="1" fontId="29" fillId="20" borderId="61" xfId="125" applyNumberFormat="1" applyFont="1" applyFill="1" applyBorder="1" applyAlignment="1">
      <alignment horizontal="right"/>
    </xf>
    <xf numFmtId="1" fontId="29" fillId="20" borderId="62" xfId="125" applyNumberFormat="1" applyFont="1" applyFill="1" applyBorder="1" applyAlignment="1">
      <alignment horizontal="right"/>
    </xf>
    <xf numFmtId="1" fontId="29" fillId="20" borderId="42" xfId="125" applyNumberFormat="1" applyFont="1" applyFill="1" applyBorder="1" applyAlignment="1">
      <alignment horizontal="right"/>
    </xf>
    <xf numFmtId="1" fontId="29" fillId="20" borderId="43" xfId="125" applyNumberFormat="1" applyFont="1" applyFill="1" applyBorder="1" applyAlignment="1">
      <alignment horizontal="right"/>
    </xf>
    <xf numFmtId="1" fontId="29" fillId="20" borderId="101" xfId="125" applyNumberFormat="1" applyFont="1" applyFill="1" applyBorder="1" applyAlignment="1">
      <alignment horizontal="right"/>
    </xf>
    <xf numFmtId="1" fontId="29" fillId="0" borderId="14" xfId="124" applyNumberFormat="1" applyFont="1" applyBorder="1" applyAlignment="1">
      <alignment horizontal="left" vertical="center"/>
    </xf>
    <xf numFmtId="1" fontId="29" fillId="0" borderId="169" xfId="125" applyNumberFormat="1" applyFont="1" applyBorder="1" applyAlignment="1">
      <alignment horizontal="right"/>
    </xf>
    <xf numFmtId="1" fontId="29" fillId="0" borderId="23" xfId="125" applyNumberFormat="1" applyFont="1" applyBorder="1" applyAlignment="1">
      <alignment horizontal="right"/>
    </xf>
    <xf numFmtId="1" fontId="29" fillId="0" borderId="60" xfId="125" applyNumberFormat="1" applyFont="1" applyBorder="1" applyAlignment="1">
      <alignment horizontal="right"/>
    </xf>
    <xf numFmtId="1" fontId="29" fillId="20" borderId="67" xfId="125" applyNumberFormat="1" applyFont="1" applyFill="1" applyBorder="1" applyAlignment="1">
      <alignment horizontal="right"/>
    </xf>
    <xf numFmtId="1" fontId="29" fillId="20" borderId="65" xfId="125" applyNumberFormat="1" applyFont="1" applyFill="1" applyBorder="1" applyAlignment="1">
      <alignment horizontal="right"/>
    </xf>
    <xf numFmtId="1" fontId="29" fillId="20" borderId="102" xfId="125" applyNumberFormat="1" applyFont="1" applyFill="1" applyBorder="1" applyAlignment="1">
      <alignment horizontal="right"/>
    </xf>
    <xf numFmtId="1" fontId="29" fillId="0" borderId="6" xfId="125" applyNumberFormat="1" applyFont="1" applyBorder="1" applyAlignment="1">
      <alignment horizontal="right"/>
    </xf>
    <xf numFmtId="1" fontId="29" fillId="0" borderId="70" xfId="125" applyNumberFormat="1" applyFont="1" applyBorder="1" applyAlignment="1">
      <alignment horizontal="right"/>
    </xf>
    <xf numFmtId="1" fontId="29" fillId="0" borderId="71" xfId="125" applyNumberFormat="1" applyFont="1" applyBorder="1" applyAlignment="1">
      <alignment horizontal="right"/>
    </xf>
    <xf numFmtId="1" fontId="29" fillId="0" borderId="13" xfId="126" applyNumberFormat="1" applyFont="1" applyBorder="1" applyAlignment="1">
      <alignment horizontal="left" vertical="center"/>
    </xf>
    <xf numFmtId="1" fontId="29" fillId="0" borderId="16" xfId="125" applyNumberFormat="1" applyFont="1" applyBorder="1" applyAlignment="1">
      <alignment horizontal="right"/>
    </xf>
    <xf numFmtId="1" fontId="29" fillId="0" borderId="62" xfId="125" applyNumberFormat="1" applyFont="1" applyBorder="1" applyAlignment="1">
      <alignment horizontal="right"/>
    </xf>
    <xf numFmtId="1" fontId="29" fillId="0" borderId="14" xfId="126" applyNumberFormat="1" applyFont="1" applyBorder="1" applyAlignment="1">
      <alignment horizontal="left" vertical="center" wrapText="1"/>
    </xf>
    <xf numFmtId="1" fontId="29" fillId="0" borderId="40" xfId="125" applyNumberFormat="1" applyFont="1" applyBorder="1" applyAlignment="1">
      <alignment horizontal="right"/>
    </xf>
    <xf numFmtId="1" fontId="29" fillId="20" borderId="72" xfId="125" applyNumberFormat="1" applyFont="1" applyFill="1" applyBorder="1" applyAlignment="1">
      <alignment horizontal="right"/>
    </xf>
    <xf numFmtId="1" fontId="29" fillId="20" borderId="71" xfId="125" applyNumberFormat="1" applyFont="1" applyFill="1" applyBorder="1" applyAlignment="1">
      <alignment horizontal="right"/>
    </xf>
    <xf numFmtId="1" fontId="29" fillId="20" borderId="52" xfId="125" applyNumberFormat="1" applyFont="1" applyFill="1" applyBorder="1" applyAlignment="1">
      <alignment horizontal="right"/>
    </xf>
    <xf numFmtId="1" fontId="29" fillId="20" borderId="53" xfId="125" applyNumberFormat="1" applyFont="1" applyFill="1" applyBorder="1" applyAlignment="1">
      <alignment horizontal="right"/>
    </xf>
    <xf numFmtId="1" fontId="29" fillId="0" borderId="19" xfId="125" applyNumberFormat="1" applyFont="1" applyBorder="1" applyAlignment="1">
      <alignment horizontal="right"/>
    </xf>
    <xf numFmtId="1" fontId="29" fillId="20" borderId="21" xfId="125" applyNumberFormat="1" applyFont="1" applyFill="1" applyBorder="1" applyAlignment="1">
      <alignment horizontal="right"/>
    </xf>
    <xf numFmtId="1" fontId="29" fillId="20" borderId="19" xfId="125" applyNumberFormat="1" applyFont="1" applyFill="1" applyBorder="1" applyAlignment="1">
      <alignment horizontal="right"/>
    </xf>
    <xf numFmtId="1" fontId="29" fillId="20" borderId="20" xfId="125" applyNumberFormat="1" applyFont="1" applyFill="1" applyBorder="1" applyAlignment="1">
      <alignment horizontal="right"/>
    </xf>
    <xf numFmtId="1" fontId="29" fillId="0" borderId="18" xfId="125" applyNumberFormat="1" applyFont="1" applyBorder="1" applyAlignment="1">
      <alignment vertical="center" wrapText="1"/>
    </xf>
    <xf numFmtId="1" fontId="29" fillId="0" borderId="22" xfId="125" applyNumberFormat="1" applyFont="1" applyBorder="1" applyAlignment="1">
      <alignment vertical="center" wrapText="1"/>
    </xf>
    <xf numFmtId="1" fontId="29" fillId="0" borderId="74" xfId="125" applyNumberFormat="1" applyFont="1" applyBorder="1" applyAlignment="1">
      <alignment vertical="center" wrapText="1"/>
    </xf>
    <xf numFmtId="1" fontId="29" fillId="0" borderId="75" xfId="125" applyNumberFormat="1" applyFont="1" applyBorder="1" applyAlignment="1">
      <alignment horizontal="right"/>
    </xf>
    <xf numFmtId="1" fontId="29" fillId="0" borderId="76" xfId="125" applyNumberFormat="1" applyFont="1" applyBorder="1" applyAlignment="1">
      <alignment horizontal="right"/>
    </xf>
    <xf numFmtId="1" fontId="29" fillId="0" borderId="132" xfId="125" applyNumberFormat="1" applyFont="1" applyBorder="1" applyAlignment="1">
      <alignment vertical="center" wrapText="1"/>
    </xf>
    <xf numFmtId="1" fontId="29" fillId="0" borderId="164" xfId="125" applyNumberFormat="1" applyFont="1" applyBorder="1" applyAlignment="1">
      <alignment horizontal="right"/>
    </xf>
    <xf numFmtId="1" fontId="29" fillId="0" borderId="79" xfId="125" applyNumberFormat="1" applyFont="1" applyBorder="1" applyAlignment="1">
      <alignment horizontal="right"/>
    </xf>
    <xf numFmtId="1" fontId="29" fillId="0" borderId="77" xfId="125" applyNumberFormat="1" applyFont="1" applyBorder="1" applyAlignment="1">
      <alignment horizontal="right"/>
    </xf>
    <xf numFmtId="1" fontId="29" fillId="0" borderId="4" xfId="125" applyNumberFormat="1" applyFont="1" applyBorder="1" applyAlignment="1">
      <alignment vertical="center" wrapText="1"/>
    </xf>
    <xf numFmtId="1" fontId="29" fillId="0" borderId="55" xfId="125" applyNumberFormat="1" applyFont="1" applyBorder="1" applyAlignment="1">
      <alignment horizontal="right"/>
    </xf>
    <xf numFmtId="1" fontId="29" fillId="0" borderId="53" xfId="125" applyNumberFormat="1" applyFont="1" applyBorder="1" applyAlignment="1">
      <alignment horizontal="right"/>
    </xf>
    <xf numFmtId="1" fontId="29" fillId="0" borderId="15" xfId="125" applyNumberFormat="1" applyFont="1" applyBorder="1" applyAlignment="1">
      <alignment vertical="center" wrapText="1"/>
    </xf>
    <xf numFmtId="1" fontId="29" fillId="0" borderId="13" xfId="125" applyNumberFormat="1" applyFont="1" applyBorder="1" applyAlignment="1">
      <alignment horizontal="right"/>
    </xf>
    <xf numFmtId="1" fontId="29" fillId="0" borderId="19" xfId="125" applyNumberFormat="1" applyFont="1" applyBorder="1" applyAlignment="1">
      <alignment vertical="center" wrapText="1"/>
    </xf>
    <xf numFmtId="1" fontId="29" fillId="0" borderId="22" xfId="125" applyNumberFormat="1" applyFont="1" applyBorder="1" applyAlignment="1">
      <alignment horizontal="right"/>
    </xf>
    <xf numFmtId="1" fontId="29" fillId="0" borderId="14" xfId="125" applyNumberFormat="1" applyFont="1" applyBorder="1" applyAlignment="1">
      <alignment vertical="center" wrapText="1"/>
    </xf>
    <xf numFmtId="1" fontId="29" fillId="0" borderId="14" xfId="125" applyNumberFormat="1" applyFont="1" applyBorder="1" applyAlignment="1">
      <alignment horizontal="right"/>
    </xf>
    <xf numFmtId="1" fontId="29" fillId="0" borderId="0" xfId="125" applyNumberFormat="1" applyFont="1" applyAlignment="1" applyProtection="1">
      <alignment vertical="center"/>
      <protection hidden="1"/>
    </xf>
    <xf numFmtId="1" fontId="30" fillId="0" borderId="0" xfId="125" applyNumberFormat="1" applyFont="1" applyAlignment="1" applyProtection="1">
      <alignment vertical="center" wrapText="1"/>
      <protection hidden="1"/>
    </xf>
    <xf numFmtId="1" fontId="29" fillId="0" borderId="0" xfId="125" applyNumberFormat="1" applyFont="1" applyProtection="1">
      <protection hidden="1"/>
    </xf>
    <xf numFmtId="1" fontId="29" fillId="22" borderId="14" xfId="0" applyNumberFormat="1" applyFont="1" applyFill="1" applyBorder="1" applyAlignment="1">
      <alignment horizontal="center" vertical="center" wrapText="1"/>
    </xf>
    <xf numFmtId="1" fontId="29" fillId="0" borderId="177" xfId="126" applyNumberFormat="1" applyFont="1" applyBorder="1" applyProtection="1">
      <protection hidden="1"/>
    </xf>
    <xf numFmtId="1" fontId="29" fillId="22" borderId="137" xfId="171" applyNumberFormat="1" applyFont="1" applyFill="1" applyBorder="1" applyAlignment="1" applyProtection="1">
      <alignment horizontal="right"/>
    </xf>
    <xf numFmtId="1" fontId="29" fillId="15" borderId="5" xfId="171" applyNumberFormat="1" applyFont="1" applyFill="1" applyBorder="1" applyAlignment="1">
      <alignment horizontal="right"/>
      <protection locked="0"/>
    </xf>
    <xf numFmtId="1" fontId="29" fillId="15" borderId="50" xfId="171" applyNumberFormat="1" applyFont="1" applyFill="1" applyBorder="1" applyAlignment="1">
      <alignment horizontal="right"/>
      <protection locked="0"/>
    </xf>
    <xf numFmtId="1" fontId="29" fillId="0" borderId="15" xfId="124" applyNumberFormat="1" applyFont="1" applyBorder="1" applyAlignment="1">
      <alignment horizontal="left" vertical="center" wrapText="1"/>
    </xf>
    <xf numFmtId="1" fontId="29" fillId="15" borderId="41" xfId="125" applyNumberFormat="1" applyFont="1" applyFill="1" applyBorder="1" applyAlignment="1" applyProtection="1">
      <alignment horizontal="right"/>
      <protection locked="0"/>
    </xf>
    <xf numFmtId="1" fontId="29" fillId="15" borderId="56" xfId="125" applyNumberFormat="1" applyFont="1" applyFill="1" applyBorder="1" applyAlignment="1" applyProtection="1">
      <alignment horizontal="right"/>
      <protection locked="0"/>
    </xf>
    <xf numFmtId="1" fontId="29" fillId="15" borderId="11" xfId="125" applyNumberFormat="1" applyFont="1" applyFill="1" applyBorder="1" applyAlignment="1" applyProtection="1">
      <alignment horizontal="right"/>
      <protection locked="0"/>
    </xf>
    <xf numFmtId="1" fontId="29" fillId="15" borderId="57" xfId="125" applyNumberFormat="1" applyFont="1" applyFill="1" applyBorder="1" applyAlignment="1" applyProtection="1">
      <alignment horizontal="right"/>
      <protection locked="0"/>
    </xf>
    <xf numFmtId="1" fontId="29" fillId="0" borderId="19" xfId="124" applyNumberFormat="1" applyFont="1" applyBorder="1" applyAlignment="1">
      <alignment horizontal="left" vertical="center" wrapText="1"/>
    </xf>
    <xf numFmtId="1" fontId="29" fillId="15" borderId="42" xfId="125" applyNumberFormat="1" applyFont="1" applyFill="1" applyBorder="1" applyAlignment="1" applyProtection="1">
      <alignment horizontal="right"/>
      <protection locked="0"/>
    </xf>
    <xf numFmtId="1" fontId="29" fillId="15" borderId="43" xfId="125" applyNumberFormat="1" applyFont="1" applyFill="1" applyBorder="1" applyAlignment="1" applyProtection="1">
      <alignment horizontal="right"/>
      <protection locked="0"/>
    </xf>
    <xf numFmtId="1" fontId="29" fillId="15" borderId="20" xfId="125" applyNumberFormat="1" applyFont="1" applyFill="1" applyBorder="1" applyAlignment="1" applyProtection="1">
      <alignment horizontal="right"/>
      <protection locked="0"/>
    </xf>
    <xf numFmtId="1" fontId="29" fillId="15" borderId="21" xfId="125" applyNumberFormat="1" applyFont="1" applyFill="1" applyBorder="1" applyAlignment="1" applyProtection="1">
      <alignment horizontal="right"/>
      <protection locked="0"/>
    </xf>
    <xf numFmtId="1" fontId="29" fillId="0" borderId="6" xfId="124" applyNumberFormat="1" applyFont="1" applyBorder="1" applyAlignment="1">
      <alignment horizontal="left" vertical="center" wrapText="1"/>
    </xf>
    <xf numFmtId="1" fontId="29" fillId="15" borderId="55" xfId="125" applyNumberFormat="1" applyFont="1" applyFill="1" applyBorder="1" applyAlignment="1" applyProtection="1">
      <alignment horizontal="right"/>
      <protection locked="0"/>
    </xf>
    <xf numFmtId="1" fontId="29" fillId="15" borderId="53" xfId="125" applyNumberFormat="1" applyFont="1" applyFill="1" applyBorder="1" applyAlignment="1" applyProtection="1">
      <alignment horizontal="right"/>
      <protection locked="0"/>
    </xf>
    <xf numFmtId="1" fontId="29" fillId="15" borderId="52" xfId="125" applyNumberFormat="1" applyFont="1" applyFill="1" applyBorder="1" applyAlignment="1" applyProtection="1">
      <alignment horizontal="right"/>
      <protection locked="0"/>
    </xf>
    <xf numFmtId="1" fontId="29" fillId="15" borderId="106" xfId="125" applyNumberFormat="1" applyFont="1" applyFill="1" applyBorder="1" applyAlignment="1" applyProtection="1">
      <alignment horizontal="right"/>
      <protection locked="0"/>
    </xf>
    <xf numFmtId="1" fontId="29" fillId="0" borderId="180" xfId="126" applyNumberFormat="1" applyFont="1" applyBorder="1" applyAlignment="1" applyProtection="1">
      <alignment horizontal="center" vertical="center" wrapText="1"/>
      <protection hidden="1"/>
    </xf>
    <xf numFmtId="1" fontId="29" fillId="0" borderId="5" xfId="125" applyNumberFormat="1" applyFont="1" applyBorder="1" applyAlignment="1">
      <alignment horizontal="center" vertical="center"/>
    </xf>
    <xf numFmtId="1" fontId="29" fillId="0" borderId="141" xfId="125" applyNumberFormat="1" applyFont="1" applyBorder="1" applyAlignment="1">
      <alignment horizontal="center" vertical="center"/>
    </xf>
    <xf numFmtId="1" fontId="29" fillId="0" borderId="5" xfId="125" applyNumberFormat="1" applyFont="1" applyBorder="1" applyAlignment="1" applyProtection="1">
      <alignment horizontal="center" vertical="center"/>
      <protection hidden="1"/>
    </xf>
    <xf numFmtId="1" fontId="29" fillId="0" borderId="141" xfId="125" applyNumberFormat="1" applyFont="1" applyBorder="1" applyAlignment="1" applyProtection="1">
      <alignment horizontal="center" vertical="center"/>
      <protection hidden="1"/>
    </xf>
    <xf numFmtId="1" fontId="29" fillId="0" borderId="82" xfId="124" applyNumberFormat="1" applyFont="1" applyBorder="1" applyAlignment="1">
      <alignment horizontal="left" vertical="center"/>
    </xf>
    <xf numFmtId="1" fontId="29" fillId="0" borderId="12" xfId="125" applyNumberFormat="1" applyFont="1" applyBorder="1" applyAlignment="1">
      <alignment horizontal="right"/>
    </xf>
    <xf numFmtId="1" fontId="29" fillId="0" borderId="83" xfId="124" applyNumberFormat="1" applyFont="1" applyBorder="1" applyAlignment="1">
      <alignment horizontal="left" vertical="center"/>
    </xf>
    <xf numFmtId="1" fontId="29" fillId="0" borderId="15" xfId="126" applyNumberFormat="1" applyFont="1" applyBorder="1" applyAlignment="1">
      <alignment horizontal="left" vertical="center"/>
    </xf>
    <xf numFmtId="1" fontId="29" fillId="20" borderId="13" xfId="125" applyNumberFormat="1" applyFont="1" applyFill="1" applyBorder="1" applyAlignment="1">
      <alignment horizontal="right"/>
    </xf>
    <xf numFmtId="1" fontId="29" fillId="0" borderId="80" xfId="125" applyNumberFormat="1" applyFont="1" applyBorder="1" applyAlignment="1">
      <alignment horizontal="right"/>
    </xf>
    <xf numFmtId="1" fontId="29" fillId="0" borderId="65" xfId="125" applyNumberFormat="1" applyFont="1" applyBorder="1" applyAlignment="1">
      <alignment horizontal="right"/>
    </xf>
    <xf numFmtId="1" fontId="29" fillId="20" borderId="22" xfId="125" applyNumberFormat="1" applyFont="1" applyFill="1" applyBorder="1" applyAlignment="1">
      <alignment horizontal="right"/>
    </xf>
    <xf numFmtId="1" fontId="29" fillId="0" borderId="6" xfId="124" applyNumberFormat="1" applyFont="1" applyBorder="1" applyAlignment="1">
      <alignment horizontal="left" vertical="center"/>
    </xf>
    <xf numFmtId="1" fontId="29" fillId="20" borderId="86" xfId="125" applyNumberFormat="1" applyFont="1" applyFill="1" applyBorder="1" applyAlignment="1">
      <alignment horizontal="right"/>
    </xf>
    <xf numFmtId="1" fontId="36" fillId="22" borderId="0" xfId="0" applyNumberFormat="1" applyFont="1" applyFill="1" applyAlignment="1">
      <alignment horizontal="left"/>
    </xf>
    <xf numFmtId="1" fontId="39" fillId="22" borderId="0" xfId="0" applyNumberFormat="1" applyFont="1" applyFill="1" applyAlignment="1">
      <alignment horizontal="left"/>
    </xf>
    <xf numFmtId="1" fontId="29" fillId="0" borderId="137" xfId="0" applyNumberFormat="1" applyFont="1" applyBorder="1" applyAlignment="1">
      <alignment horizontal="center" vertical="center"/>
    </xf>
    <xf numFmtId="1" fontId="29" fillId="17" borderId="137" xfId="0" applyNumberFormat="1" applyFont="1" applyFill="1" applyBorder="1" applyAlignment="1">
      <alignment horizontal="center" vertical="center"/>
    </xf>
    <xf numFmtId="1" fontId="29" fillId="17" borderId="187" xfId="0" applyNumberFormat="1" applyFont="1" applyFill="1" applyBorder="1" applyAlignment="1">
      <alignment horizontal="center" vertical="center"/>
    </xf>
    <xf numFmtId="1" fontId="29" fillId="17" borderId="141" xfId="0" applyNumberFormat="1" applyFont="1" applyFill="1" applyBorder="1" applyAlignment="1">
      <alignment horizontal="center" vertical="center"/>
    </xf>
    <xf numFmtId="1" fontId="29" fillId="0" borderId="184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left" vertical="center" wrapText="1"/>
    </xf>
    <xf numFmtId="1" fontId="29" fillId="17" borderId="15" xfId="0" applyNumberFormat="1" applyFont="1" applyFill="1" applyBorder="1" applyAlignment="1">
      <alignment horizontal="center" vertical="center" wrapText="1"/>
    </xf>
    <xf numFmtId="1" fontId="29" fillId="22" borderId="11" xfId="0" applyNumberFormat="1" applyFont="1" applyFill="1" applyBorder="1" applyAlignment="1">
      <alignment horizontal="center" vertical="center"/>
    </xf>
    <xf numFmtId="1" fontId="29" fillId="22" borderId="13" xfId="0" applyNumberFormat="1" applyFont="1" applyFill="1" applyBorder="1" applyAlignment="1">
      <alignment horizontal="center" vertical="center"/>
    </xf>
    <xf numFmtId="1" fontId="29" fillId="20" borderId="41" xfId="0" applyNumberFormat="1" applyFont="1" applyFill="1" applyBorder="1" applyAlignment="1">
      <alignment horizontal="right"/>
    </xf>
    <xf numFmtId="1" fontId="29" fillId="20" borderId="62" xfId="0" applyNumberFormat="1" applyFont="1" applyFill="1" applyBorder="1" applyAlignment="1">
      <alignment horizontal="right"/>
    </xf>
    <xf numFmtId="1" fontId="29" fillId="17" borderId="19" xfId="0" applyNumberFormat="1" applyFont="1" applyFill="1" applyBorder="1" applyAlignment="1">
      <alignment horizontal="left" vertical="center" wrapText="1"/>
    </xf>
    <xf numFmtId="1" fontId="29" fillId="17" borderId="19" xfId="0" applyNumberFormat="1" applyFont="1" applyFill="1" applyBorder="1" applyAlignment="1">
      <alignment horizontal="center" vertical="center" wrapText="1"/>
    </xf>
    <xf numFmtId="1" fontId="29" fillId="22" borderId="20" xfId="0" applyNumberFormat="1" applyFont="1" applyFill="1" applyBorder="1" applyAlignment="1">
      <alignment horizontal="center" vertical="center"/>
    </xf>
    <xf numFmtId="1" fontId="29" fillId="22" borderId="22" xfId="0" applyNumberFormat="1" applyFont="1" applyFill="1" applyBorder="1" applyAlignment="1">
      <alignment horizontal="center" vertical="center"/>
    </xf>
    <xf numFmtId="1" fontId="29" fillId="20" borderId="42" xfId="0" applyNumberFormat="1" applyFont="1" applyFill="1" applyBorder="1" applyAlignment="1">
      <alignment horizontal="right"/>
    </xf>
    <xf numFmtId="1" fontId="29" fillId="20" borderId="43" xfId="0" applyNumberFormat="1" applyFont="1" applyFill="1" applyBorder="1" applyAlignment="1">
      <alignment horizontal="right"/>
    </xf>
    <xf numFmtId="1" fontId="29" fillId="17" borderId="6" xfId="0" applyNumberFormat="1" applyFont="1" applyFill="1" applyBorder="1" applyAlignment="1">
      <alignment horizontal="left" vertical="center" wrapText="1"/>
    </xf>
    <xf numFmtId="1" fontId="29" fillId="17" borderId="6" xfId="0" applyNumberFormat="1" applyFont="1" applyFill="1" applyBorder="1" applyAlignment="1">
      <alignment horizontal="center" vertical="center" wrapText="1"/>
    </xf>
    <xf numFmtId="1" fontId="29" fillId="22" borderId="55" xfId="0" applyNumberFormat="1" applyFont="1" applyFill="1" applyBorder="1" applyAlignment="1">
      <alignment horizontal="center" vertical="center"/>
    </xf>
    <xf numFmtId="1" fontId="29" fillId="22" borderId="14" xfId="0" applyNumberFormat="1" applyFont="1" applyFill="1" applyBorder="1" applyAlignment="1">
      <alignment horizontal="center" vertical="center"/>
    </xf>
    <xf numFmtId="1" fontId="29" fillId="20" borderId="53" xfId="0" applyNumberFormat="1" applyFont="1" applyFill="1" applyBorder="1" applyAlignment="1">
      <alignment horizontal="right"/>
    </xf>
    <xf numFmtId="1" fontId="29" fillId="17" borderId="48" xfId="0" applyNumberFormat="1" applyFont="1" applyFill="1" applyBorder="1" applyAlignment="1">
      <alignment horizontal="center" vertical="center" wrapText="1"/>
    </xf>
    <xf numFmtId="1" fontId="29" fillId="22" borderId="16" xfId="0" applyNumberFormat="1" applyFont="1" applyFill="1" applyBorder="1" applyAlignment="1">
      <alignment horizontal="center" vertical="center"/>
    </xf>
    <xf numFmtId="1" fontId="29" fillId="22" borderId="18" xfId="0" applyNumberFormat="1" applyFont="1" applyFill="1" applyBorder="1" applyAlignment="1">
      <alignment horizontal="center" vertical="center"/>
    </xf>
    <xf numFmtId="1" fontId="29" fillId="24" borderId="137" xfId="0" applyNumberFormat="1" applyFont="1" applyFill="1" applyBorder="1"/>
    <xf numFmtId="1" fontId="29" fillId="24" borderId="0" xfId="0" applyNumberFormat="1" applyFont="1" applyFill="1"/>
    <xf numFmtId="1" fontId="36" fillId="0" borderId="0" xfId="125" applyNumberFormat="1" applyFont="1" applyAlignment="1" applyProtection="1">
      <alignment horizontal="left"/>
      <protection hidden="1"/>
    </xf>
    <xf numFmtId="1" fontId="36" fillId="0" borderId="0" xfId="125" applyNumberFormat="1" applyFont="1" applyAlignment="1" applyProtection="1">
      <alignment horizontal="center" vertical="center"/>
      <protection hidden="1"/>
    </xf>
    <xf numFmtId="1" fontId="30" fillId="0" borderId="0" xfId="125" applyNumberFormat="1" applyFont="1" applyAlignment="1" applyProtection="1">
      <alignment horizontal="center" vertical="center"/>
      <protection hidden="1"/>
    </xf>
    <xf numFmtId="1" fontId="29" fillId="0" borderId="137" xfId="125" applyNumberFormat="1" applyFont="1" applyBorder="1" applyAlignment="1" applyProtection="1">
      <alignment horizontal="center" vertical="center" wrapText="1"/>
      <protection hidden="1"/>
    </xf>
    <xf numFmtId="1" fontId="29" fillId="0" borderId="5" xfId="126" applyNumberFormat="1" applyFont="1" applyBorder="1" applyAlignment="1" applyProtection="1">
      <alignment horizontal="center" vertical="center" wrapText="1"/>
      <protection hidden="1"/>
    </xf>
    <xf numFmtId="1" fontId="29" fillId="0" borderId="10" xfId="126" applyNumberFormat="1" applyFont="1" applyBorder="1" applyAlignment="1" applyProtection="1">
      <alignment horizontal="center" vertical="center" wrapText="1"/>
      <protection hidden="1"/>
    </xf>
    <xf numFmtId="1" fontId="29" fillId="22" borderId="6" xfId="0" applyNumberFormat="1" applyFont="1" applyFill="1" applyBorder="1" applyAlignment="1">
      <alignment horizontal="center" vertical="center" wrapText="1"/>
    </xf>
    <xf numFmtId="1" fontId="29" fillId="0" borderId="137" xfId="125" applyNumberFormat="1" applyFont="1" applyBorder="1" applyAlignment="1">
      <alignment horizontal="right"/>
    </xf>
    <xf numFmtId="1" fontId="29" fillId="0" borderId="187" xfId="125" applyNumberFormat="1" applyFont="1" applyBorder="1" applyAlignment="1">
      <alignment horizontal="right"/>
    </xf>
    <xf numFmtId="1" fontId="29" fillId="0" borderId="10" xfId="125" applyNumberFormat="1" applyFont="1" applyBorder="1" applyAlignment="1">
      <alignment horizontal="right"/>
    </xf>
    <xf numFmtId="1" fontId="29" fillId="32" borderId="137" xfId="125" applyNumberFormat="1" applyFont="1" applyFill="1" applyBorder="1" applyAlignment="1">
      <alignment horizontal="right"/>
    </xf>
    <xf numFmtId="1" fontId="29" fillId="32" borderId="183" xfId="125" applyNumberFormat="1" applyFont="1" applyFill="1" applyBorder="1" applyAlignment="1">
      <alignment horizontal="right"/>
    </xf>
    <xf numFmtId="1" fontId="29" fillId="32" borderId="178" xfId="125" applyNumberFormat="1" applyFont="1" applyFill="1" applyBorder="1" applyAlignment="1">
      <alignment horizontal="right"/>
    </xf>
    <xf numFmtId="1" fontId="29" fillId="32" borderId="0" xfId="125" applyNumberFormat="1" applyFont="1" applyFill="1" applyProtection="1">
      <protection hidden="1"/>
    </xf>
    <xf numFmtId="0" fontId="29" fillId="0" borderId="15" xfId="0" applyFont="1" applyBorder="1" applyAlignment="1">
      <alignment vertical="center" wrapText="1"/>
    </xf>
    <xf numFmtId="1" fontId="29" fillId="0" borderId="92" xfId="125" applyNumberFormat="1" applyFont="1" applyBorder="1" applyAlignment="1">
      <alignment horizontal="right"/>
    </xf>
    <xf numFmtId="0" fontId="29" fillId="0" borderId="27" xfId="0" applyFont="1" applyBorder="1" applyAlignment="1">
      <alignment vertical="center" wrapText="1"/>
    </xf>
    <xf numFmtId="0" fontId="29" fillId="0" borderId="40" xfId="0" applyFont="1" applyBorder="1" applyAlignment="1">
      <alignment vertical="center" wrapText="1"/>
    </xf>
    <xf numFmtId="1" fontId="29" fillId="0" borderId="81" xfId="125" applyNumberFormat="1" applyFont="1" applyBorder="1" applyAlignment="1">
      <alignment horizontal="right"/>
    </xf>
    <xf numFmtId="1" fontId="29" fillId="20" borderId="6" xfId="125" applyNumberFormat="1" applyFont="1" applyFill="1" applyBorder="1" applyAlignment="1">
      <alignment horizontal="right"/>
    </xf>
    <xf numFmtId="1" fontId="29" fillId="20" borderId="55" xfId="125" applyNumberFormat="1" applyFont="1" applyFill="1" applyBorder="1" applyAlignment="1">
      <alignment horizontal="right"/>
    </xf>
    <xf numFmtId="1" fontId="29" fillId="20" borderId="94" xfId="125" applyNumberFormat="1" applyFont="1" applyFill="1" applyBorder="1" applyAlignment="1">
      <alignment horizontal="right"/>
    </xf>
    <xf numFmtId="1" fontId="29" fillId="20" borderId="52" xfId="125" applyNumberFormat="1" applyFont="1" applyFill="1" applyBorder="1" applyAlignment="1" applyProtection="1">
      <alignment horizontal="right"/>
      <protection locked="0"/>
    </xf>
    <xf numFmtId="1" fontId="29" fillId="20" borderId="53" xfId="125" applyNumberFormat="1" applyFont="1" applyFill="1" applyBorder="1" applyAlignment="1" applyProtection="1">
      <alignment horizontal="right"/>
      <protection locked="0"/>
    </xf>
    <xf numFmtId="1" fontId="29" fillId="20" borderId="106" xfId="125" applyNumberFormat="1" applyFont="1" applyFill="1" applyBorder="1" applyAlignment="1" applyProtection="1">
      <alignment horizontal="right"/>
      <protection locked="0"/>
    </xf>
    <xf numFmtId="1" fontId="29" fillId="20" borderId="117" xfId="125" applyNumberFormat="1" applyFont="1" applyFill="1" applyBorder="1" applyAlignment="1" applyProtection="1">
      <alignment horizontal="right"/>
      <protection locked="0"/>
    </xf>
    <xf numFmtId="1" fontId="29" fillId="20" borderId="6" xfId="125" applyNumberFormat="1" applyFont="1" applyFill="1" applyBorder="1" applyAlignment="1" applyProtection="1">
      <alignment horizontal="right"/>
      <protection locked="0"/>
    </xf>
    <xf numFmtId="1" fontId="29" fillId="20" borderId="55" xfId="125" applyNumberFormat="1" applyFont="1" applyFill="1" applyBorder="1" applyAlignment="1" applyProtection="1">
      <alignment horizontal="right"/>
      <protection locked="0"/>
    </xf>
    <xf numFmtId="1" fontId="29" fillId="20" borderId="14" xfId="125" applyNumberFormat="1" applyFont="1" applyFill="1" applyBorder="1" applyAlignment="1" applyProtection="1">
      <alignment horizontal="right"/>
      <protection locked="0"/>
    </xf>
    <xf numFmtId="1" fontId="29" fillId="0" borderId="91" xfId="125" applyNumberFormat="1" applyFont="1" applyBorder="1" applyAlignment="1">
      <alignment horizontal="right"/>
    </xf>
    <xf numFmtId="1" fontId="29" fillId="32" borderId="41" xfId="125" applyNumberFormat="1" applyFont="1" applyFill="1" applyBorder="1" applyAlignment="1">
      <alignment horizontal="right"/>
    </xf>
    <xf numFmtId="1" fontId="29" fillId="0" borderId="94" xfId="125" applyNumberFormat="1" applyFont="1" applyBorder="1" applyAlignment="1">
      <alignment horizontal="right"/>
    </xf>
    <xf numFmtId="1" fontId="30" fillId="0" borderId="0" xfId="0" applyNumberFormat="1" applyFont="1" applyAlignment="1" applyProtection="1">
      <alignment wrapText="1"/>
      <protection hidden="1"/>
    </xf>
    <xf numFmtId="0" fontId="29" fillId="0" borderId="19" xfId="0" applyFont="1" applyBorder="1" applyAlignment="1">
      <alignment vertical="center" wrapText="1"/>
    </xf>
    <xf numFmtId="1" fontId="29" fillId="0" borderId="73" xfId="125" applyNumberFormat="1" applyFont="1" applyBorder="1" applyAlignment="1">
      <alignment horizontal="right"/>
    </xf>
    <xf numFmtId="1" fontId="29" fillId="20" borderId="107" xfId="125" applyNumberFormat="1" applyFont="1" applyFill="1" applyBorder="1" applyAlignment="1">
      <alignment horizontal="right"/>
    </xf>
    <xf numFmtId="0" fontId="29" fillId="0" borderId="6" xfId="0" applyFont="1" applyBorder="1" applyAlignment="1">
      <alignment vertical="center" wrapText="1"/>
    </xf>
    <xf numFmtId="1" fontId="29" fillId="0" borderId="27" xfId="125" applyNumberFormat="1" applyFont="1" applyBorder="1" applyAlignment="1">
      <alignment horizontal="right"/>
    </xf>
    <xf numFmtId="1" fontId="29" fillId="0" borderId="93" xfId="125" applyNumberFormat="1" applyFont="1" applyBorder="1" applyAlignment="1">
      <alignment horizontal="right"/>
    </xf>
    <xf numFmtId="1" fontId="29" fillId="20" borderId="15" xfId="0" applyNumberFormat="1" applyFont="1" applyFill="1" applyBorder="1" applyAlignment="1">
      <alignment horizontal="right"/>
    </xf>
    <xf numFmtId="1" fontId="29" fillId="20" borderId="19" xfId="0" applyNumberFormat="1" applyFont="1" applyFill="1" applyBorder="1" applyAlignment="1">
      <alignment horizontal="right"/>
    </xf>
    <xf numFmtId="1" fontId="29" fillId="20" borderId="96" xfId="125" applyNumberFormat="1" applyFont="1" applyFill="1" applyBorder="1" applyAlignment="1">
      <alignment horizontal="right"/>
    </xf>
    <xf numFmtId="1" fontId="29" fillId="20" borderId="40" xfId="0" applyNumberFormat="1" applyFont="1" applyFill="1" applyBorder="1" applyAlignment="1">
      <alignment horizontal="right"/>
    </xf>
    <xf numFmtId="1" fontId="29" fillId="0" borderId="48" xfId="0" applyNumberFormat="1" applyFont="1" applyBorder="1" applyAlignment="1">
      <alignment wrapText="1"/>
    </xf>
    <xf numFmtId="1" fontId="29" fillId="0" borderId="16" xfId="0" applyNumberFormat="1" applyFont="1" applyBorder="1" applyAlignment="1">
      <alignment wrapText="1"/>
    </xf>
    <xf numFmtId="1" fontId="29" fillId="0" borderId="18" xfId="0" applyNumberFormat="1" applyFont="1" applyBorder="1" applyAlignment="1">
      <alignment wrapText="1"/>
    </xf>
    <xf numFmtId="1" fontId="29" fillId="0" borderId="19" xfId="0" applyNumberFormat="1" applyFont="1" applyBorder="1" applyAlignment="1">
      <alignment wrapText="1"/>
    </xf>
    <xf numFmtId="1" fontId="29" fillId="0" borderId="20" xfId="0" applyNumberFormat="1" applyFont="1" applyBorder="1" applyAlignment="1">
      <alignment wrapText="1"/>
    </xf>
    <xf numFmtId="1" fontId="29" fillId="0" borderId="22" xfId="0" applyNumberFormat="1" applyFont="1" applyBorder="1" applyAlignment="1">
      <alignment wrapText="1"/>
    </xf>
    <xf numFmtId="1" fontId="29" fillId="0" borderId="169" xfId="0" applyNumberFormat="1" applyFont="1" applyBorder="1" applyAlignment="1">
      <alignment wrapText="1"/>
    </xf>
    <xf numFmtId="1" fontId="29" fillId="0" borderId="80" xfId="0" applyNumberFormat="1" applyFont="1" applyBorder="1" applyAlignment="1">
      <alignment wrapText="1"/>
    </xf>
    <xf numFmtId="1" fontId="29" fillId="0" borderId="66" xfId="0" applyNumberFormat="1" applyFont="1" applyBorder="1" applyAlignment="1">
      <alignment wrapText="1"/>
    </xf>
    <xf numFmtId="1" fontId="29" fillId="20" borderId="41" xfId="125" applyNumberFormat="1" applyFont="1" applyFill="1" applyBorder="1" applyAlignment="1" applyProtection="1">
      <alignment horizontal="right"/>
      <protection locked="0"/>
    </xf>
    <xf numFmtId="1" fontId="29" fillId="20" borderId="56" xfId="125" applyNumberFormat="1" applyFont="1" applyFill="1" applyBorder="1" applyAlignment="1" applyProtection="1">
      <alignment horizontal="right"/>
      <protection locked="0"/>
    </xf>
    <xf numFmtId="1" fontId="29" fillId="20" borderId="135" xfId="125" applyNumberFormat="1" applyFont="1" applyFill="1" applyBorder="1" applyAlignment="1">
      <alignment horizontal="right"/>
    </xf>
    <xf numFmtId="1" fontId="29" fillId="20" borderId="15" xfId="125" applyNumberFormat="1" applyFont="1" applyFill="1" applyBorder="1" applyAlignment="1">
      <alignment horizontal="right"/>
    </xf>
    <xf numFmtId="1" fontId="29" fillId="20" borderId="61" xfId="125" applyNumberFormat="1" applyFont="1" applyFill="1" applyBorder="1" applyAlignment="1" applyProtection="1">
      <alignment horizontal="right"/>
      <protection locked="0"/>
    </xf>
    <xf numFmtId="1" fontId="29" fillId="20" borderId="62" xfId="125" applyNumberFormat="1" applyFont="1" applyFill="1" applyBorder="1" applyAlignment="1" applyProtection="1">
      <alignment horizontal="right"/>
      <protection locked="0"/>
    </xf>
    <xf numFmtId="1" fontId="29" fillId="20" borderId="108" xfId="125" applyNumberFormat="1" applyFont="1" applyFill="1" applyBorder="1" applyAlignment="1">
      <alignment horizontal="right"/>
    </xf>
    <xf numFmtId="1" fontId="29" fillId="20" borderId="48" xfId="125" applyNumberFormat="1" applyFont="1" applyFill="1" applyBorder="1" applyAlignment="1">
      <alignment horizontal="right"/>
    </xf>
    <xf numFmtId="1" fontId="29" fillId="20" borderId="117" xfId="125" applyNumberFormat="1" applyFont="1" applyFill="1" applyBorder="1" applyAlignment="1">
      <alignment horizontal="right"/>
    </xf>
    <xf numFmtId="0" fontId="29" fillId="0" borderId="45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46" xfId="0" applyFont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1" fontId="29" fillId="0" borderId="104" xfId="125" applyNumberFormat="1" applyFont="1" applyBorder="1" applyAlignment="1">
      <alignment horizontal="right"/>
    </xf>
    <xf numFmtId="1" fontId="36" fillId="0" borderId="4" xfId="125" applyNumberFormat="1" applyFont="1" applyBorder="1" applyProtection="1">
      <protection hidden="1"/>
    </xf>
    <xf numFmtId="1" fontId="30" fillId="0" borderId="4" xfId="125" applyNumberFormat="1" applyFont="1" applyBorder="1" applyProtection="1">
      <protection hidden="1"/>
    </xf>
    <xf numFmtId="1" fontId="30" fillId="0" borderId="0" xfId="125" applyNumberFormat="1" applyFont="1" applyProtection="1">
      <protection hidden="1"/>
    </xf>
    <xf numFmtId="1" fontId="29" fillId="0" borderId="15" xfId="112" applyNumberFormat="1" applyFont="1" applyBorder="1" applyAlignment="1" applyProtection="1">
      <alignment horizontal="left" vertical="center" wrapText="1"/>
      <protection hidden="1"/>
    </xf>
    <xf numFmtId="1" fontId="29" fillId="0" borderId="15" xfId="112" applyNumberFormat="1" applyFont="1" applyBorder="1" applyAlignment="1" applyProtection="1">
      <alignment horizontal="right" wrapText="1"/>
      <protection hidden="1"/>
    </xf>
    <xf numFmtId="1" fontId="29" fillId="0" borderId="11" xfId="45" applyNumberFormat="1" applyFont="1" applyFill="1" applyBorder="1" applyAlignment="1" applyProtection="1">
      <alignment horizontal="right"/>
    </xf>
    <xf numFmtId="1" fontId="29" fillId="0" borderId="56" xfId="45" applyNumberFormat="1" applyFont="1" applyFill="1" applyBorder="1" applyAlignment="1" applyProtection="1">
      <alignment horizontal="right"/>
    </xf>
    <xf numFmtId="1" fontId="29" fillId="0" borderId="40" xfId="112" applyNumberFormat="1" applyFont="1" applyBorder="1" applyAlignment="1" applyProtection="1">
      <alignment horizontal="left" vertical="center" wrapText="1"/>
      <protection hidden="1"/>
    </xf>
    <xf numFmtId="1" fontId="29" fillId="0" borderId="40" xfId="112" applyNumberFormat="1" applyFont="1" applyBorder="1" applyAlignment="1" applyProtection="1">
      <alignment horizontal="right" wrapText="1"/>
      <protection hidden="1"/>
    </xf>
    <xf numFmtId="1" fontId="29" fillId="0" borderId="70" xfId="45" applyNumberFormat="1" applyFont="1" applyFill="1" applyBorder="1" applyAlignment="1" applyProtection="1">
      <alignment horizontal="right"/>
    </xf>
    <xf numFmtId="1" fontId="29" fillId="0" borderId="71" xfId="45" applyNumberFormat="1" applyFont="1" applyFill="1" applyBorder="1" applyAlignment="1" applyProtection="1">
      <alignment horizontal="right"/>
    </xf>
    <xf numFmtId="1" fontId="36" fillId="0" borderId="0" xfId="0" applyNumberFormat="1" applyFont="1"/>
    <xf numFmtId="1" fontId="40" fillId="0" borderId="0" xfId="0" applyNumberFormat="1" applyFont="1"/>
    <xf numFmtId="1" fontId="29" fillId="22" borderId="0" xfId="45" applyNumberFormat="1" applyFont="1" applyFill="1" applyBorder="1" applyAlignment="1" applyProtection="1">
      <alignment horizontal="left"/>
    </xf>
    <xf numFmtId="1" fontId="30" fillId="22" borderId="0" xfId="0" applyNumberFormat="1" applyFont="1" applyFill="1" applyProtection="1">
      <protection hidden="1"/>
    </xf>
    <xf numFmtId="1" fontId="29" fillId="22" borderId="182" xfId="0" applyNumberFormat="1" applyFont="1" applyFill="1" applyBorder="1" applyAlignment="1">
      <alignment horizontal="center" vertical="center"/>
    </xf>
    <xf numFmtId="1" fontId="29" fillId="0" borderId="50" xfId="0" applyNumberFormat="1" applyFont="1" applyBorder="1" applyAlignment="1">
      <alignment horizontal="center" vertical="center"/>
    </xf>
    <xf numFmtId="1" fontId="29" fillId="22" borderId="187" xfId="0" applyNumberFormat="1" applyFont="1" applyFill="1" applyBorder="1" applyAlignment="1">
      <alignment horizontal="center" vertical="center"/>
    </xf>
    <xf numFmtId="1" fontId="29" fillId="0" borderId="187" xfId="0" applyNumberFormat="1" applyFont="1" applyBorder="1" applyAlignment="1">
      <alignment horizontal="right"/>
    </xf>
    <xf numFmtId="1" fontId="36" fillId="0" borderId="0" xfId="0" applyNumberFormat="1" applyFont="1" applyAlignment="1">
      <alignment horizontal="left" vertical="center" wrapText="1"/>
    </xf>
    <xf numFmtId="1" fontId="29" fillId="0" borderId="0" xfId="0" applyNumberFormat="1" applyFont="1" applyAlignment="1">
      <alignment horizontal="left" vertical="center" wrapText="1"/>
    </xf>
    <xf numFmtId="1" fontId="29" fillId="0" borderId="0" xfId="125" applyNumberFormat="1" applyFont="1" applyAlignment="1" applyProtection="1">
      <alignment horizontal="center" vertical="center" wrapText="1"/>
      <protection hidden="1"/>
    </xf>
    <xf numFmtId="1" fontId="29" fillId="0" borderId="188" xfId="125" applyNumberFormat="1" applyFont="1" applyBorder="1" applyAlignment="1" applyProtection="1">
      <alignment horizontal="center" vertical="center" wrapText="1"/>
      <protection hidden="1"/>
    </xf>
    <xf numFmtId="1" fontId="29" fillId="0" borderId="186" xfId="0" applyNumberFormat="1" applyFont="1" applyBorder="1" applyAlignment="1">
      <alignment horizontal="center" vertical="center"/>
    </xf>
    <xf numFmtId="1" fontId="29" fillId="0" borderId="188" xfId="108" applyNumberFormat="1" applyFont="1" applyBorder="1" applyAlignment="1">
      <alignment horizontal="center" vertical="center" wrapText="1"/>
    </xf>
    <xf numFmtId="1" fontId="29" fillId="0" borderId="186" xfId="108" applyNumberFormat="1" applyFont="1" applyBorder="1" applyAlignment="1">
      <alignment horizontal="center" vertical="center" wrapText="1"/>
    </xf>
    <xf numFmtId="1" fontId="29" fillId="0" borderId="188" xfId="126" applyNumberFormat="1" applyFont="1" applyBorder="1" applyAlignment="1" applyProtection="1">
      <alignment horizontal="center" vertical="center" wrapText="1"/>
      <protection hidden="1"/>
    </xf>
    <xf numFmtId="1" fontId="29" fillId="0" borderId="199" xfId="126" applyNumberFormat="1" applyFont="1" applyBorder="1" applyAlignment="1" applyProtection="1">
      <alignment horizontal="center" vertical="center" wrapText="1"/>
      <protection hidden="1"/>
    </xf>
    <xf numFmtId="1" fontId="29" fillId="22" borderId="5" xfId="0" applyNumberFormat="1" applyFont="1" applyFill="1" applyBorder="1" applyAlignment="1">
      <alignment horizontal="center" vertical="center"/>
    </xf>
    <xf numFmtId="1" fontId="29" fillId="20" borderId="11" xfId="125" applyNumberFormat="1" applyFont="1" applyFill="1" applyBorder="1" applyAlignment="1">
      <alignment horizontal="right"/>
    </xf>
    <xf numFmtId="1" fontId="29" fillId="20" borderId="91" xfId="125" applyNumberFormat="1" applyFont="1" applyFill="1" applyBorder="1" applyAlignment="1">
      <alignment horizontal="right"/>
    </xf>
    <xf numFmtId="1" fontId="29" fillId="20" borderId="32" xfId="125" applyNumberFormat="1" applyFont="1" applyFill="1" applyBorder="1" applyAlignment="1">
      <alignment horizontal="right"/>
    </xf>
    <xf numFmtId="1" fontId="29" fillId="0" borderId="15" xfId="128" applyNumberFormat="1" applyFont="1" applyBorder="1" applyAlignment="1" applyProtection="1">
      <alignment vertical="center" wrapText="1"/>
      <protection hidden="1"/>
    </xf>
    <xf numFmtId="1" fontId="29" fillId="0" borderId="40" xfId="128" applyNumberFormat="1" applyFont="1" applyBorder="1" applyAlignment="1" applyProtection="1">
      <alignment vertical="center" wrapText="1"/>
      <protection hidden="1"/>
    </xf>
    <xf numFmtId="1" fontId="29" fillId="20" borderId="177" xfId="128" applyNumberFormat="1" applyFont="1" applyFill="1" applyBorder="1" applyAlignment="1" applyProtection="1">
      <alignment vertical="center" wrapText="1"/>
      <protection hidden="1"/>
    </xf>
    <xf numFmtId="1" fontId="29" fillId="20" borderId="178" xfId="128" applyNumberFormat="1" applyFont="1" applyFill="1" applyBorder="1" applyAlignment="1" applyProtection="1">
      <alignment vertical="center" wrapText="1"/>
      <protection hidden="1"/>
    </xf>
    <xf numFmtId="1" fontId="29" fillId="20" borderId="137" xfId="125" applyNumberFormat="1" applyFont="1" applyFill="1" applyBorder="1" applyAlignment="1">
      <alignment horizontal="right"/>
    </xf>
    <xf numFmtId="1" fontId="29" fillId="20" borderId="187" xfId="125" applyNumberFormat="1" applyFont="1" applyFill="1" applyBorder="1" applyAlignment="1">
      <alignment horizontal="right"/>
    </xf>
    <xf numFmtId="1" fontId="29" fillId="20" borderId="10" xfId="125" applyNumberFormat="1" applyFont="1" applyFill="1" applyBorder="1" applyAlignment="1">
      <alignment horizontal="right"/>
    </xf>
    <xf numFmtId="1" fontId="29" fillId="20" borderId="94" xfId="125" applyNumberFormat="1" applyFont="1" applyFill="1" applyBorder="1" applyAlignment="1" applyProtection="1">
      <alignment horizontal="right"/>
      <protection locked="0"/>
    </xf>
    <xf numFmtId="1" fontId="29" fillId="20" borderId="105" xfId="125" applyNumberFormat="1" applyFont="1" applyFill="1" applyBorder="1" applyAlignment="1" applyProtection="1">
      <alignment horizontal="right"/>
      <protection locked="0"/>
    </xf>
    <xf numFmtId="1" fontId="29" fillId="0" borderId="18" xfId="0" applyNumberFormat="1" applyFont="1" applyBorder="1" applyAlignment="1">
      <alignment horizontal="left" vertical="center" wrapText="1"/>
    </xf>
    <xf numFmtId="1" fontId="29" fillId="0" borderId="86" xfId="0" applyNumberFormat="1" applyFont="1" applyBorder="1" applyAlignment="1">
      <alignment horizontal="left" vertical="center" wrapText="1"/>
    </xf>
    <xf numFmtId="1" fontId="29" fillId="0" borderId="48" xfId="128" applyNumberFormat="1" applyFont="1" applyBorder="1" applyAlignment="1" applyProtection="1">
      <alignment vertical="center" wrapText="1"/>
      <protection hidden="1"/>
    </xf>
    <xf numFmtId="1" fontId="29" fillId="0" borderId="19" xfId="128" applyNumberFormat="1" applyFont="1" applyBorder="1" applyAlignment="1" applyProtection="1">
      <alignment vertical="center" wrapText="1"/>
      <protection hidden="1"/>
    </xf>
    <xf numFmtId="1" fontId="29" fillId="20" borderId="73" xfId="125" applyNumberFormat="1" applyFont="1" applyFill="1" applyBorder="1" applyAlignment="1">
      <alignment horizontal="right"/>
    </xf>
    <xf numFmtId="1" fontId="29" fillId="20" borderId="35" xfId="125" applyNumberFormat="1" applyFont="1" applyFill="1" applyBorder="1" applyAlignment="1">
      <alignment horizontal="right"/>
    </xf>
    <xf numFmtId="1" fontId="29" fillId="0" borderId="82" xfId="0" applyNumberFormat="1" applyFont="1" applyBorder="1" applyAlignment="1">
      <alignment wrapText="1"/>
    </xf>
    <xf numFmtId="1" fontId="29" fillId="0" borderId="26" xfId="0" applyNumberFormat="1" applyFont="1" applyBorder="1" applyAlignment="1">
      <alignment wrapText="1"/>
    </xf>
    <xf numFmtId="1" fontId="29" fillId="0" borderId="86" xfId="0" applyNumberFormat="1" applyFont="1" applyBorder="1" applyAlignment="1">
      <alignment wrapText="1"/>
    </xf>
    <xf numFmtId="1" fontId="29" fillId="0" borderId="15" xfId="0" applyNumberFormat="1" applyFont="1" applyBorder="1" applyAlignment="1">
      <alignment vertical="center" wrapText="1"/>
    </xf>
    <xf numFmtId="1" fontId="29" fillId="18" borderId="48" xfId="0" applyNumberFormat="1" applyFont="1" applyFill="1" applyBorder="1" applyAlignment="1">
      <alignment horizontal="right"/>
    </xf>
    <xf numFmtId="1" fontId="29" fillId="0" borderId="19" xfId="0" applyNumberFormat="1" applyFont="1" applyBorder="1" applyAlignment="1">
      <alignment vertical="center" wrapText="1"/>
    </xf>
    <xf numFmtId="1" fontId="29" fillId="20" borderId="81" xfId="125" applyNumberFormat="1" applyFont="1" applyFill="1" applyBorder="1" applyAlignment="1">
      <alignment horizontal="right"/>
    </xf>
    <xf numFmtId="1" fontId="29" fillId="0" borderId="47" xfId="0" applyNumberFormat="1" applyFont="1" applyBorder="1" applyAlignment="1">
      <alignment vertical="center" wrapText="1"/>
    </xf>
    <xf numFmtId="1" fontId="29" fillId="0" borderId="22" xfId="0" applyNumberFormat="1" applyFont="1" applyBorder="1" applyAlignment="1">
      <alignment vertical="center" wrapText="1"/>
    </xf>
    <xf numFmtId="1" fontId="29" fillId="0" borderId="40" xfId="0" applyNumberFormat="1" applyFont="1" applyBorder="1" applyAlignment="1">
      <alignment vertical="center" wrapText="1"/>
    </xf>
    <xf numFmtId="1" fontId="29" fillId="0" borderId="40" xfId="0" applyNumberFormat="1" applyFont="1" applyBorder="1" applyAlignment="1">
      <alignment wrapText="1"/>
    </xf>
    <xf numFmtId="1" fontId="29" fillId="0" borderId="70" xfId="0" applyNumberFormat="1" applyFont="1" applyBorder="1" applyAlignment="1">
      <alignment wrapText="1"/>
    </xf>
    <xf numFmtId="1" fontId="29" fillId="0" borderId="13" xfId="128" applyNumberFormat="1" applyFont="1" applyBorder="1" applyAlignment="1" applyProtection="1">
      <alignment vertical="center" wrapText="1"/>
      <protection hidden="1"/>
    </xf>
    <xf numFmtId="1" fontId="29" fillId="20" borderId="103" xfId="125" applyNumberFormat="1" applyFont="1" applyFill="1" applyBorder="1" applyAlignment="1">
      <alignment horizontal="right"/>
    </xf>
    <xf numFmtId="1" fontId="29" fillId="0" borderId="18" xfId="128" applyNumberFormat="1" applyFont="1" applyBorder="1" applyAlignment="1" applyProtection="1">
      <alignment vertical="center" wrapText="1"/>
      <protection hidden="1"/>
    </xf>
    <xf numFmtId="1" fontId="29" fillId="0" borderId="14" xfId="128" applyNumberFormat="1" applyFont="1" applyBorder="1" applyAlignment="1" applyProtection="1">
      <alignment vertical="center" wrapText="1"/>
      <protection hidden="1"/>
    </xf>
    <xf numFmtId="1" fontId="29" fillId="20" borderId="68" xfId="125" applyNumberFormat="1" applyFont="1" applyFill="1" applyBorder="1" applyAlignment="1">
      <alignment horizontal="right"/>
    </xf>
    <xf numFmtId="1" fontId="29" fillId="20" borderId="40" xfId="125" applyNumberFormat="1" applyFont="1" applyFill="1" applyBorder="1" applyAlignment="1">
      <alignment horizontal="right"/>
    </xf>
    <xf numFmtId="1" fontId="36" fillId="0" borderId="0" xfId="125" applyNumberFormat="1" applyFont="1" applyProtection="1">
      <protection hidden="1"/>
    </xf>
    <xf numFmtId="1" fontId="30" fillId="22" borderId="0" xfId="127" applyNumberFormat="1" applyFont="1" applyFill="1" applyAlignment="1" applyProtection="1">
      <alignment vertical="center" wrapText="1"/>
      <protection hidden="1"/>
    </xf>
    <xf numFmtId="1" fontId="29" fillId="0" borderId="178" xfId="125" applyNumberFormat="1" applyFont="1" applyBorder="1" applyAlignment="1" applyProtection="1">
      <alignment horizontal="center" vertical="center" wrapText="1"/>
      <protection hidden="1"/>
    </xf>
    <xf numFmtId="1" fontId="29" fillId="0" borderId="5" xfId="125" applyNumberFormat="1" applyFont="1" applyBorder="1" applyAlignment="1" applyProtection="1">
      <alignment horizontal="center" vertical="center" wrapText="1"/>
      <protection hidden="1"/>
    </xf>
    <xf numFmtId="1" fontId="29" fillId="0" borderId="184" xfId="125" applyNumberFormat="1" applyFont="1" applyBorder="1" applyAlignment="1" applyProtection="1">
      <alignment horizontal="center" vertical="center" wrapText="1"/>
      <protection hidden="1"/>
    </xf>
    <xf numFmtId="1" fontId="29" fillId="0" borderId="137" xfId="125" applyNumberFormat="1" applyFont="1" applyBorder="1" applyAlignment="1" applyProtection="1">
      <alignment horizontal="right" wrapText="1"/>
      <protection hidden="1"/>
    </xf>
    <xf numFmtId="1" fontId="29" fillId="0" borderId="5" xfId="125" applyNumberFormat="1" applyFont="1" applyBorder="1" applyAlignment="1" applyProtection="1">
      <alignment horizontal="right" wrapText="1"/>
      <protection hidden="1"/>
    </xf>
    <xf numFmtId="1" fontId="29" fillId="0" borderId="178" xfId="125" applyNumberFormat="1" applyFont="1" applyBorder="1" applyAlignment="1" applyProtection="1">
      <alignment horizontal="right" wrapText="1"/>
      <protection hidden="1"/>
    </xf>
    <xf numFmtId="1" fontId="29" fillId="15" borderId="5" xfId="80" applyNumberFormat="1" applyFont="1" applyFill="1" applyBorder="1" applyAlignment="1" applyProtection="1">
      <alignment horizontal="right"/>
      <protection locked="0"/>
    </xf>
    <xf numFmtId="1" fontId="29" fillId="15" borderId="178" xfId="80" applyNumberFormat="1" applyFont="1" applyFill="1" applyBorder="1" applyAlignment="1" applyProtection="1">
      <alignment horizontal="right"/>
      <protection locked="0"/>
    </xf>
    <xf numFmtId="1" fontId="29" fillId="15" borderId="184" xfId="80" applyNumberFormat="1" applyFont="1" applyFill="1" applyBorder="1" applyAlignment="1" applyProtection="1">
      <alignment horizontal="right"/>
      <protection locked="0"/>
    </xf>
    <xf numFmtId="1" fontId="29" fillId="0" borderId="183" xfId="125" applyNumberFormat="1" applyFont="1" applyBorder="1" applyAlignment="1" applyProtection="1">
      <alignment horizontal="center" vertical="center" wrapText="1"/>
      <protection hidden="1"/>
    </xf>
    <xf numFmtId="1" fontId="29" fillId="0" borderId="187" xfId="125" applyNumberFormat="1" applyFont="1" applyBorder="1" applyAlignment="1" applyProtection="1">
      <alignment horizontal="center" vertical="center" wrapText="1"/>
      <protection hidden="1"/>
    </xf>
    <xf numFmtId="1" fontId="29" fillId="0" borderId="51" xfId="125" applyNumberFormat="1" applyFont="1" applyBorder="1" applyAlignment="1" applyProtection="1">
      <alignment horizontal="center" vertical="center" wrapText="1"/>
      <protection hidden="1"/>
    </xf>
    <xf numFmtId="1" fontId="29" fillId="0" borderId="169" xfId="124" quotePrefix="1" applyNumberFormat="1" applyFont="1" applyBorder="1" applyAlignment="1">
      <alignment horizontal="left" wrapText="1"/>
    </xf>
    <xf numFmtId="1" fontId="29" fillId="0" borderId="48" xfId="125" applyNumberFormat="1" applyFont="1" applyBorder="1" applyAlignment="1" applyProtection="1">
      <alignment horizontal="right" wrapText="1"/>
      <protection hidden="1"/>
    </xf>
    <xf numFmtId="1" fontId="29" fillId="0" borderId="61" xfId="125" applyNumberFormat="1" applyFont="1" applyBorder="1" applyAlignment="1" applyProtection="1">
      <alignment horizontal="right" wrapText="1"/>
      <protection hidden="1"/>
    </xf>
    <xf numFmtId="1" fontId="29" fillId="0" borderId="18" xfId="125" applyNumberFormat="1" applyFont="1" applyBorder="1" applyAlignment="1" applyProtection="1">
      <alignment horizontal="right" wrapText="1"/>
      <protection hidden="1"/>
    </xf>
    <xf numFmtId="1" fontId="29" fillId="15" borderId="41" xfId="72" applyNumberFormat="1" applyFont="1" applyFill="1" applyBorder="1" applyAlignment="1" applyProtection="1">
      <alignment horizontal="right"/>
      <protection locked="0"/>
    </xf>
    <xf numFmtId="1" fontId="29" fillId="15" borderId="56" xfId="72" applyNumberFormat="1" applyFont="1" applyFill="1" applyBorder="1" applyAlignment="1" applyProtection="1">
      <alignment horizontal="right"/>
      <protection locked="0"/>
    </xf>
    <xf numFmtId="1" fontId="29" fillId="0" borderId="32" xfId="125" applyNumberFormat="1" applyFont="1" applyBorder="1" applyAlignment="1" applyProtection="1">
      <alignment horizontal="right" wrapText="1"/>
      <protection hidden="1"/>
    </xf>
    <xf numFmtId="1" fontId="29" fillId="0" borderId="13" xfId="125" applyNumberFormat="1" applyFont="1" applyBorder="1" applyAlignment="1" applyProtection="1">
      <alignment horizontal="right" wrapText="1"/>
      <protection hidden="1"/>
    </xf>
    <xf numFmtId="1" fontId="29" fillId="0" borderId="27" xfId="124" quotePrefix="1" applyNumberFormat="1" applyFont="1" applyBorder="1" applyAlignment="1">
      <alignment wrapText="1"/>
    </xf>
    <xf numFmtId="1" fontId="29" fillId="0" borderId="19" xfId="125" applyNumberFormat="1" applyFont="1" applyBorder="1" applyAlignment="1" applyProtection="1">
      <alignment horizontal="right" wrapText="1"/>
      <protection hidden="1"/>
    </xf>
    <xf numFmtId="1" fontId="29" fillId="0" borderId="42" xfId="125" applyNumberFormat="1" applyFont="1" applyBorder="1" applyAlignment="1" applyProtection="1">
      <alignment horizontal="right" wrapText="1"/>
      <protection hidden="1"/>
    </xf>
    <xf numFmtId="1" fontId="29" fillId="15" borderId="42" xfId="72" applyNumberFormat="1" applyFont="1" applyFill="1" applyBorder="1" applyAlignment="1" applyProtection="1">
      <alignment horizontal="right"/>
      <protection locked="0"/>
    </xf>
    <xf numFmtId="1" fontId="29" fillId="15" borderId="43" xfId="72" applyNumberFormat="1" applyFont="1" applyFill="1" applyBorder="1" applyAlignment="1" applyProtection="1">
      <alignment horizontal="right"/>
      <protection locked="0"/>
    </xf>
    <xf numFmtId="1" fontId="29" fillId="0" borderId="35" xfId="125" applyNumberFormat="1" applyFont="1" applyBorder="1" applyAlignment="1" applyProtection="1">
      <alignment horizontal="right" wrapText="1"/>
      <protection hidden="1"/>
    </xf>
    <xf numFmtId="1" fontId="29" fillId="0" borderId="22" xfId="125" applyNumberFormat="1" applyFont="1" applyBorder="1" applyAlignment="1" applyProtection="1">
      <alignment horizontal="right" wrapText="1"/>
      <protection hidden="1"/>
    </xf>
    <xf numFmtId="1" fontId="29" fillId="0" borderId="40" xfId="124" quotePrefix="1" applyNumberFormat="1" applyFont="1" applyBorder="1" applyAlignment="1">
      <alignment wrapText="1"/>
    </xf>
    <xf numFmtId="1" fontId="29" fillId="0" borderId="40" xfId="125" applyNumberFormat="1" applyFont="1" applyBorder="1" applyAlignment="1" applyProtection="1">
      <alignment horizontal="right" wrapText="1"/>
      <protection hidden="1"/>
    </xf>
    <xf numFmtId="1" fontId="29" fillId="0" borderId="72" xfId="125" applyNumberFormat="1" applyFont="1" applyBorder="1" applyAlignment="1" applyProtection="1">
      <alignment horizontal="right" wrapText="1"/>
      <protection hidden="1"/>
    </xf>
    <xf numFmtId="1" fontId="29" fillId="0" borderId="86" xfId="125" applyNumberFormat="1" applyFont="1" applyBorder="1" applyAlignment="1" applyProtection="1">
      <alignment horizontal="right" wrapText="1"/>
      <protection hidden="1"/>
    </xf>
    <xf numFmtId="1" fontId="29" fillId="15" borderId="72" xfId="72" applyNumberFormat="1" applyFont="1" applyFill="1" applyBorder="1" applyAlignment="1" applyProtection="1">
      <alignment horizontal="right"/>
      <protection locked="0"/>
    </xf>
    <xf numFmtId="1" fontId="29" fillId="15" borderId="71" xfId="72" applyNumberFormat="1" applyFont="1" applyFill="1" applyBorder="1" applyAlignment="1" applyProtection="1">
      <alignment horizontal="right"/>
      <protection locked="0"/>
    </xf>
    <xf numFmtId="1" fontId="29" fillId="0" borderId="68" xfId="125" applyNumberFormat="1" applyFont="1" applyBorder="1" applyAlignment="1" applyProtection="1">
      <alignment horizontal="right" wrapText="1"/>
      <protection hidden="1"/>
    </xf>
    <xf numFmtId="1" fontId="29" fillId="0" borderId="6" xfId="124" quotePrefix="1" applyNumberFormat="1" applyFont="1" applyBorder="1"/>
    <xf numFmtId="1" fontId="29" fillId="0" borderId="6" xfId="125" applyNumberFormat="1" applyFont="1" applyBorder="1" applyAlignment="1" applyProtection="1">
      <alignment horizontal="right" wrapText="1"/>
      <protection hidden="1"/>
    </xf>
    <xf numFmtId="1" fontId="29" fillId="0" borderId="52" xfId="125" applyNumberFormat="1" applyFont="1" applyBorder="1" applyAlignment="1" applyProtection="1">
      <alignment horizontal="right" wrapText="1"/>
      <protection hidden="1"/>
    </xf>
    <xf numFmtId="1" fontId="29" fillId="0" borderId="14" xfId="125" applyNumberFormat="1" applyFont="1" applyBorder="1" applyAlignment="1" applyProtection="1">
      <alignment horizontal="right" wrapText="1"/>
      <protection hidden="1"/>
    </xf>
    <xf numFmtId="1" fontId="29" fillId="0" borderId="4" xfId="125" applyNumberFormat="1" applyFont="1" applyBorder="1" applyAlignment="1" applyProtection="1">
      <alignment horizontal="right" wrapText="1"/>
      <protection hidden="1"/>
    </xf>
    <xf numFmtId="1" fontId="29" fillId="0" borderId="105" xfId="125" applyNumberFormat="1" applyFont="1" applyBorder="1" applyAlignment="1" applyProtection="1">
      <alignment horizontal="right" wrapText="1"/>
      <protection hidden="1"/>
    </xf>
    <xf numFmtId="1" fontId="29" fillId="0" borderId="53" xfId="125" applyNumberFormat="1" applyFont="1" applyBorder="1" applyAlignment="1" applyProtection="1">
      <alignment horizontal="right" wrapText="1"/>
      <protection hidden="1"/>
    </xf>
    <xf numFmtId="1" fontId="29" fillId="0" borderId="169" xfId="124" quotePrefix="1" applyNumberFormat="1" applyFont="1" applyBorder="1" applyAlignment="1">
      <alignment wrapText="1"/>
    </xf>
    <xf numFmtId="1" fontId="29" fillId="15" borderId="61" xfId="72" applyNumberFormat="1" applyFont="1" applyFill="1" applyBorder="1" applyAlignment="1" applyProtection="1">
      <alignment horizontal="right"/>
      <protection locked="0"/>
    </xf>
    <xf numFmtId="1" fontId="29" fillId="15" borderId="62" xfId="72" applyNumberFormat="1" applyFont="1" applyFill="1" applyBorder="1" applyAlignment="1" applyProtection="1">
      <alignment horizontal="right"/>
      <protection locked="0"/>
    </xf>
    <xf numFmtId="1" fontId="29" fillId="15" borderId="92" xfId="72" applyNumberFormat="1" applyFont="1" applyFill="1" applyBorder="1" applyAlignment="1" applyProtection="1">
      <alignment horizontal="right"/>
      <protection locked="0"/>
    </xf>
    <xf numFmtId="1" fontId="29" fillId="0" borderId="103" xfId="125" applyNumberFormat="1" applyFont="1" applyBorder="1" applyAlignment="1" applyProtection="1">
      <alignment horizontal="right" wrapText="1"/>
      <protection hidden="1"/>
    </xf>
    <xf numFmtId="1" fontId="29" fillId="0" borderId="27" xfId="124" applyNumberFormat="1" applyFont="1" applyBorder="1"/>
    <xf numFmtId="1" fontId="29" fillId="0" borderId="27" xfId="125" applyNumberFormat="1" applyFont="1" applyBorder="1" applyAlignment="1" applyProtection="1">
      <alignment horizontal="right" wrapText="1"/>
      <protection hidden="1"/>
    </xf>
    <xf numFmtId="1" fontId="29" fillId="0" borderId="44" xfId="125" applyNumberFormat="1" applyFont="1" applyBorder="1" applyAlignment="1" applyProtection="1">
      <alignment horizontal="right" wrapText="1"/>
      <protection hidden="1"/>
    </xf>
    <xf numFmtId="1" fontId="29" fillId="0" borderId="66" xfId="125" applyNumberFormat="1" applyFont="1" applyBorder="1" applyAlignment="1" applyProtection="1">
      <alignment horizontal="right" wrapText="1"/>
      <protection hidden="1"/>
    </xf>
    <xf numFmtId="1" fontId="29" fillId="15" borderId="44" xfId="72" applyNumberFormat="1" applyFont="1" applyFill="1" applyBorder="1" applyAlignment="1" applyProtection="1">
      <alignment horizontal="right"/>
      <protection locked="0"/>
    </xf>
    <xf numFmtId="1" fontId="29" fillId="15" borderId="60" xfId="72" applyNumberFormat="1" applyFont="1" applyFill="1" applyBorder="1" applyAlignment="1" applyProtection="1">
      <alignment horizontal="right"/>
      <protection locked="0"/>
    </xf>
    <xf numFmtId="1" fontId="29" fillId="15" borderId="93" xfId="72" applyNumberFormat="1" applyFont="1" applyFill="1" applyBorder="1" applyAlignment="1" applyProtection="1">
      <alignment horizontal="right"/>
      <protection locked="0"/>
    </xf>
    <xf numFmtId="1" fontId="29" fillId="0" borderId="38" xfId="125" applyNumberFormat="1" applyFont="1" applyBorder="1" applyAlignment="1" applyProtection="1">
      <alignment horizontal="right" wrapText="1"/>
      <protection hidden="1"/>
    </xf>
    <xf numFmtId="1" fontId="29" fillId="0" borderId="26" xfId="125" applyNumberFormat="1" applyFont="1" applyBorder="1" applyAlignment="1" applyProtection="1">
      <alignment horizontal="right" wrapText="1"/>
      <protection hidden="1"/>
    </xf>
    <xf numFmtId="1" fontId="29" fillId="0" borderId="183" xfId="125" applyNumberFormat="1" applyFont="1" applyBorder="1" applyAlignment="1" applyProtection="1">
      <alignment horizontal="right" wrapText="1"/>
      <protection hidden="1"/>
    </xf>
    <xf numFmtId="1" fontId="29" fillId="0" borderId="39" xfId="125" applyNumberFormat="1" applyFont="1" applyBorder="1" applyAlignment="1" applyProtection="1">
      <alignment horizontal="right" wrapText="1"/>
      <protection hidden="1"/>
    </xf>
    <xf numFmtId="1" fontId="29" fillId="0" borderId="141" xfId="125" applyNumberFormat="1" applyFont="1" applyBorder="1" applyAlignment="1" applyProtection="1">
      <alignment horizontal="right" wrapText="1"/>
      <protection hidden="1"/>
    </xf>
    <xf numFmtId="1" fontId="29" fillId="0" borderId="137" xfId="124" applyNumberFormat="1" applyFont="1" applyBorder="1" applyAlignment="1">
      <alignment horizontal="left"/>
    </xf>
    <xf numFmtId="1" fontId="29" fillId="15" borderId="5" xfId="72" applyNumberFormat="1" applyFont="1" applyFill="1" applyBorder="1" applyAlignment="1" applyProtection="1">
      <alignment horizontal="right"/>
      <protection locked="0"/>
    </xf>
    <xf numFmtId="1" fontId="29" fillId="15" borderId="141" xfId="72" applyNumberFormat="1" applyFont="1" applyFill="1" applyBorder="1" applyAlignment="1" applyProtection="1">
      <alignment horizontal="right"/>
      <protection locked="0"/>
    </xf>
    <xf numFmtId="1" fontId="29" fillId="15" borderId="10" xfId="72" applyNumberFormat="1" applyFont="1" applyFill="1" applyBorder="1" applyAlignment="1" applyProtection="1">
      <alignment horizontal="right"/>
      <protection locked="0"/>
    </xf>
    <xf numFmtId="1" fontId="30" fillId="26" borderId="0" xfId="0" applyNumberFormat="1" applyFont="1" applyFill="1"/>
    <xf numFmtId="1" fontId="29" fillId="0" borderId="180" xfId="124" quotePrefix="1" applyNumberFormat="1" applyFont="1" applyBorder="1"/>
    <xf numFmtId="1" fontId="29" fillId="22" borderId="48" xfId="124" applyNumberFormat="1" applyFont="1" applyFill="1" applyBorder="1" applyAlignment="1">
      <alignment horizontal="right"/>
    </xf>
    <xf numFmtId="1" fontId="29" fillId="22" borderId="103" xfId="0" applyNumberFormat="1" applyFont="1" applyFill="1" applyBorder="1" applyAlignment="1">
      <alignment horizontal="right"/>
    </xf>
    <xf numFmtId="1" fontId="29" fillId="22" borderId="18" xfId="0" applyNumberFormat="1" applyFont="1" applyFill="1" applyBorder="1" applyAlignment="1">
      <alignment horizontal="right"/>
    </xf>
    <xf numFmtId="1" fontId="29" fillId="22" borderId="27" xfId="124" applyNumberFormat="1" applyFont="1" applyFill="1" applyBorder="1" applyAlignment="1">
      <alignment horizontal="right"/>
    </xf>
    <xf numFmtId="1" fontId="29" fillId="22" borderId="40" xfId="124" applyNumberFormat="1" applyFont="1" applyFill="1" applyBorder="1" applyAlignment="1">
      <alignment horizontal="right"/>
    </xf>
    <xf numFmtId="1" fontId="29" fillId="15" borderId="81" xfId="72" applyNumberFormat="1" applyFont="1" applyFill="1" applyBorder="1" applyAlignment="1" applyProtection="1">
      <alignment horizontal="right"/>
      <protection locked="0"/>
    </xf>
    <xf numFmtId="1" fontId="29" fillId="22" borderId="68" xfId="0" applyNumberFormat="1" applyFont="1" applyFill="1" applyBorder="1" applyAlignment="1">
      <alignment horizontal="right"/>
    </xf>
    <xf numFmtId="1" fontId="29" fillId="22" borderId="86" xfId="0" applyNumberFormat="1" applyFont="1" applyFill="1" applyBorder="1" applyAlignment="1">
      <alignment horizontal="right"/>
    </xf>
    <xf numFmtId="1" fontId="29" fillId="0" borderId="137" xfId="124" quotePrefix="1" applyNumberFormat="1" applyFont="1" applyBorder="1" applyAlignment="1">
      <alignment horizontal="center"/>
    </xf>
    <xf numFmtId="1" fontId="29" fillId="15" borderId="91" xfId="72" applyNumberFormat="1" applyFont="1" applyFill="1" applyBorder="1" applyAlignment="1" applyProtection="1">
      <alignment horizontal="right"/>
      <protection locked="0"/>
    </xf>
    <xf numFmtId="1" fontId="29" fillId="0" borderId="59" xfId="124" quotePrefix="1" applyNumberFormat="1" applyFont="1" applyBorder="1"/>
    <xf numFmtId="1" fontId="29" fillId="22" borderId="38" xfId="0" applyNumberFormat="1" applyFont="1" applyFill="1" applyBorder="1" applyAlignment="1">
      <alignment horizontal="right"/>
    </xf>
    <xf numFmtId="1" fontId="29" fillId="22" borderId="26" xfId="0" applyNumberFormat="1" applyFont="1" applyFill="1" applyBorder="1" applyAlignment="1">
      <alignment horizontal="right"/>
    </xf>
    <xf numFmtId="1" fontId="29" fillId="0" borderId="137" xfId="124" quotePrefix="1" applyNumberFormat="1" applyFont="1" applyBorder="1"/>
    <xf numFmtId="1" fontId="29" fillId="0" borderId="6" xfId="124" quotePrefix="1" applyNumberFormat="1" applyFont="1" applyBorder="1" applyAlignment="1">
      <alignment wrapText="1"/>
    </xf>
    <xf numFmtId="1" fontId="29" fillId="22" borderId="6" xfId="0" applyNumberFormat="1" applyFont="1" applyFill="1" applyBorder="1" applyAlignment="1">
      <alignment horizontal="right"/>
    </xf>
    <xf numFmtId="1" fontId="29" fillId="22" borderId="105" xfId="0" applyNumberFormat="1" applyFont="1" applyFill="1" applyBorder="1" applyAlignment="1">
      <alignment horizontal="right"/>
    </xf>
    <xf numFmtId="1" fontId="29" fillId="22" borderId="14" xfId="0" applyNumberFormat="1" applyFont="1" applyFill="1" applyBorder="1" applyAlignment="1">
      <alignment horizontal="right"/>
    </xf>
    <xf numFmtId="1" fontId="29" fillId="22" borderId="15" xfId="124" applyNumberFormat="1" applyFont="1" applyFill="1" applyBorder="1" applyAlignment="1">
      <alignment horizontal="right"/>
    </xf>
    <xf numFmtId="1" fontId="29" fillId="22" borderId="32" xfId="0" applyNumberFormat="1" applyFont="1" applyFill="1" applyBorder="1" applyAlignment="1">
      <alignment horizontal="right"/>
    </xf>
    <xf numFmtId="1" fontId="29" fillId="22" borderId="13" xfId="0" applyNumberFormat="1" applyFont="1" applyFill="1" applyBorder="1" applyAlignment="1">
      <alignment horizontal="right"/>
    </xf>
    <xf numFmtId="1" fontId="29" fillId="0" borderId="46" xfId="124" applyNumberFormat="1" applyFont="1" applyBorder="1" applyAlignment="1">
      <alignment wrapText="1"/>
    </xf>
    <xf numFmtId="1" fontId="29" fillId="22" borderId="19" xfId="124" applyNumberFormat="1" applyFont="1" applyFill="1" applyBorder="1" applyAlignment="1">
      <alignment horizontal="right"/>
    </xf>
    <xf numFmtId="1" fontId="29" fillId="15" borderId="73" xfId="72" applyNumberFormat="1" applyFont="1" applyFill="1" applyBorder="1" applyAlignment="1" applyProtection="1">
      <alignment horizontal="right"/>
      <protection locked="0"/>
    </xf>
    <xf numFmtId="1" fontId="29" fillId="22" borderId="35" xfId="0" applyNumberFormat="1" applyFont="1" applyFill="1" applyBorder="1" applyAlignment="1">
      <alignment horizontal="right"/>
    </xf>
    <xf numFmtId="1" fontId="29" fillId="22" borderId="22" xfId="0" applyNumberFormat="1" applyFont="1" applyFill="1" applyBorder="1" applyAlignment="1">
      <alignment horizontal="right"/>
    </xf>
    <xf numFmtId="1" fontId="29" fillId="0" borderId="184" xfId="125" applyNumberFormat="1" applyFont="1" applyBorder="1" applyAlignment="1" applyProtection="1">
      <alignment horizontal="right" wrapText="1"/>
      <protection hidden="1"/>
    </xf>
    <xf numFmtId="1" fontId="29" fillId="0" borderId="47" xfId="124" applyNumberFormat="1" applyFont="1" applyBorder="1" applyAlignment="1">
      <alignment wrapText="1"/>
    </xf>
    <xf numFmtId="1" fontId="29" fillId="15" borderId="21" xfId="72" applyNumberFormat="1" applyFont="1" applyFill="1" applyBorder="1" applyAlignment="1" applyProtection="1">
      <alignment horizontal="right"/>
      <protection locked="0"/>
    </xf>
    <xf numFmtId="1" fontId="29" fillId="0" borderId="50" xfId="125" applyNumberFormat="1" applyFont="1" applyBorder="1" applyAlignment="1" applyProtection="1">
      <alignment horizontal="right" wrapText="1"/>
      <protection hidden="1"/>
    </xf>
    <xf numFmtId="1" fontId="29" fillId="0" borderId="172" xfId="124" applyNumberFormat="1" applyFont="1" applyBorder="1" applyAlignment="1">
      <alignment wrapText="1"/>
    </xf>
    <xf numFmtId="1" fontId="29" fillId="22" borderId="169" xfId="124" applyNumberFormat="1" applyFont="1" applyFill="1" applyBorder="1" applyAlignment="1">
      <alignment horizontal="right" wrapText="1"/>
    </xf>
    <xf numFmtId="1" fontId="29" fillId="0" borderId="67" xfId="125" applyNumberFormat="1" applyFont="1" applyBorder="1" applyAlignment="1" applyProtection="1">
      <alignment horizontal="right" wrapText="1"/>
      <protection hidden="1"/>
    </xf>
    <xf numFmtId="1" fontId="29" fillId="22" borderId="169" xfId="124" applyNumberFormat="1" applyFont="1" applyFill="1" applyBorder="1" applyAlignment="1">
      <alignment horizontal="right"/>
    </xf>
    <xf numFmtId="1" fontId="29" fillId="15" borderId="67" xfId="72" applyNumberFormat="1" applyFont="1" applyFill="1" applyBorder="1" applyAlignment="1" applyProtection="1">
      <alignment horizontal="right"/>
      <protection locked="0"/>
    </xf>
    <xf numFmtId="1" fontId="29" fillId="15" borderId="65" xfId="72" applyNumberFormat="1" applyFont="1" applyFill="1" applyBorder="1" applyAlignment="1" applyProtection="1">
      <alignment horizontal="right"/>
      <protection locked="0"/>
    </xf>
    <xf numFmtId="1" fontId="29" fillId="15" borderId="197" xfId="72" applyNumberFormat="1" applyFont="1" applyFill="1" applyBorder="1" applyAlignment="1" applyProtection="1">
      <alignment horizontal="right"/>
      <protection locked="0"/>
    </xf>
    <xf numFmtId="1" fontId="29" fillId="22" borderId="112" xfId="0" applyNumberFormat="1" applyFont="1" applyFill="1" applyBorder="1" applyAlignment="1">
      <alignment horizontal="right"/>
    </xf>
    <xf numFmtId="1" fontId="29" fillId="22" borderId="182" xfId="0" applyNumberFormat="1" applyFont="1" applyFill="1" applyBorder="1" applyAlignment="1">
      <alignment horizontal="right"/>
    </xf>
    <xf numFmtId="1" fontId="29" fillId="0" borderId="187" xfId="125" applyNumberFormat="1" applyFont="1" applyBorder="1" applyAlignment="1" applyProtection="1">
      <alignment horizontal="right" wrapText="1"/>
      <protection hidden="1"/>
    </xf>
    <xf numFmtId="1" fontId="29" fillId="22" borderId="178" xfId="0" applyNumberFormat="1" applyFont="1" applyFill="1" applyBorder="1" applyAlignment="1">
      <alignment horizontal="center" wrapText="1"/>
    </xf>
    <xf numFmtId="1" fontId="29" fillId="22" borderId="13" xfId="0" applyNumberFormat="1" applyFont="1" applyFill="1" applyBorder="1" applyAlignment="1">
      <alignment horizontal="right" wrapText="1"/>
    </xf>
    <xf numFmtId="1" fontId="29" fillId="22" borderId="41" xfId="0" applyNumberFormat="1" applyFont="1" applyFill="1" applyBorder="1" applyAlignment="1">
      <alignment horizontal="right" wrapText="1"/>
    </xf>
    <xf numFmtId="1" fontId="29" fillId="22" borderId="15" xfId="0" applyNumberFormat="1" applyFont="1" applyFill="1" applyBorder="1" applyAlignment="1">
      <alignment horizontal="right" wrapText="1"/>
    </xf>
    <xf numFmtId="1" fontId="29" fillId="15" borderId="11" xfId="72" applyNumberFormat="1" applyFont="1" applyFill="1" applyBorder="1" applyAlignment="1" applyProtection="1">
      <alignment horizontal="right"/>
      <protection locked="0"/>
    </xf>
    <xf numFmtId="1" fontId="29" fillId="15" borderId="57" xfId="72" applyNumberFormat="1" applyFont="1" applyFill="1" applyBorder="1" applyAlignment="1" applyProtection="1">
      <alignment horizontal="right"/>
      <protection locked="0"/>
    </xf>
    <xf numFmtId="1" fontId="29" fillId="22" borderId="32" xfId="0" applyNumberFormat="1" applyFont="1" applyFill="1" applyBorder="1" applyAlignment="1">
      <alignment horizontal="right" wrapText="1"/>
    </xf>
    <xf numFmtId="1" fontId="29" fillId="22" borderId="22" xfId="0" applyNumberFormat="1" applyFont="1" applyFill="1" applyBorder="1" applyAlignment="1">
      <alignment horizontal="right" wrapText="1"/>
    </xf>
    <xf numFmtId="1" fontId="29" fillId="22" borderId="42" xfId="0" applyNumberFormat="1" applyFont="1" applyFill="1" applyBorder="1" applyAlignment="1">
      <alignment horizontal="right" wrapText="1"/>
    </xf>
    <xf numFmtId="1" fontId="29" fillId="22" borderId="19" xfId="0" applyNumberFormat="1" applyFont="1" applyFill="1" applyBorder="1" applyAlignment="1">
      <alignment horizontal="right" wrapText="1"/>
    </xf>
    <xf numFmtId="1" fontId="29" fillId="15" borderId="16" xfId="72" applyNumberFormat="1" applyFont="1" applyFill="1" applyBorder="1" applyAlignment="1" applyProtection="1">
      <alignment horizontal="right"/>
      <protection locked="0"/>
    </xf>
    <xf numFmtId="1" fontId="29" fillId="15" borderId="101" xfId="72" applyNumberFormat="1" applyFont="1" applyFill="1" applyBorder="1" applyAlignment="1" applyProtection="1">
      <alignment horizontal="right"/>
      <protection locked="0"/>
    </xf>
    <xf numFmtId="1" fontId="29" fillId="22" borderId="35" xfId="0" applyNumberFormat="1" applyFont="1" applyFill="1" applyBorder="1" applyAlignment="1">
      <alignment horizontal="right" wrapText="1"/>
    </xf>
    <xf numFmtId="1" fontId="29" fillId="20" borderId="20" xfId="72" applyNumberFormat="1" applyFont="1" applyFill="1" applyBorder="1" applyAlignment="1" applyProtection="1">
      <alignment horizontal="right"/>
    </xf>
    <xf numFmtId="1" fontId="29" fillId="20" borderId="21" xfId="72" applyNumberFormat="1" applyFont="1" applyFill="1" applyBorder="1" applyAlignment="1" applyProtection="1">
      <alignment horizontal="right"/>
    </xf>
    <xf numFmtId="1" fontId="29" fillId="20" borderId="43" xfId="72" applyNumberFormat="1" applyFont="1" applyFill="1" applyBorder="1" applyAlignment="1" applyProtection="1">
      <alignment horizontal="right"/>
    </xf>
    <xf numFmtId="1" fontId="29" fillId="22" borderId="86" xfId="0" applyNumberFormat="1" applyFont="1" applyFill="1" applyBorder="1" applyAlignment="1">
      <alignment horizontal="right" wrapText="1"/>
    </xf>
    <xf numFmtId="1" fontId="29" fillId="22" borderId="72" xfId="0" applyNumberFormat="1" applyFont="1" applyFill="1" applyBorder="1" applyAlignment="1">
      <alignment horizontal="right" wrapText="1"/>
    </xf>
    <xf numFmtId="1" fontId="29" fillId="22" borderId="40" xfId="0" applyNumberFormat="1" applyFont="1" applyFill="1" applyBorder="1" applyAlignment="1">
      <alignment horizontal="right" wrapText="1"/>
    </xf>
    <xf numFmtId="1" fontId="29" fillId="15" borderId="55" xfId="72" applyNumberFormat="1" applyFont="1" applyFill="1" applyBorder="1" applyAlignment="1" applyProtection="1">
      <alignment horizontal="right"/>
      <protection locked="0"/>
    </xf>
    <xf numFmtId="1" fontId="29" fillId="15" borderId="53" xfId="72" applyNumberFormat="1" applyFont="1" applyFill="1" applyBorder="1" applyAlignment="1" applyProtection="1">
      <alignment horizontal="right"/>
      <protection locked="0"/>
    </xf>
    <xf numFmtId="1" fontId="29" fillId="15" borderId="70" xfId="72" applyNumberFormat="1" applyFont="1" applyFill="1" applyBorder="1" applyAlignment="1" applyProtection="1">
      <alignment horizontal="right"/>
      <protection locked="0"/>
    </xf>
    <xf numFmtId="1" fontId="29" fillId="15" borderId="96" xfId="72" applyNumberFormat="1" applyFont="1" applyFill="1" applyBorder="1" applyAlignment="1" applyProtection="1">
      <alignment horizontal="right"/>
      <protection locked="0"/>
    </xf>
    <xf numFmtId="1" fontId="29" fillId="0" borderId="141" xfId="125" applyNumberFormat="1" applyFont="1" applyBorder="1" applyAlignment="1" applyProtection="1">
      <alignment horizontal="center" vertical="center" wrapText="1"/>
      <protection hidden="1"/>
    </xf>
    <xf numFmtId="1" fontId="29" fillId="22" borderId="48" xfId="0" applyNumberFormat="1" applyFont="1" applyFill="1" applyBorder="1" applyAlignment="1">
      <alignment horizontal="right" wrapText="1"/>
    </xf>
    <xf numFmtId="1" fontId="29" fillId="22" borderId="61" xfId="0" applyNumberFormat="1" applyFont="1" applyFill="1" applyBorder="1" applyAlignment="1">
      <alignment horizontal="right" wrapText="1"/>
    </xf>
    <xf numFmtId="1" fontId="29" fillId="22" borderId="18" xfId="0" applyNumberFormat="1" applyFont="1" applyFill="1" applyBorder="1" applyAlignment="1">
      <alignment horizontal="right" wrapText="1"/>
    </xf>
    <xf numFmtId="1" fontId="29" fillId="22" borderId="103" xfId="0" applyNumberFormat="1" applyFont="1" applyFill="1" applyBorder="1" applyAlignment="1">
      <alignment horizontal="right" wrapText="1"/>
    </xf>
    <xf numFmtId="1" fontId="29" fillId="22" borderId="19" xfId="0" applyNumberFormat="1" applyFont="1" applyFill="1" applyBorder="1" applyAlignment="1">
      <alignment horizontal="right"/>
    </xf>
    <xf numFmtId="1" fontId="29" fillId="22" borderId="42" xfId="0" applyNumberFormat="1" applyFont="1" applyFill="1" applyBorder="1" applyAlignment="1">
      <alignment horizontal="right"/>
    </xf>
    <xf numFmtId="1" fontId="29" fillId="15" borderId="20" xfId="72" applyNumberFormat="1" applyFont="1" applyFill="1" applyBorder="1" applyAlignment="1" applyProtection="1">
      <alignment horizontal="right"/>
      <protection locked="0"/>
    </xf>
    <xf numFmtId="1" fontId="29" fillId="22" borderId="6" xfId="0" applyNumberFormat="1" applyFont="1" applyFill="1" applyBorder="1" applyAlignment="1">
      <alignment horizontal="right" wrapText="1"/>
    </xf>
    <xf numFmtId="1" fontId="29" fillId="22" borderId="52" xfId="0" applyNumberFormat="1" applyFont="1" applyFill="1" applyBorder="1" applyAlignment="1">
      <alignment horizontal="right" wrapText="1"/>
    </xf>
    <xf numFmtId="1" fontId="29" fillId="22" borderId="14" xfId="0" applyNumberFormat="1" applyFont="1" applyFill="1" applyBorder="1" applyAlignment="1">
      <alignment horizontal="right" wrapText="1"/>
    </xf>
    <xf numFmtId="1" fontId="29" fillId="15" borderId="52" xfId="72" applyNumberFormat="1" applyFont="1" applyFill="1" applyBorder="1" applyAlignment="1" applyProtection="1">
      <alignment horizontal="right"/>
      <protection locked="0"/>
    </xf>
    <xf numFmtId="1" fontId="29" fillId="15" borderId="94" xfId="72" applyNumberFormat="1" applyFont="1" applyFill="1" applyBorder="1" applyAlignment="1" applyProtection="1">
      <alignment horizontal="right"/>
      <protection locked="0"/>
    </xf>
    <xf numFmtId="1" fontId="29" fillId="22" borderId="105" xfId="0" applyNumberFormat="1" applyFont="1" applyFill="1" applyBorder="1" applyAlignment="1">
      <alignment horizontal="right" wrapText="1"/>
    </xf>
    <xf numFmtId="1" fontId="29" fillId="0" borderId="50" xfId="125" applyNumberFormat="1" applyFont="1" applyBorder="1" applyAlignment="1" applyProtection="1">
      <alignment horizontal="center" vertical="center" wrapText="1"/>
      <protection hidden="1"/>
    </xf>
    <xf numFmtId="1" fontId="29" fillId="22" borderId="0" xfId="0" applyNumberFormat="1" applyFont="1" applyFill="1" applyAlignment="1">
      <alignment horizontal="right"/>
    </xf>
    <xf numFmtId="1" fontId="29" fillId="22" borderId="137" xfId="0" applyNumberFormat="1" applyFont="1" applyFill="1" applyBorder="1" applyAlignment="1">
      <alignment horizontal="center" wrapText="1"/>
    </xf>
    <xf numFmtId="1" fontId="29" fillId="0" borderId="10" xfId="125" applyNumberFormat="1" applyFont="1" applyBorder="1" applyAlignment="1" applyProtection="1">
      <alignment horizontal="center" vertical="center" wrapText="1"/>
      <protection hidden="1"/>
    </xf>
    <xf numFmtId="1" fontId="29" fillId="22" borderId="39" xfId="0" applyNumberFormat="1" applyFont="1" applyFill="1" applyBorder="1" applyAlignment="1">
      <alignment horizontal="center" wrapText="1"/>
    </xf>
    <xf numFmtId="1" fontId="29" fillId="15" borderId="61" xfId="80" applyNumberFormat="1" applyFont="1" applyFill="1" applyBorder="1" applyAlignment="1" applyProtection="1">
      <alignment horizontal="right"/>
      <protection locked="0"/>
    </xf>
    <xf numFmtId="1" fontId="29" fillId="15" borderId="62" xfId="80" applyNumberFormat="1" applyFont="1" applyFill="1" applyBorder="1" applyAlignment="1" applyProtection="1">
      <alignment horizontal="right"/>
      <protection locked="0"/>
    </xf>
    <xf numFmtId="1" fontId="29" fillId="15" borderId="92" xfId="80" applyNumberFormat="1" applyFont="1" applyFill="1" applyBorder="1" applyAlignment="1" applyProtection="1">
      <alignment horizontal="right"/>
      <protection locked="0"/>
    </xf>
    <xf numFmtId="1" fontId="29" fillId="22" borderId="72" xfId="0" applyNumberFormat="1" applyFont="1" applyFill="1" applyBorder="1" applyAlignment="1">
      <alignment horizontal="right"/>
    </xf>
    <xf numFmtId="1" fontId="29" fillId="15" borderId="72" xfId="80" applyNumberFormat="1" applyFont="1" applyFill="1" applyBorder="1" applyAlignment="1" applyProtection="1">
      <alignment horizontal="right"/>
      <protection locked="0"/>
    </xf>
    <xf numFmtId="1" fontId="29" fillId="15" borderId="71" xfId="80" applyNumberFormat="1" applyFont="1" applyFill="1" applyBorder="1" applyAlignment="1" applyProtection="1">
      <alignment horizontal="right"/>
      <protection locked="0"/>
    </xf>
    <xf numFmtId="1" fontId="29" fillId="15" borderId="81" xfId="80" applyNumberFormat="1" applyFont="1" applyFill="1" applyBorder="1" applyAlignment="1" applyProtection="1">
      <alignment horizontal="right"/>
      <protection locked="0"/>
    </xf>
    <xf numFmtId="1" fontId="29" fillId="22" borderId="15" xfId="0" applyNumberFormat="1" applyFont="1" applyFill="1" applyBorder="1" applyAlignment="1">
      <alignment wrapText="1"/>
    </xf>
    <xf numFmtId="1" fontId="29" fillId="22" borderId="169" xfId="0" applyNumberFormat="1" applyFont="1" applyFill="1" applyBorder="1" applyAlignment="1">
      <alignment wrapText="1"/>
    </xf>
    <xf numFmtId="1" fontId="29" fillId="22" borderId="27" xfId="0" applyNumberFormat="1" applyFont="1" applyFill="1" applyBorder="1" applyAlignment="1">
      <alignment horizontal="right" wrapText="1"/>
    </xf>
    <xf numFmtId="1" fontId="29" fillId="15" borderId="104" xfId="72" applyNumberFormat="1" applyFont="1" applyFill="1" applyBorder="1" applyAlignment="1" applyProtection="1">
      <alignment horizontal="right"/>
      <protection locked="0"/>
    </xf>
    <xf numFmtId="1" fontId="29" fillId="22" borderId="38" xfId="0" applyNumberFormat="1" applyFont="1" applyFill="1" applyBorder="1" applyAlignment="1">
      <alignment horizontal="right" wrapText="1"/>
    </xf>
    <xf numFmtId="1" fontId="29" fillId="22" borderId="26" xfId="0" applyNumberFormat="1" applyFont="1" applyFill="1" applyBorder="1" applyAlignment="1">
      <alignment horizontal="right" wrapText="1"/>
    </xf>
    <xf numFmtId="1" fontId="29" fillId="22" borderId="15" xfId="0" applyNumberFormat="1" applyFont="1" applyFill="1" applyBorder="1" applyAlignment="1">
      <alignment horizontal="right"/>
    </xf>
    <xf numFmtId="1" fontId="29" fillId="22" borderId="40" xfId="0" applyNumberFormat="1" applyFont="1" applyFill="1" applyBorder="1" applyAlignment="1">
      <alignment horizontal="right"/>
    </xf>
    <xf numFmtId="1" fontId="29" fillId="22" borderId="40" xfId="0" applyNumberFormat="1" applyFont="1" applyFill="1" applyBorder="1" applyAlignment="1">
      <alignment wrapText="1"/>
    </xf>
    <xf numFmtId="1" fontId="29" fillId="22" borderId="48" xfId="0" applyNumberFormat="1" applyFont="1" applyFill="1" applyBorder="1" applyAlignment="1">
      <alignment wrapText="1"/>
    </xf>
    <xf numFmtId="1" fontId="29" fillId="22" borderId="48" xfId="0" applyNumberFormat="1" applyFont="1" applyFill="1" applyBorder="1" applyAlignment="1">
      <alignment horizontal="right"/>
    </xf>
    <xf numFmtId="1" fontId="29" fillId="15" borderId="4" xfId="72" applyNumberFormat="1" applyFont="1" applyFill="1" applyBorder="1" applyAlignment="1" applyProtection="1">
      <alignment horizontal="right"/>
      <protection locked="0"/>
    </xf>
    <xf numFmtId="1" fontId="29" fillId="22" borderId="0" xfId="0" applyNumberFormat="1" applyFont="1" applyFill="1" applyAlignment="1">
      <alignment wrapText="1"/>
    </xf>
    <xf numFmtId="1" fontId="29" fillId="17" borderId="0" xfId="0" applyNumberFormat="1" applyFont="1" applyFill="1" applyProtection="1">
      <protection hidden="1"/>
    </xf>
    <xf numFmtId="1" fontId="36" fillId="22" borderId="4" xfId="0" applyNumberFormat="1" applyFont="1" applyFill="1" applyBorder="1"/>
    <xf numFmtId="1" fontId="30" fillId="22" borderId="4" xfId="0" applyNumberFormat="1" applyFont="1" applyFill="1" applyBorder="1"/>
    <xf numFmtId="0" fontId="29" fillId="0" borderId="175" xfId="0" applyFont="1" applyBorder="1" applyAlignment="1">
      <alignment horizontal="center" vertical="center"/>
    </xf>
    <xf numFmtId="0" fontId="29" fillId="0" borderId="184" xfId="0" applyFont="1" applyBorder="1" applyAlignment="1">
      <alignment horizontal="center" vertical="center"/>
    </xf>
    <xf numFmtId="0" fontId="29" fillId="0" borderId="141" xfId="0" applyFont="1" applyBorder="1" applyAlignment="1">
      <alignment horizontal="center" vertical="center"/>
    </xf>
    <xf numFmtId="0" fontId="29" fillId="0" borderId="6" xfId="0" applyFont="1" applyBorder="1"/>
    <xf numFmtId="1" fontId="29" fillId="0" borderId="55" xfId="0" applyNumberFormat="1" applyFont="1" applyBorder="1" applyAlignment="1">
      <alignment horizontal="right"/>
    </xf>
    <xf numFmtId="1" fontId="29" fillId="0" borderId="14" xfId="0" applyNumberFormat="1" applyFont="1" applyBorder="1" applyAlignment="1">
      <alignment horizontal="right"/>
    </xf>
    <xf numFmtId="1" fontId="29" fillId="0" borderId="52" xfId="0" applyNumberFormat="1" applyFont="1" applyBorder="1" applyAlignment="1">
      <alignment horizontal="right"/>
    </xf>
    <xf numFmtId="1" fontId="29" fillId="0" borderId="141" xfId="0" applyNumberFormat="1" applyFont="1" applyBorder="1" applyAlignment="1">
      <alignment horizontal="right"/>
    </xf>
    <xf numFmtId="1" fontId="29" fillId="0" borderId="100" xfId="0" applyNumberFormat="1" applyFont="1" applyBorder="1" applyAlignment="1">
      <alignment horizontal="right"/>
    </xf>
    <xf numFmtId="1" fontId="29" fillId="0" borderId="11" xfId="0" applyNumberFormat="1" applyFont="1" applyBorder="1" applyAlignment="1">
      <alignment horizontal="right"/>
    </xf>
    <xf numFmtId="1" fontId="29" fillId="0" borderId="13" xfId="0" applyNumberFormat="1" applyFont="1" applyBorder="1" applyAlignment="1">
      <alignment horizontal="right"/>
    </xf>
    <xf numFmtId="0" fontId="29" fillId="0" borderId="48" xfId="0" applyFont="1" applyBorder="1"/>
    <xf numFmtId="1" fontId="29" fillId="0" borderId="16" xfId="0" applyNumberFormat="1" applyFont="1" applyBorder="1" applyAlignment="1">
      <alignment horizontal="right"/>
    </xf>
    <xf numFmtId="1" fontId="29" fillId="0" borderId="18" xfId="0" applyNumberFormat="1" applyFont="1" applyBorder="1" applyAlignment="1">
      <alignment horizontal="right"/>
    </xf>
    <xf numFmtId="1" fontId="29" fillId="0" borderId="70" xfId="0" applyNumberFormat="1" applyFont="1" applyBorder="1" applyAlignment="1">
      <alignment horizontal="right"/>
    </xf>
    <xf numFmtId="1" fontId="29" fillId="0" borderId="86" xfId="0" applyNumberFormat="1" applyFont="1" applyBorder="1" applyAlignment="1">
      <alignment horizontal="right"/>
    </xf>
    <xf numFmtId="1" fontId="29" fillId="20" borderId="72" xfId="0" applyNumberFormat="1" applyFont="1" applyFill="1" applyBorder="1" applyAlignment="1">
      <alignment horizontal="right"/>
    </xf>
    <xf numFmtId="1" fontId="29" fillId="20" borderId="86" xfId="0" applyNumberFormat="1" applyFont="1" applyFill="1" applyBorder="1" applyAlignment="1">
      <alignment horizontal="right"/>
    </xf>
    <xf numFmtId="1" fontId="29" fillId="15" borderId="97" xfId="0" applyNumberFormat="1" applyFont="1" applyFill="1" applyBorder="1" applyAlignment="1" applyProtection="1">
      <alignment horizontal="right"/>
      <protection locked="0"/>
    </xf>
    <xf numFmtId="0" fontId="29" fillId="20" borderId="41" xfId="0" applyFont="1" applyFill="1" applyBorder="1" applyAlignment="1">
      <alignment horizontal="right"/>
    </xf>
    <xf numFmtId="0" fontId="29" fillId="20" borderId="13" xfId="0" applyFont="1" applyFill="1" applyBorder="1" applyAlignment="1">
      <alignment horizontal="right"/>
    </xf>
    <xf numFmtId="0" fontId="29" fillId="0" borderId="19" xfId="0" applyFont="1" applyBorder="1" applyAlignment="1">
      <alignment horizontal="left" vertical="center" wrapText="1"/>
    </xf>
    <xf numFmtId="1" fontId="29" fillId="0" borderId="20" xfId="0" applyNumberFormat="1" applyFont="1" applyBorder="1" applyAlignment="1">
      <alignment horizontal="right"/>
    </xf>
    <xf numFmtId="1" fontId="29" fillId="0" borderId="22" xfId="0" applyNumberFormat="1" applyFont="1" applyBorder="1" applyAlignment="1">
      <alignment horizontal="right"/>
    </xf>
    <xf numFmtId="0" fontId="29" fillId="20" borderId="42" xfId="0" applyFont="1" applyFill="1" applyBorder="1" applyAlignment="1">
      <alignment horizontal="right"/>
    </xf>
    <xf numFmtId="0" fontId="29" fillId="20" borderId="22" xfId="0" applyFont="1" applyFill="1" applyBorder="1" applyAlignment="1">
      <alignment horizontal="right"/>
    </xf>
    <xf numFmtId="0" fontId="29" fillId="20" borderId="36" xfId="0" applyFont="1" applyFill="1" applyBorder="1" applyAlignment="1">
      <alignment horizontal="right"/>
    </xf>
    <xf numFmtId="0" fontId="29" fillId="20" borderId="87" xfId="0" applyFont="1" applyFill="1" applyBorder="1" applyAlignment="1">
      <alignment horizontal="right"/>
    </xf>
    <xf numFmtId="0" fontId="29" fillId="0" borderId="40" xfId="0" applyFont="1" applyBorder="1" applyAlignment="1">
      <alignment horizontal="left" vertical="center" wrapText="1"/>
    </xf>
    <xf numFmtId="1" fontId="7" fillId="15" borderId="206" xfId="80" applyNumberFormat="1" applyFont="1" applyFill="1" applyBorder="1" applyAlignment="1" applyProtection="1">
      <alignment horizontal="right"/>
      <protection locked="0"/>
    </xf>
    <xf numFmtId="1" fontId="7" fillId="15" borderId="207" xfId="80" applyNumberFormat="1" applyFont="1" applyFill="1" applyBorder="1" applyAlignment="1" applyProtection="1">
      <alignment horizontal="right"/>
      <protection locked="0"/>
    </xf>
    <xf numFmtId="1" fontId="7" fillId="15" borderId="50" xfId="80" applyNumberFormat="1" applyFont="1" applyFill="1" applyBorder="1" applyAlignment="1" applyProtection="1">
      <alignment horizontal="right"/>
      <protection locked="0"/>
    </xf>
    <xf numFmtId="1" fontId="7" fillId="15" borderId="51" xfId="80" applyNumberFormat="1" applyFont="1" applyFill="1" applyBorder="1" applyAlignment="1" applyProtection="1">
      <alignment horizontal="right"/>
      <protection locked="0"/>
    </xf>
    <xf numFmtId="1" fontId="7" fillId="15" borderId="208" xfId="80" applyNumberFormat="1" applyFont="1" applyFill="1" applyBorder="1" applyAlignment="1" applyProtection="1">
      <alignment horizontal="right"/>
      <protection locked="0"/>
    </xf>
    <xf numFmtId="1" fontId="29" fillId="22" borderId="39" xfId="0" applyNumberFormat="1" applyFont="1" applyFill="1" applyBorder="1" applyAlignment="1">
      <alignment horizontal="center" vertical="center" wrapText="1"/>
    </xf>
    <xf numFmtId="1" fontId="29" fillId="15" borderId="39" xfId="171" applyNumberFormat="1" applyFont="1" applyFill="1" applyBorder="1" applyAlignment="1">
      <alignment horizontal="right"/>
      <protection locked="0"/>
    </xf>
    <xf numFmtId="1" fontId="29" fillId="22" borderId="153" xfId="0" applyNumberFormat="1" applyFont="1" applyFill="1" applyBorder="1" applyAlignment="1">
      <alignment horizontal="center" vertical="center" wrapText="1"/>
    </xf>
    <xf numFmtId="1" fontId="29" fillId="22" borderId="211" xfId="0" applyNumberFormat="1" applyFont="1" applyFill="1" applyBorder="1" applyAlignment="1">
      <alignment horizontal="center" vertical="center" wrapText="1"/>
    </xf>
    <xf numFmtId="1" fontId="29" fillId="15" borderId="211" xfId="171" applyNumberFormat="1" applyFont="1" applyFill="1" applyBorder="1" applyAlignment="1">
      <alignment horizontal="right"/>
      <protection locked="0"/>
    </xf>
    <xf numFmtId="1" fontId="29" fillId="15" borderId="153" xfId="171" applyNumberFormat="1" applyFont="1" applyFill="1" applyBorder="1" applyAlignment="1">
      <alignment horizontal="right"/>
      <protection locked="0"/>
    </xf>
    <xf numFmtId="1" fontId="29" fillId="20" borderId="109" xfId="125" applyNumberFormat="1" applyFont="1" applyFill="1" applyBorder="1" applyAlignment="1">
      <alignment horizontal="right"/>
    </xf>
    <xf numFmtId="1" fontId="29" fillId="20" borderId="213" xfId="125" applyNumberFormat="1" applyFont="1" applyFill="1" applyBorder="1" applyAlignment="1">
      <alignment horizontal="right"/>
    </xf>
    <xf numFmtId="1" fontId="29" fillId="20" borderId="214" xfId="125" applyNumberFormat="1" applyFont="1" applyFill="1" applyBorder="1" applyAlignment="1">
      <alignment horizontal="right"/>
    </xf>
    <xf numFmtId="1" fontId="29" fillId="20" borderId="82" xfId="125" applyNumberFormat="1" applyFont="1" applyFill="1" applyBorder="1" applyAlignment="1">
      <alignment horizontal="right"/>
    </xf>
    <xf numFmtId="1" fontId="29" fillId="20" borderId="83" xfId="125" applyNumberFormat="1" applyFont="1" applyFill="1" applyBorder="1" applyAlignment="1">
      <alignment horizontal="right"/>
    </xf>
    <xf numFmtId="1" fontId="29" fillId="20" borderId="4" xfId="125" applyNumberFormat="1" applyFont="1" applyFill="1" applyBorder="1" applyAlignment="1">
      <alignment horizontal="right"/>
    </xf>
    <xf numFmtId="1" fontId="29" fillId="0" borderId="209" xfId="108" applyNumberFormat="1" applyFont="1" applyBorder="1" applyAlignment="1">
      <alignment horizontal="center" vertical="center" wrapText="1"/>
    </xf>
    <xf numFmtId="1" fontId="29" fillId="0" borderId="216" xfId="0" applyNumberFormat="1" applyFont="1" applyBorder="1" applyAlignment="1">
      <alignment horizontal="center" vertical="center"/>
    </xf>
    <xf numFmtId="1" fontId="29" fillId="22" borderId="216" xfId="124" applyNumberFormat="1" applyFont="1" applyFill="1" applyBorder="1" applyAlignment="1">
      <alignment horizontal="right"/>
    </xf>
    <xf numFmtId="1" fontId="29" fillId="15" borderId="0" xfId="124" applyNumberFormat="1" applyFont="1" applyFill="1" applyAlignment="1" applyProtection="1">
      <alignment horizontal="right"/>
      <protection locked="0"/>
    </xf>
    <xf numFmtId="1" fontId="29" fillId="0" borderId="216" xfId="124" applyNumberFormat="1" applyFont="1" applyBorder="1" applyAlignment="1">
      <alignment horizontal="right"/>
    </xf>
    <xf numFmtId="1" fontId="29" fillId="15" borderId="216" xfId="124" applyNumberFormat="1" applyFont="1" applyFill="1" applyBorder="1" applyAlignment="1" applyProtection="1">
      <alignment horizontal="right"/>
      <protection locked="0"/>
    </xf>
    <xf numFmtId="1" fontId="29" fillId="0" borderId="211" xfId="0" applyNumberFormat="1" applyFont="1" applyBorder="1" applyAlignment="1">
      <alignment horizontal="center" vertical="center"/>
    </xf>
    <xf numFmtId="1" fontId="29" fillId="15" borderId="67" xfId="124" applyNumberFormat="1" applyFont="1" applyFill="1" applyBorder="1" applyAlignment="1" applyProtection="1">
      <alignment horizontal="right"/>
      <protection locked="0"/>
    </xf>
    <xf numFmtId="1" fontId="29" fillId="0" borderId="94" xfId="124" applyNumberFormat="1" applyFont="1" applyBorder="1" applyAlignment="1">
      <alignment horizontal="center" vertical="center" wrapText="1"/>
    </xf>
    <xf numFmtId="1" fontId="29" fillId="0" borderId="153" xfId="0" applyNumberFormat="1" applyFont="1" applyBorder="1" applyAlignment="1">
      <alignment horizontal="center" vertical="center" wrapText="1"/>
    </xf>
    <xf numFmtId="1" fontId="29" fillId="0" borderId="211" xfId="124" applyNumberFormat="1" applyFont="1" applyBorder="1" applyAlignment="1">
      <alignment horizontal="center" vertical="center" wrapText="1"/>
    </xf>
    <xf numFmtId="1" fontId="29" fillId="0" borderId="211" xfId="124" applyNumberFormat="1" applyFont="1" applyBorder="1" applyAlignment="1">
      <alignment horizontal="right"/>
    </xf>
    <xf numFmtId="1" fontId="29" fillId="0" borderId="216" xfId="0" applyNumberFormat="1" applyFont="1" applyBorder="1" applyAlignment="1">
      <alignment horizontal="center" vertical="center" wrapText="1"/>
    </xf>
    <xf numFmtId="1" fontId="29" fillId="15" borderId="87" xfId="0" applyNumberFormat="1" applyFont="1" applyFill="1" applyBorder="1" applyAlignment="1" applyProtection="1">
      <alignment horizontal="right"/>
      <protection locked="0"/>
    </xf>
    <xf numFmtId="1" fontId="29" fillId="15" borderId="158" xfId="0" applyNumberFormat="1" applyFont="1" applyFill="1" applyBorder="1" applyAlignment="1" applyProtection="1">
      <alignment horizontal="right"/>
      <protection locked="0"/>
    </xf>
    <xf numFmtId="1" fontId="29" fillId="15" borderId="88" xfId="0" applyNumberFormat="1" applyFont="1" applyFill="1" applyBorder="1" applyAlignment="1" applyProtection="1">
      <alignment horizontal="right"/>
      <protection locked="0"/>
    </xf>
    <xf numFmtId="1" fontId="29" fillId="15" borderId="83" xfId="0" applyNumberFormat="1" applyFont="1" applyFill="1" applyBorder="1" applyAlignment="1" applyProtection="1">
      <alignment horizontal="right"/>
      <protection locked="0"/>
    </xf>
    <xf numFmtId="1" fontId="29" fillId="15" borderId="82" xfId="0" applyNumberFormat="1" applyFont="1" applyFill="1" applyBorder="1" applyAlignment="1" applyProtection="1">
      <alignment horizontal="right"/>
      <protection locked="0"/>
    </xf>
    <xf numFmtId="1" fontId="29" fillId="15" borderId="48" xfId="0" applyNumberFormat="1" applyFont="1" applyFill="1" applyBorder="1" applyAlignment="1" applyProtection="1">
      <alignment horizontal="right"/>
      <protection locked="0"/>
    </xf>
    <xf numFmtId="1" fontId="29" fillId="32" borderId="56" xfId="125" applyNumberFormat="1" applyFont="1" applyFill="1" applyBorder="1" applyAlignment="1">
      <alignment horizontal="right"/>
    </xf>
    <xf numFmtId="1" fontId="29" fillId="23" borderId="13" xfId="124" applyNumberFormat="1" applyFont="1" applyFill="1" applyBorder="1" applyAlignment="1" applyProtection="1">
      <alignment horizontal="right"/>
      <protection locked="0"/>
    </xf>
    <xf numFmtId="1" fontId="29" fillId="23" borderId="5" xfId="125" applyNumberFormat="1" applyFont="1" applyFill="1" applyBorder="1" applyAlignment="1" applyProtection="1">
      <alignment horizontal="right"/>
      <protection locked="0"/>
    </xf>
    <xf numFmtId="1" fontId="29" fillId="23" borderId="10" xfId="125" applyNumberFormat="1" applyFont="1" applyFill="1" applyBorder="1" applyAlignment="1" applyProtection="1">
      <alignment horizontal="right"/>
      <protection locked="0"/>
    </xf>
    <xf numFmtId="1" fontId="29" fillId="23" borderId="141" xfId="125" applyNumberFormat="1" applyFont="1" applyFill="1" applyBorder="1" applyAlignment="1" applyProtection="1">
      <alignment horizontal="right"/>
      <protection locked="0"/>
    </xf>
    <xf numFmtId="1" fontId="29" fillId="23" borderId="187" xfId="125" applyNumberFormat="1" applyFont="1" applyFill="1" applyBorder="1" applyAlignment="1" applyProtection="1">
      <alignment horizontal="right"/>
      <protection locked="0"/>
    </xf>
    <xf numFmtId="1" fontId="29" fillId="23" borderId="84" xfId="125" applyNumberFormat="1" applyFont="1" applyFill="1" applyBorder="1" applyAlignment="1" applyProtection="1">
      <alignment horizontal="right"/>
      <protection locked="0"/>
    </xf>
    <xf numFmtId="1" fontId="29" fillId="23" borderId="137" xfId="125" applyNumberFormat="1" applyFont="1" applyFill="1" applyBorder="1" applyAlignment="1" applyProtection="1">
      <alignment horizontal="right"/>
      <protection locked="0"/>
    </xf>
    <xf numFmtId="1" fontId="29" fillId="23" borderId="178" xfId="125" applyNumberFormat="1" applyFont="1" applyFill="1" applyBorder="1" applyAlignment="1" applyProtection="1">
      <alignment horizontal="right"/>
      <protection locked="0"/>
    </xf>
    <xf numFmtId="1" fontId="29" fillId="23" borderId="41" xfId="125" applyNumberFormat="1" applyFont="1" applyFill="1" applyBorder="1" applyAlignment="1" applyProtection="1">
      <alignment horizontal="right"/>
      <protection locked="0"/>
    </xf>
    <xf numFmtId="1" fontId="29" fillId="23" borderId="56" xfId="125" applyNumberFormat="1" applyFont="1" applyFill="1" applyBorder="1" applyAlignment="1" applyProtection="1">
      <alignment horizontal="right"/>
      <protection locked="0"/>
    </xf>
    <xf numFmtId="1" fontId="29" fillId="23" borderId="57" xfId="125" applyNumberFormat="1" applyFont="1" applyFill="1" applyBorder="1" applyAlignment="1" applyProtection="1">
      <alignment horizontal="right"/>
      <protection locked="0"/>
    </xf>
    <xf numFmtId="1" fontId="29" fillId="23" borderId="135" xfId="125" applyNumberFormat="1" applyFont="1" applyFill="1" applyBorder="1" applyAlignment="1" applyProtection="1">
      <alignment horizontal="right"/>
      <protection locked="0"/>
    </xf>
    <xf numFmtId="1" fontId="29" fillId="23" borderId="15" xfId="125" applyNumberFormat="1" applyFont="1" applyFill="1" applyBorder="1" applyAlignment="1" applyProtection="1">
      <alignment horizontal="right"/>
      <protection locked="0"/>
    </xf>
    <xf numFmtId="1" fontId="29" fillId="23" borderId="11" xfId="125" applyNumberFormat="1" applyFont="1" applyFill="1" applyBorder="1" applyAlignment="1" applyProtection="1">
      <alignment horizontal="right"/>
      <protection locked="0"/>
    </xf>
    <xf numFmtId="1" fontId="29" fillId="23" borderId="13" xfId="125" applyNumberFormat="1" applyFont="1" applyFill="1" applyBorder="1" applyAlignment="1" applyProtection="1">
      <alignment horizontal="right"/>
      <protection locked="0"/>
    </xf>
    <xf numFmtId="1" fontId="29" fillId="23" borderId="61" xfId="125" applyNumberFormat="1" applyFont="1" applyFill="1" applyBorder="1" applyAlignment="1" applyProtection="1">
      <alignment horizontal="right"/>
      <protection locked="0"/>
    </xf>
    <xf numFmtId="1" fontId="29" fillId="23" borderId="62" xfId="125" applyNumberFormat="1" applyFont="1" applyFill="1" applyBorder="1" applyAlignment="1" applyProtection="1">
      <alignment horizontal="right"/>
      <protection locked="0"/>
    </xf>
    <xf numFmtId="1" fontId="29" fillId="23" borderId="101" xfId="125" applyNumberFormat="1" applyFont="1" applyFill="1" applyBorder="1" applyAlignment="1" applyProtection="1">
      <alignment horizontal="right"/>
      <protection locked="0"/>
    </xf>
    <xf numFmtId="1" fontId="29" fillId="23" borderId="108" xfId="125" applyNumberFormat="1" applyFont="1" applyFill="1" applyBorder="1" applyAlignment="1" applyProtection="1">
      <alignment horizontal="right"/>
      <protection locked="0"/>
    </xf>
    <xf numFmtId="1" fontId="29" fillId="23" borderId="48" xfId="125" applyNumberFormat="1" applyFont="1" applyFill="1" applyBorder="1" applyAlignment="1" applyProtection="1">
      <alignment horizontal="right"/>
      <protection locked="0"/>
    </xf>
    <xf numFmtId="1" fontId="29" fillId="23" borderId="16" xfId="125" applyNumberFormat="1" applyFont="1" applyFill="1" applyBorder="1" applyAlignment="1" applyProtection="1">
      <alignment horizontal="right"/>
      <protection locked="0"/>
    </xf>
    <xf numFmtId="1" fontId="29" fillId="23" borderId="18" xfId="125" applyNumberFormat="1" applyFont="1" applyFill="1" applyBorder="1" applyAlignment="1" applyProtection="1">
      <alignment horizontal="right"/>
      <protection locked="0"/>
    </xf>
    <xf numFmtId="1" fontId="29" fillId="23" borderId="72" xfId="125" applyNumberFormat="1" applyFont="1" applyFill="1" applyBorder="1" applyAlignment="1" applyProtection="1">
      <alignment horizontal="right"/>
      <protection locked="0"/>
    </xf>
    <xf numFmtId="1" fontId="29" fillId="23" borderId="71" xfId="125" applyNumberFormat="1" applyFont="1" applyFill="1" applyBorder="1" applyAlignment="1" applyProtection="1">
      <alignment horizontal="right"/>
      <protection locked="0"/>
    </xf>
    <xf numFmtId="1" fontId="29" fillId="23" borderId="96" xfId="125" applyNumberFormat="1" applyFont="1" applyFill="1" applyBorder="1" applyAlignment="1" applyProtection="1">
      <alignment horizontal="right"/>
      <protection locked="0"/>
    </xf>
    <xf numFmtId="1" fontId="29" fillId="23" borderId="109" xfId="125" applyNumberFormat="1" applyFont="1" applyFill="1" applyBorder="1" applyAlignment="1" applyProtection="1">
      <alignment horizontal="right"/>
      <protection locked="0"/>
    </xf>
    <xf numFmtId="1" fontId="29" fillId="23" borderId="40" xfId="125" applyNumberFormat="1" applyFont="1" applyFill="1" applyBorder="1" applyAlignment="1" applyProtection="1">
      <alignment horizontal="right"/>
      <protection locked="0"/>
    </xf>
    <xf numFmtId="1" fontId="29" fillId="23" borderId="70" xfId="125" applyNumberFormat="1" applyFont="1" applyFill="1" applyBorder="1" applyAlignment="1" applyProtection="1">
      <alignment horizontal="right"/>
      <protection locked="0"/>
    </xf>
    <xf numFmtId="1" fontId="29" fillId="23" borderId="86" xfId="125" applyNumberFormat="1" applyFont="1" applyFill="1" applyBorder="1" applyAlignment="1" applyProtection="1">
      <alignment horizontal="right"/>
      <protection locked="0"/>
    </xf>
    <xf numFmtId="1" fontId="29" fillId="23" borderId="52" xfId="125" applyNumberFormat="1" applyFont="1" applyFill="1" applyBorder="1" applyAlignment="1" applyProtection="1">
      <alignment horizontal="right"/>
      <protection locked="0"/>
    </xf>
    <xf numFmtId="1" fontId="29" fillId="23" borderId="53" xfId="125" applyNumberFormat="1" applyFont="1" applyFill="1" applyBorder="1" applyAlignment="1" applyProtection="1">
      <alignment horizontal="right"/>
      <protection locked="0"/>
    </xf>
    <xf numFmtId="1" fontId="29" fillId="23" borderId="106" xfId="125" applyNumberFormat="1" applyFont="1" applyFill="1" applyBorder="1" applyAlignment="1" applyProtection="1">
      <alignment horizontal="right"/>
      <protection locked="0"/>
    </xf>
    <xf numFmtId="1" fontId="29" fillId="23" borderId="117" xfId="125" applyNumberFormat="1" applyFont="1" applyFill="1" applyBorder="1" applyAlignment="1" applyProtection="1">
      <alignment horizontal="right"/>
      <protection locked="0"/>
    </xf>
    <xf numFmtId="1" fontId="29" fillId="23" borderId="6" xfId="125" applyNumberFormat="1" applyFont="1" applyFill="1" applyBorder="1" applyAlignment="1" applyProtection="1">
      <alignment horizontal="right"/>
      <protection locked="0"/>
    </xf>
    <xf numFmtId="1" fontId="29" fillId="23" borderId="55" xfId="125" applyNumberFormat="1" applyFont="1" applyFill="1" applyBorder="1" applyAlignment="1" applyProtection="1">
      <alignment horizontal="right"/>
      <protection locked="0"/>
    </xf>
    <xf numFmtId="1" fontId="29" fillId="23" borderId="14" xfId="125" applyNumberFormat="1" applyFont="1" applyFill="1" applyBorder="1" applyAlignment="1" applyProtection="1">
      <alignment horizontal="right"/>
      <protection locked="0"/>
    </xf>
    <xf numFmtId="1" fontId="29" fillId="23" borderId="50" xfId="125" applyNumberFormat="1" applyFont="1" applyFill="1" applyBorder="1" applyAlignment="1" applyProtection="1">
      <alignment horizontal="right"/>
      <protection locked="0"/>
    </xf>
    <xf numFmtId="1" fontId="29" fillId="23" borderId="42" xfId="125" applyNumberFormat="1" applyFont="1" applyFill="1" applyBorder="1" applyAlignment="1" applyProtection="1">
      <alignment horizontal="right"/>
      <protection locked="0"/>
    </xf>
    <xf numFmtId="1" fontId="29" fillId="23" borderId="43" xfId="125" applyNumberFormat="1" applyFont="1" applyFill="1" applyBorder="1" applyAlignment="1" applyProtection="1">
      <alignment horizontal="right"/>
      <protection locked="0"/>
    </xf>
    <xf numFmtId="1" fontId="29" fillId="23" borderId="21" xfId="125" applyNumberFormat="1" applyFont="1" applyFill="1" applyBorder="1" applyAlignment="1" applyProtection="1">
      <alignment horizontal="right"/>
      <protection locked="0"/>
    </xf>
    <xf numFmtId="1" fontId="29" fillId="23" borderId="107" xfId="125" applyNumberFormat="1" applyFont="1" applyFill="1" applyBorder="1" applyAlignment="1" applyProtection="1">
      <alignment horizontal="right"/>
      <protection locked="0"/>
    </xf>
    <xf numFmtId="1" fontId="29" fillId="23" borderId="19" xfId="125" applyNumberFormat="1" applyFont="1" applyFill="1" applyBorder="1" applyAlignment="1" applyProtection="1">
      <alignment horizontal="right"/>
      <protection locked="0"/>
    </xf>
    <xf numFmtId="1" fontId="29" fillId="23" borderId="20" xfId="125" applyNumberFormat="1" applyFont="1" applyFill="1" applyBorder="1" applyAlignment="1" applyProtection="1">
      <alignment horizontal="right"/>
      <protection locked="0"/>
    </xf>
    <xf numFmtId="1" fontId="29" fillId="23" borderId="22" xfId="125" applyNumberFormat="1" applyFont="1" applyFill="1" applyBorder="1" applyAlignment="1" applyProtection="1">
      <alignment horizontal="right"/>
      <protection locked="0"/>
    </xf>
    <xf numFmtId="1" fontId="29" fillId="23" borderId="60" xfId="125" applyNumberFormat="1" applyFont="1" applyFill="1" applyBorder="1" applyAlignment="1" applyProtection="1">
      <alignment horizontal="right"/>
      <protection locked="0"/>
    </xf>
    <xf numFmtId="1" fontId="29" fillId="23" borderId="44" xfId="125" applyNumberFormat="1" applyFont="1" applyFill="1" applyBorder="1" applyAlignment="1" applyProtection="1">
      <alignment horizontal="right"/>
      <protection locked="0"/>
    </xf>
    <xf numFmtId="1" fontId="29" fillId="23" borderId="25" xfId="125" applyNumberFormat="1" applyFont="1" applyFill="1" applyBorder="1" applyAlignment="1" applyProtection="1">
      <alignment horizontal="right"/>
      <protection locked="0"/>
    </xf>
    <xf numFmtId="1" fontId="29" fillId="23" borderId="136" xfId="125" applyNumberFormat="1" applyFont="1" applyFill="1" applyBorder="1" applyAlignment="1" applyProtection="1">
      <alignment horizontal="right"/>
      <protection locked="0"/>
    </xf>
    <xf numFmtId="1" fontId="29" fillId="23" borderId="27" xfId="125" applyNumberFormat="1" applyFont="1" applyFill="1" applyBorder="1" applyAlignment="1" applyProtection="1">
      <alignment horizontal="right"/>
      <protection locked="0"/>
    </xf>
    <xf numFmtId="1" fontId="29" fillId="23" borderId="23" xfId="125" applyNumberFormat="1" applyFont="1" applyFill="1" applyBorder="1" applyAlignment="1" applyProtection="1">
      <alignment horizontal="right"/>
      <protection locked="0"/>
    </xf>
    <xf numFmtId="1" fontId="29" fillId="23" borderId="26" xfId="125" applyNumberFormat="1" applyFont="1" applyFill="1" applyBorder="1" applyAlignment="1" applyProtection="1">
      <alignment horizontal="right"/>
      <protection locked="0"/>
    </xf>
    <xf numFmtId="1" fontId="29" fillId="23" borderId="66" xfId="125" applyNumberFormat="1" applyFont="1" applyFill="1" applyBorder="1" applyAlignment="1" applyProtection="1">
      <alignment horizontal="right"/>
      <protection locked="0"/>
    </xf>
    <xf numFmtId="1" fontId="29" fillId="23" borderId="87" xfId="125" applyNumberFormat="1" applyFont="1" applyFill="1" applyBorder="1" applyAlignment="1" applyProtection="1">
      <alignment horizontal="right"/>
      <protection locked="0"/>
    </xf>
    <xf numFmtId="1" fontId="29" fillId="23" borderId="88" xfId="125" applyNumberFormat="1" applyFont="1" applyFill="1" applyBorder="1" applyAlignment="1" applyProtection="1">
      <alignment horizontal="right"/>
      <protection locked="0"/>
    </xf>
    <xf numFmtId="1" fontId="29" fillId="23" borderId="80" xfId="125" applyNumberFormat="1" applyFont="1" applyFill="1" applyBorder="1" applyAlignment="1" applyProtection="1">
      <alignment horizontal="right"/>
      <protection locked="0"/>
    </xf>
    <xf numFmtId="1" fontId="29" fillId="23" borderId="65" xfId="125" applyNumberFormat="1" applyFont="1" applyFill="1" applyBorder="1" applyAlignment="1" applyProtection="1">
      <alignment horizontal="right"/>
      <protection locked="0"/>
    </xf>
    <xf numFmtId="1" fontId="29" fillId="23" borderId="67" xfId="125" applyNumberFormat="1" applyFont="1" applyFill="1" applyBorder="1" applyAlignment="1" applyProtection="1">
      <alignment horizontal="right"/>
      <protection locked="0"/>
    </xf>
    <xf numFmtId="1" fontId="29" fillId="23" borderId="102" xfId="125" applyNumberFormat="1" applyFont="1" applyFill="1" applyBorder="1" applyAlignment="1" applyProtection="1">
      <alignment horizontal="right"/>
      <protection locked="0"/>
    </xf>
    <xf numFmtId="1" fontId="29" fillId="23" borderId="41" xfId="45" applyNumberFormat="1" applyFont="1" applyFill="1" applyBorder="1" applyAlignment="1" applyProtection="1">
      <alignment horizontal="right"/>
      <protection locked="0"/>
    </xf>
    <xf numFmtId="1" fontId="29" fillId="23" borderId="11" xfId="45" applyNumberFormat="1" applyFont="1" applyFill="1" applyBorder="1" applyAlignment="1" applyProtection="1">
      <alignment horizontal="right"/>
      <protection locked="0"/>
    </xf>
    <xf numFmtId="1" fontId="29" fillId="23" borderId="13" xfId="45" applyNumberFormat="1" applyFont="1" applyFill="1" applyBorder="1" applyAlignment="1" applyProtection="1">
      <alignment horizontal="right"/>
      <protection locked="0"/>
    </xf>
    <xf numFmtId="1" fontId="29" fillId="23" borderId="72" xfId="45" applyNumberFormat="1" applyFont="1" applyFill="1" applyBorder="1" applyAlignment="1" applyProtection="1">
      <alignment horizontal="right"/>
      <protection locked="0"/>
    </xf>
    <xf numFmtId="1" fontId="29" fillId="23" borderId="70" xfId="45" applyNumberFormat="1" applyFont="1" applyFill="1" applyBorder="1" applyAlignment="1" applyProtection="1">
      <alignment horizontal="right"/>
      <protection locked="0"/>
    </xf>
    <xf numFmtId="1" fontId="29" fillId="23" borderId="86" xfId="45" applyNumberFormat="1" applyFont="1" applyFill="1" applyBorder="1" applyAlignment="1" applyProtection="1">
      <alignment horizontal="right"/>
      <protection locked="0"/>
    </xf>
    <xf numFmtId="1" fontId="29" fillId="23" borderId="5" xfId="45" applyNumberFormat="1" applyFont="1" applyFill="1" applyBorder="1" applyAlignment="1" applyProtection="1">
      <alignment horizontal="right"/>
      <protection locked="0"/>
    </xf>
    <xf numFmtId="1" fontId="29" fillId="23" borderId="187" xfId="45" applyNumberFormat="1" applyFont="1" applyFill="1" applyBorder="1" applyAlignment="1" applyProtection="1">
      <alignment horizontal="right"/>
      <protection locked="0"/>
    </xf>
    <xf numFmtId="1" fontId="29" fillId="23" borderId="50" xfId="45" applyNumberFormat="1" applyFont="1" applyFill="1" applyBorder="1" applyAlignment="1" applyProtection="1">
      <alignment horizontal="right"/>
      <protection locked="0"/>
    </xf>
    <xf numFmtId="1" fontId="29" fillId="23" borderId="141" xfId="45" applyNumberFormat="1" applyFont="1" applyFill="1" applyBorder="1" applyAlignment="1" applyProtection="1">
      <alignment horizontal="right"/>
      <protection locked="0"/>
    </xf>
    <xf numFmtId="1" fontId="29" fillId="23" borderId="56" xfId="45" applyNumberFormat="1" applyFont="1" applyFill="1" applyBorder="1" applyAlignment="1" applyProtection="1">
      <alignment horizontal="right"/>
      <protection locked="0"/>
    </xf>
    <xf numFmtId="1" fontId="29" fillId="23" borderId="71" xfId="45" applyNumberFormat="1" applyFont="1" applyFill="1" applyBorder="1" applyAlignment="1" applyProtection="1">
      <alignment horizontal="right"/>
      <protection locked="0"/>
    </xf>
    <xf numFmtId="1" fontId="29" fillId="23" borderId="103" xfId="125" applyNumberFormat="1" applyFont="1" applyFill="1" applyBorder="1" applyAlignment="1" applyProtection="1">
      <alignment horizontal="right"/>
      <protection locked="0"/>
    </xf>
    <xf numFmtId="1" fontId="29" fillId="23" borderId="35" xfId="125" applyNumberFormat="1" applyFont="1" applyFill="1" applyBorder="1" applyAlignment="1" applyProtection="1">
      <alignment horizontal="right"/>
      <protection locked="0"/>
    </xf>
    <xf numFmtId="1" fontId="29" fillId="23" borderId="68" xfId="125" applyNumberFormat="1" applyFont="1" applyFill="1" applyBorder="1" applyAlignment="1" applyProtection="1">
      <alignment horizontal="right"/>
      <protection locked="0"/>
    </xf>
    <xf numFmtId="1" fontId="29" fillId="23" borderId="112" xfId="125" applyNumberFormat="1" applyFont="1" applyFill="1" applyBorder="1" applyAlignment="1" applyProtection="1">
      <alignment horizontal="right"/>
      <protection locked="0"/>
    </xf>
    <xf numFmtId="1" fontId="29" fillId="23" borderId="169" xfId="125" applyNumberFormat="1" applyFont="1" applyFill="1" applyBorder="1" applyAlignment="1" applyProtection="1">
      <alignment horizontal="right"/>
      <protection locked="0"/>
    </xf>
    <xf numFmtId="1" fontId="29" fillId="23" borderId="93" xfId="125" applyNumberFormat="1" applyFont="1" applyFill="1" applyBorder="1" applyAlignment="1" applyProtection="1">
      <alignment horizontal="right"/>
      <protection locked="0"/>
    </xf>
    <xf numFmtId="1" fontId="29" fillId="23" borderId="38" xfId="125" applyNumberFormat="1" applyFont="1" applyFill="1" applyBorder="1" applyAlignment="1" applyProtection="1">
      <alignment horizontal="right"/>
      <protection locked="0"/>
    </xf>
    <xf numFmtId="1" fontId="29" fillId="23" borderId="91" xfId="125" applyNumberFormat="1" applyFont="1" applyFill="1" applyBorder="1" applyAlignment="1" applyProtection="1">
      <alignment horizontal="right"/>
      <protection locked="0"/>
    </xf>
    <xf numFmtId="1" fontId="29" fillId="23" borderId="32" xfId="125" applyNumberFormat="1" applyFont="1" applyFill="1" applyBorder="1" applyAlignment="1" applyProtection="1">
      <alignment horizontal="right"/>
      <protection locked="0"/>
    </xf>
    <xf numFmtId="1" fontId="29" fillId="23" borderId="73" xfId="125" applyNumberFormat="1" applyFont="1" applyFill="1" applyBorder="1" applyAlignment="1" applyProtection="1">
      <alignment horizontal="right"/>
      <protection locked="0"/>
    </xf>
    <xf numFmtId="1" fontId="29" fillId="23" borderId="81" xfId="125" applyNumberFormat="1" applyFont="1" applyFill="1" applyBorder="1" applyAlignment="1" applyProtection="1">
      <alignment horizontal="right"/>
      <protection locked="0"/>
    </xf>
    <xf numFmtId="1" fontId="29" fillId="23" borderId="17" xfId="125" applyNumberFormat="1" applyFont="1" applyFill="1" applyBorder="1" applyAlignment="1" applyProtection="1">
      <alignment horizontal="right"/>
      <protection locked="0"/>
    </xf>
    <xf numFmtId="1" fontId="29" fillId="23" borderId="39" xfId="125" applyNumberFormat="1" applyFont="1" applyFill="1" applyBorder="1" applyAlignment="1" applyProtection="1">
      <alignment horizontal="right"/>
      <protection locked="0"/>
    </xf>
    <xf numFmtId="1" fontId="29" fillId="23" borderId="92" xfId="125" applyNumberFormat="1" applyFont="1" applyFill="1" applyBorder="1" applyAlignment="1" applyProtection="1">
      <alignment horizontal="right"/>
      <protection locked="0"/>
    </xf>
    <xf numFmtId="1" fontId="29" fillId="23" borderId="104" xfId="125" applyNumberFormat="1" applyFont="1" applyFill="1" applyBorder="1" applyAlignment="1" applyProtection="1">
      <alignment horizontal="right"/>
      <protection locked="0"/>
    </xf>
    <xf numFmtId="1" fontId="29" fillId="23" borderId="177" xfId="125" applyNumberFormat="1" applyFont="1" applyFill="1" applyBorder="1" applyAlignment="1" applyProtection="1">
      <alignment horizontal="right"/>
      <protection locked="0"/>
    </xf>
    <xf numFmtId="1" fontId="29" fillId="23" borderId="8" xfId="0" applyNumberFormat="1" applyFont="1" applyFill="1" applyBorder="1" applyAlignment="1" applyProtection="1">
      <alignment horizontal="right"/>
      <protection locked="0"/>
    </xf>
    <xf numFmtId="1" fontId="29" fillId="23" borderId="78" xfId="125" applyNumberFormat="1" applyFont="1" applyFill="1" applyBorder="1" applyAlignment="1" applyProtection="1">
      <alignment horizontal="right"/>
      <protection locked="0"/>
    </xf>
    <xf numFmtId="1" fontId="29" fillId="23" borderId="77" xfId="125" applyNumberFormat="1" applyFont="1" applyFill="1" applyBorder="1" applyAlignment="1" applyProtection="1">
      <alignment horizontal="right"/>
      <protection locked="0"/>
    </xf>
    <xf numFmtId="1" fontId="29" fillId="23" borderId="79" xfId="125" applyNumberFormat="1" applyFont="1" applyFill="1" applyBorder="1" applyAlignment="1" applyProtection="1">
      <alignment horizontal="right"/>
      <protection locked="0"/>
    </xf>
    <xf numFmtId="1" fontId="29" fillId="23" borderId="111" xfId="125" applyNumberFormat="1" applyFont="1" applyFill="1" applyBorder="1" applyAlignment="1" applyProtection="1">
      <alignment horizontal="right"/>
      <protection locked="0"/>
    </xf>
    <xf numFmtId="1" fontId="29" fillId="23" borderId="33" xfId="125" applyNumberFormat="1" applyFont="1" applyFill="1" applyBorder="1" applyAlignment="1" applyProtection="1">
      <alignment horizontal="right"/>
      <protection locked="0"/>
    </xf>
    <xf numFmtId="1" fontId="29" fillId="23" borderId="110" xfId="125" applyNumberFormat="1" applyFont="1" applyFill="1" applyBorder="1" applyAlignment="1" applyProtection="1">
      <alignment horizontal="right"/>
      <protection locked="0"/>
    </xf>
    <xf numFmtId="1" fontId="29" fillId="23" borderId="100" xfId="125" applyNumberFormat="1" applyFont="1" applyFill="1" applyBorder="1" applyAlignment="1" applyProtection="1">
      <alignment horizontal="right"/>
      <protection locked="0"/>
    </xf>
    <xf numFmtId="1" fontId="29" fillId="23" borderId="97" xfId="125" applyNumberFormat="1" applyFont="1" applyFill="1" applyBorder="1" applyAlignment="1" applyProtection="1">
      <alignment horizontal="right"/>
      <protection locked="0"/>
    </xf>
    <xf numFmtId="1" fontId="7" fillId="23" borderId="41" xfId="125" applyNumberFormat="1" applyFont="1" applyFill="1" applyBorder="1" applyAlignment="1" applyProtection="1">
      <alignment horizontal="right"/>
      <protection locked="0"/>
    </xf>
    <xf numFmtId="1" fontId="7" fillId="23" borderId="56" xfId="125" applyNumberFormat="1" applyFont="1" applyFill="1" applyBorder="1" applyAlignment="1" applyProtection="1">
      <alignment horizontal="right"/>
      <protection locked="0"/>
    </xf>
    <xf numFmtId="1" fontId="7" fillId="23" borderId="57" xfId="125" applyNumberFormat="1" applyFont="1" applyFill="1" applyBorder="1" applyAlignment="1" applyProtection="1">
      <alignment horizontal="right"/>
      <protection locked="0"/>
    </xf>
    <xf numFmtId="1" fontId="7" fillId="23" borderId="69" xfId="125" applyNumberFormat="1" applyFont="1" applyFill="1" applyBorder="1" applyAlignment="1" applyProtection="1">
      <alignment horizontal="right"/>
      <protection locked="0"/>
    </xf>
    <xf numFmtId="1" fontId="7" fillId="23" borderId="13" xfId="125" applyNumberFormat="1" applyFont="1" applyFill="1" applyBorder="1" applyAlignment="1" applyProtection="1">
      <alignment horizontal="right"/>
      <protection locked="0"/>
    </xf>
    <xf numFmtId="1" fontId="7" fillId="23" borderId="61" xfId="125" applyNumberFormat="1" applyFont="1" applyFill="1" applyBorder="1" applyAlignment="1" applyProtection="1">
      <alignment horizontal="right"/>
      <protection locked="0"/>
    </xf>
    <xf numFmtId="1" fontId="7" fillId="23" borderId="62" xfId="125" applyNumberFormat="1" applyFont="1" applyFill="1" applyBorder="1" applyAlignment="1" applyProtection="1">
      <alignment horizontal="right"/>
      <protection locked="0"/>
    </xf>
    <xf numFmtId="1" fontId="7" fillId="23" borderId="101" xfId="125" applyNumberFormat="1" applyFont="1" applyFill="1" applyBorder="1" applyAlignment="1" applyProtection="1">
      <alignment horizontal="right"/>
      <protection locked="0"/>
    </xf>
    <xf numFmtId="1" fontId="7" fillId="23" borderId="64" xfId="125" applyNumberFormat="1" applyFont="1" applyFill="1" applyBorder="1" applyAlignment="1" applyProtection="1">
      <alignment horizontal="right"/>
      <protection locked="0"/>
    </xf>
    <xf numFmtId="1" fontId="7" fillId="23" borderId="22" xfId="125" applyNumberFormat="1" applyFont="1" applyFill="1" applyBorder="1" applyAlignment="1" applyProtection="1">
      <alignment horizontal="right"/>
      <protection locked="0"/>
    </xf>
    <xf numFmtId="1" fontId="7" fillId="23" borderId="42" xfId="125" applyNumberFormat="1" applyFont="1" applyFill="1" applyBorder="1" applyAlignment="1" applyProtection="1">
      <alignment horizontal="right"/>
      <protection locked="0"/>
    </xf>
    <xf numFmtId="1" fontId="7" fillId="23" borderId="52" xfId="125" applyNumberFormat="1" applyFont="1" applyFill="1" applyBorder="1" applyAlignment="1" applyProtection="1">
      <alignment horizontal="right"/>
      <protection locked="0"/>
    </xf>
    <xf numFmtId="1" fontId="7" fillId="23" borderId="53" xfId="125" applyNumberFormat="1" applyFont="1" applyFill="1" applyBorder="1" applyAlignment="1" applyProtection="1">
      <alignment horizontal="right"/>
      <protection locked="0"/>
    </xf>
    <xf numFmtId="1" fontId="7" fillId="23" borderId="106" xfId="125" applyNumberFormat="1" applyFont="1" applyFill="1" applyBorder="1" applyAlignment="1" applyProtection="1">
      <alignment horizontal="right"/>
      <protection locked="0"/>
    </xf>
    <xf numFmtId="1" fontId="7" fillId="23" borderId="95" xfId="125" applyNumberFormat="1" applyFont="1" applyFill="1" applyBorder="1" applyAlignment="1" applyProtection="1">
      <alignment horizontal="right"/>
      <protection locked="0"/>
    </xf>
    <xf numFmtId="1" fontId="7" fillId="23" borderId="86" xfId="125" applyNumberFormat="1" applyFont="1" applyFill="1" applyBorder="1" applyAlignment="1" applyProtection="1">
      <alignment horizontal="right"/>
      <protection locked="0"/>
    </xf>
    <xf numFmtId="1" fontId="7" fillId="23" borderId="72" xfId="125" applyNumberFormat="1" applyFont="1" applyFill="1" applyBorder="1" applyAlignment="1" applyProtection="1">
      <alignment horizontal="right"/>
      <protection locked="0"/>
    </xf>
    <xf numFmtId="1" fontId="7" fillId="23" borderId="43" xfId="125" applyNumberFormat="1" applyFont="1" applyFill="1" applyBorder="1" applyAlignment="1" applyProtection="1">
      <alignment horizontal="right"/>
      <protection locked="0"/>
    </xf>
    <xf numFmtId="1" fontId="7" fillId="23" borderId="21" xfId="125" applyNumberFormat="1" applyFont="1" applyFill="1" applyBorder="1" applyAlignment="1" applyProtection="1">
      <alignment horizontal="right"/>
      <protection locked="0"/>
    </xf>
    <xf numFmtId="1" fontId="7" fillId="23" borderId="44" xfId="125" applyNumberFormat="1" applyFont="1" applyFill="1" applyBorder="1" applyAlignment="1" applyProtection="1">
      <alignment horizontal="right"/>
      <protection locked="0"/>
    </xf>
    <xf numFmtId="1" fontId="7" fillId="23" borderId="67" xfId="125" applyNumberFormat="1" applyFont="1" applyFill="1" applyBorder="1" applyAlignment="1" applyProtection="1">
      <alignment horizontal="right"/>
      <protection locked="0"/>
    </xf>
    <xf numFmtId="1" fontId="7" fillId="23" borderId="65" xfId="125" applyNumberFormat="1" applyFont="1" applyFill="1" applyBorder="1" applyAlignment="1" applyProtection="1">
      <alignment horizontal="right"/>
      <protection locked="0"/>
    </xf>
    <xf numFmtId="1" fontId="7" fillId="23" borderId="102" xfId="125" applyNumberFormat="1" applyFont="1" applyFill="1" applyBorder="1" applyAlignment="1" applyProtection="1">
      <alignment horizontal="right"/>
      <protection locked="0"/>
    </xf>
    <xf numFmtId="1" fontId="7" fillId="23" borderId="58" xfId="125" applyNumberFormat="1" applyFont="1" applyFill="1" applyBorder="1" applyAlignment="1" applyProtection="1">
      <alignment horizontal="right"/>
      <protection locked="0"/>
    </xf>
    <xf numFmtId="1" fontId="7" fillId="23" borderId="66" xfId="125" applyNumberFormat="1" applyFont="1" applyFill="1" applyBorder="1" applyAlignment="1" applyProtection="1">
      <alignment horizontal="right"/>
      <protection locked="0"/>
    </xf>
    <xf numFmtId="1" fontId="7" fillId="23" borderId="71" xfId="125" applyNumberFormat="1" applyFont="1" applyFill="1" applyBorder="1" applyAlignment="1" applyProtection="1">
      <alignment horizontal="right"/>
      <protection locked="0"/>
    </xf>
    <xf numFmtId="1" fontId="7" fillId="23" borderId="96" xfId="125" applyNumberFormat="1" applyFont="1" applyFill="1" applyBorder="1" applyAlignment="1" applyProtection="1">
      <alignment horizontal="right"/>
      <protection locked="0"/>
    </xf>
    <xf numFmtId="1" fontId="7" fillId="23" borderId="11" xfId="125" applyNumberFormat="1" applyFont="1" applyFill="1" applyBorder="1" applyAlignment="1" applyProtection="1">
      <alignment horizontal="right"/>
      <protection locked="0"/>
    </xf>
    <xf numFmtId="1" fontId="7" fillId="23" borderId="70" xfId="125" applyNumberFormat="1" applyFont="1" applyFill="1" applyBorder="1" applyAlignment="1" applyProtection="1">
      <alignment horizontal="right"/>
      <protection locked="0"/>
    </xf>
    <xf numFmtId="1" fontId="7" fillId="23" borderId="20" xfId="125" applyNumberFormat="1" applyFont="1" applyFill="1" applyBorder="1" applyAlignment="1" applyProtection="1">
      <alignment horizontal="right"/>
      <protection locked="0"/>
    </xf>
    <xf numFmtId="1" fontId="7" fillId="23" borderId="54" xfId="125" applyNumberFormat="1" applyFont="1" applyFill="1" applyBorder="1" applyAlignment="1" applyProtection="1">
      <alignment horizontal="right"/>
      <protection locked="0"/>
    </xf>
    <xf numFmtId="1" fontId="7" fillId="23" borderId="55" xfId="125" applyNumberFormat="1" applyFont="1" applyFill="1" applyBorder="1" applyAlignment="1" applyProtection="1">
      <alignment horizontal="right"/>
      <protection locked="0"/>
    </xf>
    <xf numFmtId="1" fontId="7" fillId="23" borderId="80" xfId="125" applyNumberFormat="1" applyFont="1" applyFill="1" applyBorder="1" applyAlignment="1" applyProtection="1">
      <alignment horizontal="right"/>
      <protection locked="0"/>
    </xf>
    <xf numFmtId="1" fontId="7" fillId="23" borderId="81" xfId="125" applyNumberFormat="1" applyFont="1" applyFill="1" applyBorder="1" applyAlignment="1" applyProtection="1">
      <alignment horizontal="right"/>
      <protection locked="0"/>
    </xf>
    <xf numFmtId="1" fontId="7" fillId="23" borderId="16" xfId="125" applyNumberFormat="1" applyFont="1" applyFill="1" applyBorder="1" applyAlignment="1" applyProtection="1">
      <alignment horizontal="right"/>
      <protection locked="0"/>
    </xf>
    <xf numFmtId="1" fontId="7" fillId="23" borderId="92" xfId="125" applyNumberFormat="1" applyFont="1" applyFill="1" applyBorder="1" applyAlignment="1" applyProtection="1">
      <alignment horizontal="right"/>
      <protection locked="0"/>
    </xf>
    <xf numFmtId="1" fontId="7" fillId="23" borderId="104" xfId="125" applyNumberFormat="1" applyFont="1" applyFill="1" applyBorder="1" applyAlignment="1" applyProtection="1">
      <alignment horizontal="right"/>
      <protection locked="0"/>
    </xf>
    <xf numFmtId="1" fontId="7" fillId="23" borderId="11" xfId="125" applyNumberFormat="1" applyFont="1" applyFill="1" applyBorder="1" applyAlignment="1">
      <alignment horizontal="right"/>
    </xf>
    <xf numFmtId="1" fontId="7" fillId="23" borderId="33" xfId="125" applyNumberFormat="1" applyFont="1" applyFill="1" applyBorder="1" applyAlignment="1">
      <alignment horizontal="right"/>
    </xf>
    <xf numFmtId="1" fontId="7" fillId="23" borderId="60" xfId="125" applyNumberFormat="1" applyFont="1" applyFill="1" applyBorder="1" applyAlignment="1" applyProtection="1">
      <alignment horizontal="right"/>
      <protection locked="0"/>
    </xf>
    <xf numFmtId="1" fontId="7" fillId="23" borderId="23" xfId="125" applyNumberFormat="1" applyFont="1" applyFill="1" applyBorder="1" applyAlignment="1" applyProtection="1">
      <alignment horizontal="right"/>
      <protection locked="0"/>
    </xf>
    <xf numFmtId="1" fontId="7" fillId="23" borderId="25" xfId="125" applyNumberFormat="1" applyFont="1" applyFill="1" applyBorder="1" applyAlignment="1" applyProtection="1">
      <alignment horizontal="right"/>
      <protection locked="0"/>
    </xf>
    <xf numFmtId="1" fontId="7" fillId="23" borderId="36" xfId="125" applyNumberFormat="1" applyFont="1" applyFill="1" applyBorder="1" applyAlignment="1" applyProtection="1">
      <alignment horizontal="right"/>
      <protection locked="0"/>
    </xf>
    <xf numFmtId="1" fontId="7" fillId="23" borderId="14" xfId="125" applyNumberFormat="1" applyFont="1" applyFill="1" applyBorder="1" applyAlignment="1" applyProtection="1">
      <alignment horizontal="right"/>
      <protection locked="0"/>
    </xf>
    <xf numFmtId="1" fontId="7" fillId="23" borderId="100" xfId="125" applyNumberFormat="1" applyFont="1" applyFill="1" applyBorder="1" applyAlignment="1" applyProtection="1">
      <alignment horizontal="right"/>
      <protection locked="0"/>
    </xf>
    <xf numFmtId="1" fontId="7" fillId="23" borderId="99" xfId="125" applyNumberFormat="1" applyFont="1" applyFill="1" applyBorder="1" applyAlignment="1" applyProtection="1">
      <alignment horizontal="right"/>
      <protection locked="0"/>
    </xf>
    <xf numFmtId="0" fontId="0" fillId="22" borderId="0" xfId="0" applyFill="1"/>
    <xf numFmtId="0" fontId="10" fillId="0" borderId="0" xfId="0" applyFont="1" applyAlignment="1">
      <alignment vertical="center"/>
    </xf>
    <xf numFmtId="0" fontId="8" fillId="0" borderId="4" xfId="14" applyFont="1" applyFill="1" applyBorder="1" applyAlignment="1">
      <alignment horizontal="center"/>
      <protection locked="0"/>
    </xf>
    <xf numFmtId="0" fontId="4" fillId="0" borderId="4" xfId="123" applyFont="1" applyBorder="1" applyAlignment="1" applyProtection="1">
      <alignment horizontal="center"/>
      <protection locked="0"/>
    </xf>
    <xf numFmtId="0" fontId="8" fillId="15" borderId="6" xfId="14" applyFont="1" applyFill="1" applyBorder="1" applyAlignment="1">
      <alignment horizontal="center"/>
      <protection locked="0"/>
    </xf>
    <xf numFmtId="0" fontId="4" fillId="14" borderId="63" xfId="0" applyFont="1" applyFill="1" applyBorder="1" applyAlignment="1" applyProtection="1">
      <alignment horizontal="center"/>
      <protection hidden="1"/>
    </xf>
    <xf numFmtId="0" fontId="4" fillId="14" borderId="53" xfId="0" applyFont="1" applyFill="1" applyBorder="1" applyAlignment="1" applyProtection="1">
      <alignment horizontal="center"/>
      <protection hidden="1"/>
    </xf>
    <xf numFmtId="0" fontId="4" fillId="17" borderId="0" xfId="0" applyFont="1" applyFill="1" applyAlignment="1">
      <alignment horizontal="center"/>
    </xf>
    <xf numFmtId="0" fontId="10" fillId="0" borderId="0" xfId="0" applyFont="1" applyAlignment="1">
      <alignment horizontal="left" vertical="center"/>
    </xf>
    <xf numFmtId="0" fontId="7" fillId="17" borderId="0" xfId="0" applyFont="1" applyFill="1"/>
    <xf numFmtId="0" fontId="11" fillId="0" borderId="0" xfId="0" applyFont="1" applyAlignment="1">
      <alignment vertical="center"/>
    </xf>
    <xf numFmtId="0" fontId="11" fillId="26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49" fontId="7" fillId="17" borderId="0" xfId="0" applyNumberFormat="1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49" fontId="43" fillId="33" borderId="0" xfId="179" applyNumberFormat="1" applyFill="1"/>
    <xf numFmtId="0" fontId="8" fillId="17" borderId="179" xfId="0" applyFont="1" applyFill="1" applyBorder="1" applyAlignment="1">
      <alignment horizontal="center" vertical="center"/>
    </xf>
    <xf numFmtId="0" fontId="7" fillId="17" borderId="0" xfId="0" applyFont="1" applyFill="1" applyAlignment="1" applyProtection="1">
      <alignment horizontal="center"/>
      <protection locked="0"/>
    </xf>
    <xf numFmtId="0" fontId="7" fillId="22" borderId="86" xfId="125" applyFont="1" applyFill="1" applyBorder="1" applyAlignment="1">
      <alignment horizontal="left" vertical="center"/>
    </xf>
    <xf numFmtId="1" fontId="7" fillId="0" borderId="218" xfId="129" applyNumberFormat="1" applyFont="1" applyBorder="1" applyAlignment="1" applyProtection="1"/>
    <xf numFmtId="1" fontId="7" fillId="15" borderId="219" xfId="173" applyNumberFormat="1" applyFont="1" applyFill="1" applyBorder="1" applyAlignment="1">
      <alignment horizontal="right"/>
      <protection locked="0"/>
    </xf>
    <xf numFmtId="1" fontId="7" fillId="15" borderId="220" xfId="173" applyNumberFormat="1" applyFont="1" applyFill="1" applyBorder="1" applyAlignment="1">
      <alignment horizontal="right"/>
      <protection locked="0"/>
    </xf>
    <xf numFmtId="1" fontId="7" fillId="15" borderId="221" xfId="137" applyNumberFormat="1" applyFont="1" applyFill="1" applyBorder="1" applyAlignment="1">
      <alignment horizontal="right"/>
      <protection locked="0"/>
    </xf>
    <xf numFmtId="1" fontId="7" fillId="0" borderId="66" xfId="125" applyNumberFormat="1" applyFont="1" applyBorder="1" applyAlignment="1" applyProtection="1">
      <alignment vertical="center"/>
      <protection hidden="1"/>
    </xf>
    <xf numFmtId="1" fontId="7" fillId="0" borderId="26" xfId="125" applyNumberFormat="1" applyFont="1" applyBorder="1" applyAlignment="1">
      <alignment horizontal="right"/>
    </xf>
    <xf numFmtId="1" fontId="29" fillId="17" borderId="48" xfId="0" applyNumberFormat="1" applyFont="1" applyFill="1" applyBorder="1" applyAlignment="1">
      <alignment horizontal="left" vertical="center" wrapText="1"/>
    </xf>
    <xf numFmtId="0" fontId="29" fillId="0" borderId="153" xfId="0" applyFont="1" applyBorder="1" applyAlignment="1">
      <alignment horizontal="left" vertical="center" wrapText="1"/>
    </xf>
    <xf numFmtId="1" fontId="29" fillId="17" borderId="153" xfId="0" applyNumberFormat="1" applyFont="1" applyFill="1" applyBorder="1" applyAlignment="1">
      <alignment horizontal="center" vertical="center" wrapText="1"/>
    </xf>
    <xf numFmtId="1" fontId="29" fillId="22" borderId="222" xfId="0" applyNumberFormat="1" applyFont="1" applyFill="1" applyBorder="1" applyAlignment="1">
      <alignment horizontal="center" vertical="center"/>
    </xf>
    <xf numFmtId="1" fontId="29" fillId="22" borderId="223" xfId="0" applyNumberFormat="1" applyFont="1" applyFill="1" applyBorder="1" applyAlignment="1">
      <alignment horizontal="center" vertical="center"/>
    </xf>
    <xf numFmtId="1" fontId="29" fillId="15" borderId="206" xfId="0" applyNumberFormat="1" applyFont="1" applyFill="1" applyBorder="1" applyAlignment="1" applyProtection="1">
      <alignment horizontal="right"/>
      <protection locked="0"/>
    </xf>
    <xf numFmtId="1" fontId="29" fillId="15" borderId="222" xfId="0" applyNumberFormat="1" applyFont="1" applyFill="1" applyBorder="1" applyAlignment="1" applyProtection="1">
      <alignment horizontal="right"/>
      <protection locked="0"/>
    </xf>
    <xf numFmtId="1" fontId="29" fillId="15" borderId="50" xfId="0" applyNumberFormat="1" applyFont="1" applyFill="1" applyBorder="1" applyAlignment="1" applyProtection="1">
      <alignment horizontal="right"/>
      <protection locked="0"/>
    </xf>
    <xf numFmtId="1" fontId="29" fillId="15" borderId="102" xfId="0" applyNumberFormat="1" applyFont="1" applyFill="1" applyBorder="1" applyAlignment="1" applyProtection="1">
      <alignment horizontal="right"/>
      <protection locked="0"/>
    </xf>
    <xf numFmtId="1" fontId="7" fillId="0" borderId="6" xfId="125" applyNumberFormat="1" applyFont="1" applyBorder="1" applyAlignment="1" applyProtection="1">
      <alignment vertical="center"/>
      <protection hidden="1"/>
    </xf>
    <xf numFmtId="1" fontId="5" fillId="0" borderId="0" xfId="125" applyNumberFormat="1" applyFont="1" applyAlignment="1" applyProtection="1">
      <alignment horizontal="left"/>
      <protection hidden="1"/>
    </xf>
    <xf numFmtId="0" fontId="7" fillId="22" borderId="49" xfId="125" applyFont="1" applyFill="1" applyBorder="1" applyAlignment="1">
      <alignment horizontal="left" vertical="center"/>
    </xf>
    <xf numFmtId="1" fontId="7" fillId="0" borderId="172" xfId="129" applyNumberFormat="1" applyFont="1" applyBorder="1" applyAlignment="1" applyProtection="1"/>
    <xf numFmtId="0" fontId="14" fillId="14" borderId="180" xfId="123" applyFont="1" applyFill="1" applyBorder="1" applyAlignment="1" applyProtection="1">
      <alignment horizontal="center" vertical="center" wrapText="1"/>
    </xf>
    <xf numFmtId="0" fontId="14" fillId="14" borderId="169" xfId="123" applyFont="1" applyFill="1" applyBorder="1" applyAlignment="1" applyProtection="1">
      <alignment horizontal="center" vertical="center" wrapText="1"/>
    </xf>
    <xf numFmtId="0" fontId="14" fillId="14" borderId="6" xfId="123" applyFont="1" applyFill="1" applyBorder="1" applyAlignment="1" applyProtection="1">
      <alignment horizontal="center" vertical="center" wrapText="1"/>
    </xf>
    <xf numFmtId="0" fontId="4" fillId="19" borderId="217" xfId="0" applyFont="1" applyFill="1" applyBorder="1" applyAlignment="1">
      <alignment horizontal="center" vertical="center" wrapText="1"/>
    </xf>
    <xf numFmtId="0" fontId="4" fillId="19" borderId="211" xfId="0" applyFont="1" applyFill="1" applyBorder="1" applyAlignment="1">
      <alignment horizontal="center" vertical="center" wrapText="1"/>
    </xf>
    <xf numFmtId="0" fontId="5" fillId="19" borderId="217" xfId="123" applyFont="1" applyFill="1" applyBorder="1" applyAlignment="1" applyProtection="1">
      <alignment horizontal="center" vertical="center" wrapText="1"/>
    </xf>
    <xf numFmtId="0" fontId="5" fillId="19" borderId="216" xfId="123" applyFont="1" applyFill="1" applyBorder="1" applyAlignment="1" applyProtection="1">
      <alignment horizontal="center" vertical="center" wrapText="1"/>
    </xf>
    <xf numFmtId="0" fontId="5" fillId="19" borderId="211" xfId="123" applyFont="1" applyFill="1" applyBorder="1" applyAlignment="1" applyProtection="1">
      <alignment horizontal="center" vertical="center" wrapText="1"/>
    </xf>
    <xf numFmtId="0" fontId="12" fillId="14" borderId="217" xfId="119" applyFont="1" applyFill="1" applyBorder="1" applyAlignment="1">
      <alignment horizontal="center" vertical="center"/>
    </xf>
    <xf numFmtId="0" fontId="12" fillId="14" borderId="211" xfId="119" applyFont="1" applyFill="1" applyBorder="1" applyAlignment="1">
      <alignment horizontal="center" vertical="center"/>
    </xf>
    <xf numFmtId="0" fontId="8" fillId="19" borderId="217" xfId="123" applyFont="1" applyFill="1" applyBorder="1" applyAlignment="1" applyProtection="1">
      <alignment horizontal="center" vertical="center"/>
    </xf>
    <xf numFmtId="0" fontId="8" fillId="19" borderId="211" xfId="123" applyFont="1" applyFill="1" applyBorder="1" applyAlignment="1" applyProtection="1">
      <alignment horizontal="center" vertical="center"/>
    </xf>
    <xf numFmtId="0" fontId="36" fillId="0" borderId="160" xfId="0" applyFont="1" applyBorder="1" applyAlignment="1">
      <alignment horizontal="left" vertical="center"/>
    </xf>
    <xf numFmtId="0" fontId="36" fillId="0" borderId="183" xfId="0" applyFont="1" applyBorder="1" applyAlignment="1">
      <alignment horizontal="left" vertical="center"/>
    </xf>
    <xf numFmtId="1" fontId="36" fillId="0" borderId="170" xfId="0" applyNumberFormat="1" applyFont="1" applyBorder="1" applyAlignment="1" applyProtection="1">
      <alignment horizontal="left"/>
      <protection hidden="1"/>
    </xf>
    <xf numFmtId="1" fontId="36" fillId="0" borderId="0" xfId="0" applyNumberFormat="1" applyFont="1" applyAlignment="1" applyProtection="1">
      <alignment horizontal="left"/>
      <protection hidden="1"/>
    </xf>
    <xf numFmtId="1" fontId="36" fillId="0" borderId="194" xfId="0" applyNumberFormat="1" applyFont="1" applyBorder="1" applyAlignment="1" applyProtection="1">
      <alignment horizontal="left"/>
      <protection hidden="1"/>
    </xf>
    <xf numFmtId="1" fontId="36" fillId="0" borderId="179" xfId="0" applyNumberFormat="1" applyFont="1" applyBorder="1" applyAlignment="1" applyProtection="1">
      <alignment horizontal="left"/>
      <protection hidden="1"/>
    </xf>
    <xf numFmtId="1" fontId="36" fillId="0" borderId="9" xfId="0" applyNumberFormat="1" applyFont="1" applyBorder="1" applyAlignment="1" applyProtection="1">
      <alignment horizontal="left"/>
      <protection hidden="1"/>
    </xf>
    <xf numFmtId="1" fontId="36" fillId="0" borderId="4" xfId="0" applyNumberFormat="1" applyFont="1" applyBorder="1" applyAlignment="1" applyProtection="1">
      <alignment horizontal="left"/>
      <protection hidden="1"/>
    </xf>
    <xf numFmtId="1" fontId="36" fillId="0" borderId="165" xfId="0" applyNumberFormat="1" applyFont="1" applyBorder="1" applyAlignment="1" applyProtection="1">
      <alignment horizontal="left"/>
      <protection hidden="1"/>
    </xf>
    <xf numFmtId="1" fontId="36" fillId="0" borderId="183" xfId="0" applyNumberFormat="1" applyFont="1" applyBorder="1" applyAlignment="1" applyProtection="1">
      <alignment horizontal="left"/>
      <protection hidden="1"/>
    </xf>
    <xf numFmtId="1" fontId="29" fillId="0" borderId="46" xfId="0" applyNumberFormat="1" applyFont="1" applyBorder="1" applyAlignment="1" applyProtection="1">
      <alignment horizontal="left" vertical="center" wrapText="1"/>
      <protection hidden="1"/>
    </xf>
    <xf numFmtId="1" fontId="29" fillId="0" borderId="22" xfId="0" applyNumberFormat="1" applyFont="1" applyBorder="1" applyAlignment="1" applyProtection="1">
      <alignment horizontal="left" vertical="center" wrapText="1"/>
      <protection hidden="1"/>
    </xf>
    <xf numFmtId="1" fontId="29" fillId="0" borderId="41" xfId="0" applyNumberFormat="1" applyFont="1" applyBorder="1" applyAlignment="1" applyProtection="1">
      <alignment horizontal="left"/>
      <protection hidden="1"/>
    </xf>
    <xf numFmtId="1" fontId="29" fillId="0" borderId="56" xfId="0" quotePrefix="1" applyNumberFormat="1" applyFont="1" applyBorder="1" applyAlignment="1" applyProtection="1">
      <alignment horizontal="left"/>
      <protection hidden="1"/>
    </xf>
    <xf numFmtId="0" fontId="29" fillId="0" borderId="180" xfId="0" applyFont="1" applyBorder="1" applyAlignment="1">
      <alignment horizontal="center" vertical="center" wrapText="1"/>
    </xf>
    <xf numFmtId="0" fontId="29" fillId="0" borderId="169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1" fontId="29" fillId="0" borderId="180" xfId="0" applyNumberFormat="1" applyFont="1" applyBorder="1" applyAlignment="1" applyProtection="1">
      <alignment horizontal="center" vertical="center" wrapText="1"/>
      <protection hidden="1"/>
    </xf>
    <xf numFmtId="1" fontId="29" fillId="0" borderId="6" xfId="0" applyNumberFormat="1" applyFont="1" applyBorder="1" applyAlignment="1" applyProtection="1">
      <alignment horizontal="center" vertical="center" wrapText="1"/>
      <protection hidden="1"/>
    </xf>
    <xf numFmtId="1" fontId="29" fillId="0" borderId="177" xfId="0" applyNumberFormat="1" applyFont="1" applyBorder="1" applyAlignment="1" applyProtection="1">
      <alignment horizontal="center" vertical="center" wrapText="1"/>
      <protection hidden="1"/>
    </xf>
    <xf numFmtId="1" fontId="29" fillId="0" borderId="178" xfId="0" applyNumberFormat="1" applyFont="1" applyBorder="1" applyAlignment="1" applyProtection="1">
      <alignment horizontal="center" vertical="center" wrapText="1"/>
      <protection hidden="1"/>
    </xf>
    <xf numFmtId="1" fontId="29" fillId="0" borderId="181" xfId="0" quotePrefix="1" applyNumberFormat="1" applyFont="1" applyBorder="1" applyAlignment="1" applyProtection="1">
      <alignment horizontal="center" vertical="center"/>
      <protection hidden="1"/>
    </xf>
    <xf numFmtId="1" fontId="29" fillId="0" borderId="182" xfId="0" quotePrefix="1" applyNumberFormat="1" applyFont="1" applyBorder="1" applyAlignment="1" applyProtection="1">
      <alignment horizontal="center" vertical="center"/>
      <protection hidden="1"/>
    </xf>
    <xf numFmtId="1" fontId="29" fillId="0" borderId="63" xfId="0" quotePrefix="1" applyNumberFormat="1" applyFont="1" applyBorder="1" applyAlignment="1" applyProtection="1">
      <alignment horizontal="center" vertical="center"/>
      <protection hidden="1"/>
    </xf>
    <xf numFmtId="1" fontId="29" fillId="0" borderId="14" xfId="0" quotePrefix="1" applyNumberFormat="1" applyFont="1" applyBorder="1" applyAlignment="1" applyProtection="1">
      <alignment horizontal="center" vertical="center"/>
      <protection hidden="1"/>
    </xf>
    <xf numFmtId="1" fontId="29" fillId="0" borderId="181" xfId="0" applyNumberFormat="1" applyFont="1" applyBorder="1" applyAlignment="1" applyProtection="1">
      <alignment horizontal="center" vertical="center"/>
      <protection hidden="1"/>
    </xf>
    <xf numFmtId="1" fontId="29" fillId="0" borderId="63" xfId="0" applyNumberFormat="1" applyFont="1" applyBorder="1" applyAlignment="1" applyProtection="1">
      <alignment horizontal="center" vertical="center"/>
      <protection hidden="1"/>
    </xf>
    <xf numFmtId="1" fontId="29" fillId="0" borderId="185" xfId="0" applyNumberFormat="1" applyFont="1" applyBorder="1" applyAlignment="1">
      <alignment horizontal="center" vertical="center" wrapText="1"/>
    </xf>
    <xf numFmtId="1" fontId="29" fillId="0" borderId="105" xfId="0" applyNumberFormat="1" applyFont="1" applyBorder="1" applyAlignment="1">
      <alignment horizontal="center" vertical="center" wrapText="1"/>
    </xf>
    <xf numFmtId="1" fontId="35" fillId="0" borderId="0" xfId="0" applyNumberFormat="1" applyFont="1" applyAlignment="1" applyProtection="1">
      <alignment horizontal="center" vertical="center" wrapText="1"/>
      <protection hidden="1"/>
    </xf>
    <xf numFmtId="0" fontId="29" fillId="0" borderId="191" xfId="0" applyFont="1" applyBorder="1" applyAlignment="1">
      <alignment horizontal="center" vertical="center" wrapText="1"/>
    </xf>
    <xf numFmtId="0" fontId="29" fillId="0" borderId="89" xfId="0" applyFont="1" applyBorder="1" applyAlignment="1">
      <alignment horizontal="center" vertical="center" wrapText="1"/>
    </xf>
    <xf numFmtId="0" fontId="29" fillId="0" borderId="192" xfId="0" applyFont="1" applyBorder="1" applyAlignment="1">
      <alignment horizontal="center" vertical="center" wrapText="1"/>
    </xf>
    <xf numFmtId="0" fontId="29" fillId="0" borderId="100" xfId="0" applyFont="1" applyBorder="1" applyAlignment="1">
      <alignment horizontal="center" vertical="center" wrapText="1"/>
    </xf>
    <xf numFmtId="0" fontId="29" fillId="0" borderId="183" xfId="0" applyFont="1" applyBorder="1" applyAlignment="1">
      <alignment horizontal="center" vertical="center"/>
    </xf>
    <xf numFmtId="0" fontId="29" fillId="0" borderId="178" xfId="0" applyFont="1" applyBorder="1" applyAlignment="1">
      <alignment horizontal="center" vertical="center"/>
    </xf>
    <xf numFmtId="0" fontId="29" fillId="0" borderId="177" xfId="0" applyFont="1" applyBorder="1" applyAlignment="1">
      <alignment horizontal="center" vertical="center"/>
    </xf>
    <xf numFmtId="0" fontId="29" fillId="0" borderId="179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88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193" xfId="0" applyFont="1" applyBorder="1" applyAlignment="1">
      <alignment horizontal="center" vertical="center" wrapText="1"/>
    </xf>
    <xf numFmtId="0" fontId="29" fillId="0" borderId="54" xfId="0" applyFont="1" applyBorder="1" applyAlignment="1">
      <alignment horizontal="center" vertical="center" wrapText="1"/>
    </xf>
    <xf numFmtId="1" fontId="29" fillId="0" borderId="188" xfId="0" applyNumberFormat="1" applyFont="1" applyBorder="1" applyAlignment="1" applyProtection="1">
      <alignment horizontal="center" vertical="center" wrapText="1"/>
      <protection hidden="1"/>
    </xf>
    <xf numFmtId="1" fontId="29" fillId="0" borderId="52" xfId="0" applyNumberFormat="1" applyFont="1" applyBorder="1" applyAlignment="1" applyProtection="1">
      <alignment horizontal="center" vertical="center" wrapText="1"/>
      <protection hidden="1"/>
    </xf>
    <xf numFmtId="1" fontId="29" fillId="0" borderId="186" xfId="0" applyNumberFormat="1" applyFont="1" applyBorder="1" applyAlignment="1" applyProtection="1">
      <alignment horizontal="center" vertical="center" wrapText="1"/>
      <protection hidden="1"/>
    </xf>
    <xf numFmtId="1" fontId="29" fillId="0" borderId="53" xfId="0" applyNumberFormat="1" applyFont="1" applyBorder="1" applyAlignment="1" applyProtection="1">
      <alignment horizontal="center" vertical="center" wrapText="1"/>
      <protection hidden="1"/>
    </xf>
    <xf numFmtId="1" fontId="29" fillId="0" borderId="47" xfId="0" applyNumberFormat="1" applyFont="1" applyBorder="1" applyAlignment="1" applyProtection="1">
      <alignment horizontal="left" vertical="center" wrapText="1"/>
      <protection hidden="1"/>
    </xf>
    <xf numFmtId="1" fontId="29" fillId="0" borderId="18" xfId="0" applyNumberFormat="1" applyFont="1" applyBorder="1" applyAlignment="1" applyProtection="1">
      <alignment horizontal="left" vertical="center" wrapText="1"/>
      <protection hidden="1"/>
    </xf>
    <xf numFmtId="1" fontId="29" fillId="0" borderId="177" xfId="0" applyNumberFormat="1" applyFont="1" applyBorder="1" applyAlignment="1">
      <alignment horizontal="center" vertical="center" wrapText="1"/>
    </xf>
    <xf numFmtId="1" fontId="29" fillId="0" borderId="183" xfId="0" applyNumberFormat="1" applyFont="1" applyBorder="1" applyAlignment="1">
      <alignment horizontal="center" vertical="center" wrapText="1"/>
    </xf>
    <xf numFmtId="1" fontId="29" fillId="0" borderId="178" xfId="0" applyNumberFormat="1" applyFont="1" applyBorder="1" applyAlignment="1">
      <alignment horizontal="center" vertical="center" wrapText="1"/>
    </xf>
    <xf numFmtId="1" fontId="29" fillId="0" borderId="186" xfId="0" applyNumberFormat="1" applyFont="1" applyBorder="1" applyAlignment="1">
      <alignment horizontal="center" vertical="center" wrapText="1"/>
    </xf>
    <xf numFmtId="1" fontId="29" fillId="0" borderId="53" xfId="0" applyNumberFormat="1" applyFont="1" applyBorder="1" applyAlignment="1">
      <alignment horizontal="center" vertical="center" wrapText="1"/>
    </xf>
    <xf numFmtId="1" fontId="29" fillId="0" borderId="182" xfId="0" applyNumberFormat="1" applyFont="1" applyBorder="1" applyAlignment="1">
      <alignment horizontal="center" vertical="center" wrapText="1"/>
    </xf>
    <xf numFmtId="1" fontId="29" fillId="0" borderId="14" xfId="0" applyNumberFormat="1" applyFont="1" applyBorder="1" applyAlignment="1">
      <alignment horizontal="center" vertical="center" wrapText="1"/>
    </xf>
    <xf numFmtId="1" fontId="29" fillId="0" borderId="180" xfId="0" applyNumberFormat="1" applyFont="1" applyBorder="1" applyAlignment="1">
      <alignment horizontal="center" vertical="center" wrapText="1"/>
    </xf>
    <xf numFmtId="1" fontId="29" fillId="0" borderId="6" xfId="0" applyNumberFormat="1" applyFont="1" applyBorder="1" applyAlignment="1">
      <alignment horizontal="center" vertical="center" wrapText="1"/>
    </xf>
    <xf numFmtId="1" fontId="29" fillId="0" borderId="193" xfId="0" applyNumberFormat="1" applyFont="1" applyBorder="1" applyAlignment="1" applyProtection="1">
      <alignment horizontal="center" vertical="center" wrapText="1"/>
      <protection hidden="1"/>
    </xf>
    <xf numFmtId="1" fontId="29" fillId="0" borderId="54" xfId="0" applyNumberFormat="1" applyFont="1" applyBorder="1" applyAlignment="1" applyProtection="1">
      <alignment horizontal="center" vertical="center" wrapText="1"/>
      <protection hidden="1"/>
    </xf>
    <xf numFmtId="1" fontId="29" fillId="0" borderId="183" xfId="0" applyNumberFormat="1" applyFont="1" applyBorder="1" applyAlignment="1" applyProtection="1">
      <alignment horizontal="center" vertical="center" wrapText="1"/>
      <protection hidden="1"/>
    </xf>
    <xf numFmtId="1" fontId="29" fillId="0" borderId="182" xfId="0" applyNumberFormat="1" applyFont="1" applyBorder="1" applyAlignment="1" applyProtection="1">
      <alignment horizontal="center" vertical="center" wrapText="1"/>
      <protection hidden="1"/>
    </xf>
    <xf numFmtId="1" fontId="29" fillId="0" borderId="14" xfId="0" applyNumberFormat="1" applyFont="1" applyBorder="1" applyAlignment="1" applyProtection="1">
      <alignment horizontal="center" vertical="center" wrapText="1"/>
      <protection hidden="1"/>
    </xf>
    <xf numFmtId="1" fontId="29" fillId="0" borderId="137" xfId="0" applyNumberFormat="1" applyFont="1" applyBorder="1" applyAlignment="1" applyProtection="1">
      <alignment horizontal="center" vertical="center" wrapText="1"/>
      <protection hidden="1"/>
    </xf>
    <xf numFmtId="1" fontId="29" fillId="0" borderId="191" xfId="0" applyNumberFormat="1" applyFont="1" applyBorder="1" applyAlignment="1" applyProtection="1">
      <alignment horizontal="center" vertical="center" wrapText="1"/>
      <protection hidden="1"/>
    </xf>
    <xf numFmtId="1" fontId="29" fillId="0" borderId="89" xfId="0" applyNumberFormat="1" applyFont="1" applyBorder="1" applyAlignment="1" applyProtection="1">
      <alignment horizontal="center" vertical="center" wrapText="1"/>
      <protection hidden="1"/>
    </xf>
    <xf numFmtId="1" fontId="29" fillId="0" borderId="51" xfId="0" applyNumberFormat="1" applyFont="1" applyBorder="1" applyAlignment="1" applyProtection="1">
      <alignment horizontal="center" vertical="center" wrapText="1"/>
      <protection hidden="1"/>
    </xf>
    <xf numFmtId="1" fontId="29" fillId="0" borderId="115" xfId="0" quotePrefix="1" applyNumberFormat="1" applyFont="1" applyBorder="1" applyAlignment="1" applyProtection="1">
      <alignment horizontal="center" vertical="center"/>
      <protection hidden="1"/>
    </xf>
    <xf numFmtId="1" fontId="29" fillId="0" borderId="142" xfId="0" quotePrefix="1" applyNumberFormat="1" applyFont="1" applyBorder="1" applyAlignment="1" applyProtection="1">
      <alignment horizontal="center" vertical="center"/>
      <protection hidden="1"/>
    </xf>
    <xf numFmtId="1" fontId="29" fillId="0" borderId="177" xfId="0" applyNumberFormat="1" applyFont="1" applyBorder="1" applyAlignment="1">
      <alignment horizontal="left" vertical="center"/>
    </xf>
    <xf numFmtId="1" fontId="29" fillId="0" borderId="178" xfId="0" applyNumberFormat="1" applyFont="1" applyBorder="1" applyAlignment="1">
      <alignment horizontal="left" vertical="center"/>
    </xf>
    <xf numFmtId="1" fontId="29" fillId="0" borderId="116" xfId="0" applyNumberFormat="1" applyFont="1" applyBorder="1" applyAlignment="1" applyProtection="1">
      <alignment horizontal="left" vertical="center" wrapText="1"/>
      <protection hidden="1"/>
    </xf>
    <xf numFmtId="1" fontId="29" fillId="0" borderId="30" xfId="0" applyNumberFormat="1" applyFont="1" applyBorder="1" applyAlignment="1" applyProtection="1">
      <alignment horizontal="left" vertical="center" wrapText="1"/>
      <protection hidden="1"/>
    </xf>
    <xf numFmtId="1" fontId="29" fillId="0" borderId="177" xfId="0" applyNumberFormat="1" applyFont="1" applyBorder="1" applyAlignment="1" applyProtection="1">
      <alignment horizontal="center" vertical="center"/>
      <protection hidden="1"/>
    </xf>
    <xf numFmtId="1" fontId="29" fillId="0" borderId="183" xfId="0" applyNumberFormat="1" applyFont="1" applyBorder="1" applyAlignment="1" applyProtection="1">
      <alignment horizontal="center" vertical="center"/>
      <protection hidden="1"/>
    </xf>
    <xf numFmtId="1" fontId="29" fillId="0" borderId="184" xfId="0" applyNumberFormat="1" applyFont="1" applyBorder="1" applyAlignment="1" applyProtection="1">
      <alignment horizontal="center" vertical="center"/>
      <protection hidden="1"/>
    </xf>
    <xf numFmtId="1" fontId="29" fillId="0" borderId="181" xfId="0" applyNumberFormat="1" applyFont="1" applyBorder="1" applyAlignment="1" applyProtection="1">
      <alignment horizontal="center" vertical="center" wrapText="1"/>
      <protection hidden="1"/>
    </xf>
    <xf numFmtId="1" fontId="29" fillId="0" borderId="63" xfId="0" applyNumberFormat="1" applyFont="1" applyBorder="1" applyAlignment="1" applyProtection="1">
      <alignment horizontal="center" vertical="center" wrapText="1"/>
      <protection hidden="1"/>
    </xf>
    <xf numFmtId="1" fontId="29" fillId="0" borderId="177" xfId="0" applyNumberFormat="1" applyFont="1" applyBorder="1" applyAlignment="1" applyProtection="1">
      <alignment horizontal="left" vertical="center" wrapText="1"/>
      <protection hidden="1"/>
    </xf>
    <xf numFmtId="1" fontId="29" fillId="0" borderId="14" xfId="0" applyNumberFormat="1" applyFont="1" applyBorder="1" applyAlignment="1" applyProtection="1">
      <alignment horizontal="left" vertical="center" wrapText="1"/>
      <protection hidden="1"/>
    </xf>
    <xf numFmtId="1" fontId="29" fillId="0" borderId="63" xfId="0" applyNumberFormat="1" applyFont="1" applyBorder="1" applyAlignment="1">
      <alignment horizontal="left" vertical="center"/>
    </xf>
    <xf numFmtId="1" fontId="29" fillId="0" borderId="14" xfId="0" applyNumberFormat="1" applyFont="1" applyBorder="1" applyAlignment="1">
      <alignment horizontal="left" vertical="center"/>
    </xf>
    <xf numFmtId="1" fontId="29" fillId="0" borderId="15" xfId="0" applyNumberFormat="1" applyFont="1" applyBorder="1" applyAlignment="1" applyProtection="1">
      <alignment horizontal="center" vertical="center" wrapText="1"/>
      <protection hidden="1"/>
    </xf>
    <xf numFmtId="1" fontId="29" fillId="0" borderId="40" xfId="0" applyNumberFormat="1" applyFont="1" applyBorder="1" applyAlignment="1" applyProtection="1">
      <alignment horizontal="center" vertical="center" wrapText="1"/>
      <protection hidden="1"/>
    </xf>
    <xf numFmtId="1" fontId="29" fillId="0" borderId="192" xfId="0" applyNumberFormat="1" applyFont="1" applyBorder="1" applyAlignment="1" applyProtection="1">
      <alignment horizontal="center" vertical="center" wrapText="1"/>
      <protection hidden="1"/>
    </xf>
    <xf numFmtId="1" fontId="29" fillId="0" borderId="100" xfId="0" applyNumberFormat="1" applyFont="1" applyBorder="1" applyAlignment="1" applyProtection="1">
      <alignment horizontal="center" vertical="center" wrapText="1"/>
      <protection hidden="1"/>
    </xf>
    <xf numFmtId="1" fontId="29" fillId="0" borderId="190" xfId="0" applyNumberFormat="1" applyFont="1" applyBorder="1" applyAlignment="1" applyProtection="1">
      <alignment horizontal="center" vertical="center" wrapText="1"/>
      <protection hidden="1"/>
    </xf>
    <xf numFmtId="1" fontId="29" fillId="0" borderId="183" xfId="0" applyNumberFormat="1" applyFont="1" applyBorder="1" applyAlignment="1" applyProtection="1">
      <alignment horizontal="left" vertical="center" wrapText="1"/>
      <protection hidden="1"/>
    </xf>
    <xf numFmtId="1" fontId="29" fillId="0" borderId="178" xfId="0" applyNumberFormat="1" applyFont="1" applyBorder="1" applyAlignment="1" applyProtection="1">
      <alignment horizontal="left" vertical="center" wrapText="1"/>
      <protection hidden="1"/>
    </xf>
    <xf numFmtId="1" fontId="29" fillId="0" borderId="133" xfId="0" applyNumberFormat="1" applyFont="1" applyBorder="1" applyAlignment="1" applyProtection="1">
      <alignment horizontal="center" vertical="center" wrapText="1"/>
      <protection hidden="1"/>
    </xf>
    <xf numFmtId="1" fontId="29" fillId="0" borderId="180" xfId="0" applyNumberFormat="1" applyFont="1" applyBorder="1" applyAlignment="1" applyProtection="1">
      <alignment horizontal="center" vertical="center"/>
      <protection hidden="1"/>
    </xf>
    <xf numFmtId="1" fontId="29" fillId="0" borderId="6" xfId="0" applyNumberFormat="1" applyFont="1" applyBorder="1" applyAlignment="1" applyProtection="1">
      <alignment horizontal="center" vertical="center"/>
      <protection hidden="1"/>
    </xf>
    <xf numFmtId="1" fontId="29" fillId="0" borderId="49" xfId="0" applyNumberFormat="1" applyFont="1" applyBorder="1" applyAlignment="1" applyProtection="1">
      <alignment horizontal="left" vertical="center" wrapText="1"/>
      <protection hidden="1"/>
    </xf>
    <xf numFmtId="1" fontId="29" fillId="0" borderId="86" xfId="0" applyNumberFormat="1" applyFont="1" applyBorder="1" applyAlignment="1" applyProtection="1">
      <alignment horizontal="left" vertical="center" wrapText="1"/>
      <protection hidden="1"/>
    </xf>
    <xf numFmtId="0" fontId="29" fillId="0" borderId="137" xfId="0" applyFont="1" applyBorder="1" applyAlignment="1">
      <alignment horizontal="center" wrapText="1"/>
    </xf>
    <xf numFmtId="1" fontId="29" fillId="0" borderId="179" xfId="0" applyNumberFormat="1" applyFont="1" applyBorder="1" applyAlignment="1" applyProtection="1">
      <alignment horizontal="left" vertical="center" wrapText="1"/>
      <protection hidden="1"/>
    </xf>
    <xf numFmtId="1" fontId="29" fillId="0" borderId="169" xfId="0" applyNumberFormat="1" applyFont="1" applyBorder="1" applyAlignment="1" applyProtection="1">
      <alignment horizontal="center" vertical="center" wrapText="1"/>
      <protection hidden="1"/>
    </xf>
    <xf numFmtId="1" fontId="29" fillId="0" borderId="195" xfId="0" applyNumberFormat="1" applyFont="1" applyBorder="1" applyAlignment="1">
      <alignment horizontal="center" vertical="center" wrapText="1"/>
    </xf>
    <xf numFmtId="1" fontId="29" fillId="0" borderId="210" xfId="0" applyNumberFormat="1" applyFont="1" applyBorder="1" applyAlignment="1">
      <alignment horizontal="center" vertical="center" wrapText="1"/>
    </xf>
    <xf numFmtId="1" fontId="29" fillId="0" borderId="117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 wrapText="1"/>
    </xf>
    <xf numFmtId="1" fontId="29" fillId="0" borderId="215" xfId="0" applyNumberFormat="1" applyFont="1" applyBorder="1" applyAlignment="1">
      <alignment horizontal="center" vertical="center" wrapText="1"/>
    </xf>
    <xf numFmtId="1" fontId="29" fillId="0" borderId="166" xfId="0" applyNumberFormat="1" applyFont="1" applyBorder="1" applyAlignment="1">
      <alignment horizontal="center" vertical="center" wrapText="1"/>
    </xf>
    <xf numFmtId="1" fontId="29" fillId="0" borderId="63" xfId="0" applyNumberFormat="1" applyFont="1" applyBorder="1" applyAlignment="1">
      <alignment horizontal="center" vertical="center" wrapText="1"/>
    </xf>
    <xf numFmtId="1" fontId="29" fillId="0" borderId="177" xfId="124" applyNumberFormat="1" applyFont="1" applyBorder="1" applyAlignment="1">
      <alignment horizontal="center" vertical="center" wrapText="1"/>
    </xf>
    <xf numFmtId="1" fontId="29" fillId="0" borderId="178" xfId="124" applyNumberFormat="1" applyFont="1" applyBorder="1" applyAlignment="1">
      <alignment horizontal="center" vertical="center" wrapText="1"/>
    </xf>
    <xf numFmtId="1" fontId="29" fillId="0" borderId="183" xfId="124" applyNumberFormat="1" applyFont="1" applyBorder="1" applyAlignment="1">
      <alignment horizontal="center" vertical="center" wrapText="1"/>
    </xf>
    <xf numFmtId="1" fontId="29" fillId="0" borderId="182" xfId="124" applyNumberFormat="1" applyFont="1" applyBorder="1" applyAlignment="1">
      <alignment horizontal="center" vertical="center" wrapText="1"/>
    </xf>
    <xf numFmtId="1" fontId="29" fillId="0" borderId="66" xfId="124" applyNumberFormat="1" applyFont="1" applyBorder="1" applyAlignment="1">
      <alignment horizontal="center" vertical="center" wrapText="1"/>
    </xf>
    <xf numFmtId="1" fontId="29" fillId="0" borderId="14" xfId="124" applyNumberFormat="1" applyFont="1" applyBorder="1" applyAlignment="1">
      <alignment horizontal="center" vertical="center" wrapText="1"/>
    </xf>
    <xf numFmtId="1" fontId="29" fillId="0" borderId="115" xfId="124" applyNumberFormat="1" applyFont="1" applyBorder="1" applyAlignment="1">
      <alignment horizontal="center" vertical="center" wrapText="1"/>
    </xf>
    <xf numFmtId="1" fontId="29" fillId="0" borderId="142" xfId="124" applyNumberFormat="1" applyFont="1" applyBorder="1" applyAlignment="1">
      <alignment horizontal="center" vertical="center" wrapText="1"/>
    </xf>
    <xf numFmtId="1" fontId="29" fillId="0" borderId="179" xfId="0" applyNumberFormat="1" applyFont="1" applyBorder="1" applyAlignment="1">
      <alignment horizontal="center" vertical="center" wrapText="1"/>
    </xf>
    <xf numFmtId="1" fontId="29" fillId="0" borderId="181" xfId="0" applyNumberFormat="1" applyFont="1" applyBorder="1" applyAlignment="1">
      <alignment horizontal="center" vertical="center" wrapText="1"/>
    </xf>
    <xf numFmtId="1" fontId="29" fillId="0" borderId="46" xfId="124" applyNumberFormat="1" applyFont="1" applyBorder="1" applyAlignment="1">
      <alignment horizontal="left" vertical="center" wrapText="1"/>
    </xf>
    <xf numFmtId="1" fontId="29" fillId="0" borderId="22" xfId="124" applyNumberFormat="1" applyFont="1" applyBorder="1" applyAlignment="1">
      <alignment horizontal="left" vertical="center" wrapText="1"/>
    </xf>
    <xf numFmtId="1" fontId="29" fillId="0" borderId="181" xfId="125" applyNumberFormat="1" applyFont="1" applyBorder="1" applyAlignment="1">
      <alignment horizontal="center" vertical="center"/>
    </xf>
    <xf numFmtId="1" fontId="29" fillId="0" borderId="179" xfId="125" applyNumberFormat="1" applyFont="1" applyBorder="1" applyAlignment="1">
      <alignment horizontal="center" vertical="center"/>
    </xf>
    <xf numFmtId="1" fontId="29" fillId="0" borderId="182" xfId="125" applyNumberFormat="1" applyFont="1" applyBorder="1" applyAlignment="1">
      <alignment horizontal="center" vertical="center"/>
    </xf>
    <xf numFmtId="1" fontId="29" fillId="0" borderId="63" xfId="125" applyNumberFormat="1" applyFont="1" applyBorder="1" applyAlignment="1">
      <alignment horizontal="center" vertical="center"/>
    </xf>
    <xf numFmtId="1" fontId="29" fillId="0" borderId="4" xfId="125" applyNumberFormat="1" applyFont="1" applyBorder="1" applyAlignment="1">
      <alignment horizontal="center" vertical="center"/>
    </xf>
    <xf numFmtId="1" fontId="29" fillId="0" borderId="14" xfId="125" applyNumberFormat="1" applyFont="1" applyBorder="1" applyAlignment="1">
      <alignment horizontal="center" vertical="center"/>
    </xf>
    <xf numFmtId="1" fontId="29" fillId="20" borderId="180" xfId="124" applyNumberFormat="1" applyFont="1" applyFill="1" applyBorder="1" applyAlignment="1">
      <alignment horizontal="center" vertical="center" wrapText="1"/>
    </xf>
    <xf numFmtId="1" fontId="29" fillId="20" borderId="169" xfId="124" applyNumberFormat="1" applyFont="1" applyFill="1" applyBorder="1" applyAlignment="1">
      <alignment horizontal="center" vertical="center" wrapText="1"/>
    </xf>
    <xf numFmtId="1" fontId="29" fillId="22" borderId="177" xfId="124" applyNumberFormat="1" applyFont="1" applyFill="1" applyBorder="1" applyAlignment="1">
      <alignment horizontal="center" vertical="center" wrapText="1"/>
    </xf>
    <xf numFmtId="1" fontId="29" fillId="22" borderId="178" xfId="124" applyNumberFormat="1" applyFont="1" applyFill="1" applyBorder="1" applyAlignment="1">
      <alignment horizontal="center" vertical="center" wrapText="1"/>
    </xf>
    <xf numFmtId="1" fontId="29" fillId="0" borderId="181" xfId="124" applyNumberFormat="1" applyFont="1" applyBorder="1" applyAlignment="1">
      <alignment horizontal="center" vertical="center" wrapText="1"/>
    </xf>
    <xf numFmtId="1" fontId="29" fillId="0" borderId="182" xfId="124" applyNumberFormat="1" applyFont="1" applyBorder="1" applyAlignment="1">
      <alignment horizontal="center" vertical="center"/>
    </xf>
    <xf numFmtId="1" fontId="29" fillId="0" borderId="172" xfId="124" applyNumberFormat="1" applyFont="1" applyBorder="1" applyAlignment="1">
      <alignment horizontal="center" vertical="center"/>
    </xf>
    <xf numFmtId="1" fontId="29" fillId="0" borderId="66" xfId="124" applyNumberFormat="1" applyFont="1" applyBorder="1" applyAlignment="1">
      <alignment horizontal="center" vertical="center"/>
    </xf>
    <xf numFmtId="1" fontId="29" fillId="0" borderId="63" xfId="124" applyNumberFormat="1" applyFont="1" applyBorder="1" applyAlignment="1">
      <alignment horizontal="center" vertical="center"/>
    </xf>
    <xf numFmtId="1" fontId="29" fillId="0" borderId="14" xfId="124" applyNumberFormat="1" applyFont="1" applyBorder="1" applyAlignment="1">
      <alignment horizontal="center" vertical="center"/>
    </xf>
    <xf numFmtId="1" fontId="29" fillId="0" borderId="45" xfId="124" applyNumberFormat="1" applyFont="1" applyBorder="1" applyAlignment="1">
      <alignment horizontal="left" vertical="center"/>
    </xf>
    <xf numFmtId="1" fontId="29" fillId="0" borderId="13" xfId="124" applyNumberFormat="1" applyFont="1" applyBorder="1" applyAlignment="1">
      <alignment horizontal="left" vertical="center"/>
    </xf>
    <xf numFmtId="1" fontId="29" fillId="0" borderId="47" xfId="124" applyNumberFormat="1" applyFont="1" applyBorder="1" applyAlignment="1">
      <alignment horizontal="left" vertical="center"/>
    </xf>
    <xf numFmtId="1" fontId="29" fillId="0" borderId="18" xfId="124" applyNumberFormat="1" applyFont="1" applyBorder="1" applyAlignment="1">
      <alignment horizontal="left" vertical="center"/>
    </xf>
    <xf numFmtId="1" fontId="29" fillId="0" borderId="49" xfId="124" applyNumberFormat="1" applyFont="1" applyBorder="1" applyAlignment="1">
      <alignment horizontal="left" vertical="center"/>
    </xf>
    <xf numFmtId="1" fontId="29" fillId="0" borderId="86" xfId="124" applyNumberFormat="1" applyFont="1" applyBorder="1" applyAlignment="1">
      <alignment horizontal="left" vertical="center"/>
    </xf>
    <xf numFmtId="1" fontId="29" fillId="0" borderId="202" xfId="124" applyNumberFormat="1" applyFont="1" applyBorder="1" applyAlignment="1">
      <alignment horizontal="center"/>
    </xf>
    <xf numFmtId="1" fontId="29" fillId="0" borderId="28" xfId="124" applyNumberFormat="1" applyFont="1" applyBorder="1" applyAlignment="1">
      <alignment horizontal="center"/>
    </xf>
    <xf numFmtId="1" fontId="29" fillId="0" borderId="177" xfId="124" quotePrefix="1" applyNumberFormat="1" applyFont="1" applyBorder="1" applyAlignment="1">
      <alignment horizontal="center" vertical="center" wrapText="1"/>
    </xf>
    <xf numFmtId="1" fontId="29" fillId="0" borderId="183" xfId="124" quotePrefix="1" applyNumberFormat="1" applyFont="1" applyBorder="1" applyAlignment="1">
      <alignment horizontal="center" vertical="center" wrapText="1"/>
    </xf>
    <xf numFmtId="1" fontId="29" fillId="0" borderId="49" xfId="124" applyNumberFormat="1" applyFont="1" applyBorder="1" applyAlignment="1">
      <alignment horizontal="left" vertical="center" wrapText="1"/>
    </xf>
    <xf numFmtId="1" fontId="29" fillId="0" borderId="86" xfId="124" applyNumberFormat="1" applyFont="1" applyBorder="1" applyAlignment="1">
      <alignment horizontal="left" vertical="center" wrapText="1"/>
    </xf>
    <xf numFmtId="1" fontId="29" fillId="0" borderId="172" xfId="124" applyNumberFormat="1" applyFont="1" applyBorder="1" applyAlignment="1">
      <alignment horizontal="center" vertical="center" wrapText="1"/>
    </xf>
    <xf numFmtId="1" fontId="29" fillId="0" borderId="63" xfId="124" applyNumberFormat="1" applyFont="1" applyBorder="1" applyAlignment="1">
      <alignment horizontal="center" vertical="center" wrapText="1"/>
    </xf>
    <xf numFmtId="1" fontId="29" fillId="0" borderId="184" xfId="124" applyNumberFormat="1" applyFont="1" applyBorder="1" applyAlignment="1">
      <alignment horizontal="center" vertical="center" wrapText="1"/>
    </xf>
    <xf numFmtId="1" fontId="29" fillId="0" borderId="184" xfId="124" quotePrefix="1" applyNumberFormat="1" applyFont="1" applyBorder="1" applyAlignment="1">
      <alignment horizontal="center" vertical="center" wrapText="1"/>
    </xf>
    <xf numFmtId="1" fontId="29" fillId="0" borderId="5" xfId="124" applyNumberFormat="1" applyFont="1" applyBorder="1" applyAlignment="1">
      <alignment horizontal="center" vertical="center" wrapText="1"/>
    </xf>
    <xf numFmtId="1" fontId="29" fillId="0" borderId="141" xfId="124" applyNumberFormat="1" applyFont="1" applyBorder="1" applyAlignment="1">
      <alignment horizontal="center" vertical="center" wrapText="1"/>
    </xf>
    <xf numFmtId="1" fontId="29" fillId="0" borderId="46" xfId="124" applyNumberFormat="1" applyFont="1" applyBorder="1" applyAlignment="1">
      <alignment horizontal="left" vertical="center"/>
    </xf>
    <xf numFmtId="1" fontId="29" fillId="0" borderId="22" xfId="124" applyNumberFormat="1" applyFont="1" applyBorder="1" applyAlignment="1">
      <alignment horizontal="left" vertical="center"/>
    </xf>
    <xf numFmtId="1" fontId="29" fillId="0" borderId="180" xfId="124" applyNumberFormat="1" applyFont="1" applyBorder="1" applyAlignment="1">
      <alignment horizontal="center" vertical="center"/>
    </xf>
    <xf numFmtId="1" fontId="29" fillId="0" borderId="6" xfId="124" applyNumberFormat="1" applyFont="1" applyBorder="1" applyAlignment="1">
      <alignment horizontal="center" vertical="center"/>
    </xf>
    <xf numFmtId="1" fontId="29" fillId="22" borderId="45" xfId="0" applyNumberFormat="1" applyFont="1" applyFill="1" applyBorder="1" applyAlignment="1">
      <alignment horizontal="left"/>
    </xf>
    <xf numFmtId="1" fontId="29" fillId="22" borderId="13" xfId="0" applyNumberFormat="1" applyFont="1" applyFill="1" applyBorder="1" applyAlignment="1">
      <alignment horizontal="left"/>
    </xf>
    <xf numFmtId="1" fontId="29" fillId="22" borderId="46" xfId="109" applyNumberFormat="1" applyFont="1" applyFill="1" applyBorder="1" applyAlignment="1">
      <alignment horizontal="left"/>
    </xf>
    <xf numFmtId="1" fontId="29" fillId="22" borderId="22" xfId="109" applyNumberFormat="1" applyFont="1" applyFill="1" applyBorder="1" applyAlignment="1">
      <alignment horizontal="left"/>
    </xf>
    <xf numFmtId="1" fontId="29" fillId="22" borderId="180" xfId="124" applyNumberFormat="1" applyFont="1" applyFill="1" applyBorder="1" applyAlignment="1">
      <alignment horizontal="center" vertical="center"/>
    </xf>
    <xf numFmtId="1" fontId="29" fillId="22" borderId="6" xfId="124" applyNumberFormat="1" applyFont="1" applyFill="1" applyBorder="1" applyAlignment="1">
      <alignment horizontal="center" vertical="center"/>
    </xf>
    <xf numFmtId="1" fontId="29" fillId="22" borderId="181" xfId="124" applyNumberFormat="1" applyFont="1" applyFill="1" applyBorder="1" applyAlignment="1">
      <alignment horizontal="center" vertical="center" wrapText="1"/>
    </xf>
    <xf numFmtId="1" fontId="29" fillId="22" borderId="182" xfId="124" applyNumberFormat="1" applyFont="1" applyFill="1" applyBorder="1" applyAlignment="1">
      <alignment horizontal="center" vertical="center" wrapText="1"/>
    </xf>
    <xf numFmtId="1" fontId="29" fillId="22" borderId="63" xfId="124" applyNumberFormat="1" applyFont="1" applyFill="1" applyBorder="1" applyAlignment="1">
      <alignment horizontal="center" vertical="center" wrapText="1"/>
    </xf>
    <xf numFmtId="1" fontId="29" fillId="22" borderId="14" xfId="124" applyNumberFormat="1" applyFont="1" applyFill="1" applyBorder="1" applyAlignment="1">
      <alignment horizontal="center" vertical="center" wrapText="1"/>
    </xf>
    <xf numFmtId="1" fontId="29" fillId="0" borderId="49" xfId="0" applyNumberFormat="1" applyFont="1" applyBorder="1" applyAlignment="1">
      <alignment horizontal="left"/>
    </xf>
    <xf numFmtId="1" fontId="29" fillId="0" borderId="86" xfId="0" applyNumberFormat="1" applyFont="1" applyBorder="1" applyAlignment="1">
      <alignment horizontal="left"/>
    </xf>
    <xf numFmtId="1" fontId="29" fillId="0" borderId="179" xfId="124" applyNumberFormat="1" applyFont="1" applyBorder="1" applyAlignment="1">
      <alignment horizontal="center" vertical="center" wrapText="1"/>
    </xf>
    <xf numFmtId="1" fontId="29" fillId="0" borderId="4" xfId="124" applyNumberFormat="1" applyFont="1" applyBorder="1" applyAlignment="1">
      <alignment horizontal="center" vertical="center" wrapText="1"/>
    </xf>
    <xf numFmtId="1" fontId="29" fillId="0" borderId="45" xfId="0" applyNumberFormat="1" applyFont="1" applyBorder="1" applyAlignment="1">
      <alignment horizontal="left"/>
    </xf>
    <xf numFmtId="1" fontId="29" fillId="0" borderId="13" xfId="0" applyNumberFormat="1" applyFont="1" applyBorder="1" applyAlignment="1">
      <alignment horizontal="left"/>
    </xf>
    <xf numFmtId="1" fontId="29" fillId="22" borderId="177" xfId="0" applyNumberFormat="1" applyFont="1" applyFill="1" applyBorder="1"/>
    <xf numFmtId="1" fontId="29" fillId="22" borderId="178" xfId="0" applyNumberFormat="1" applyFont="1" applyFill="1" applyBorder="1"/>
    <xf numFmtId="1" fontId="29" fillId="0" borderId="177" xfId="0" applyNumberFormat="1" applyFont="1" applyBorder="1"/>
    <xf numFmtId="1" fontId="29" fillId="0" borderId="178" xfId="0" applyNumberFormat="1" applyFont="1" applyBorder="1"/>
    <xf numFmtId="1" fontId="29" fillId="22" borderId="46" xfId="0" applyNumberFormat="1" applyFont="1" applyFill="1" applyBorder="1" applyAlignment="1">
      <alignment horizontal="left"/>
    </xf>
    <xf numFmtId="1" fontId="29" fillId="22" borderId="22" xfId="0" applyNumberFormat="1" applyFont="1" applyFill="1" applyBorder="1" applyAlignment="1">
      <alignment horizontal="left"/>
    </xf>
    <xf numFmtId="1" fontId="29" fillId="0" borderId="41" xfId="124" applyNumberFormat="1" applyFont="1" applyBorder="1" applyAlignment="1">
      <alignment horizontal="center" vertical="center" wrapText="1"/>
    </xf>
    <xf numFmtId="1" fontId="29" fillId="0" borderId="56" xfId="124" applyNumberFormat="1" applyFont="1" applyBorder="1" applyAlignment="1">
      <alignment horizontal="center" vertical="center" wrapText="1"/>
    </xf>
    <xf numFmtId="1" fontId="29" fillId="0" borderId="42" xfId="124" applyNumberFormat="1" applyFont="1" applyBorder="1" applyAlignment="1">
      <alignment horizontal="center" vertical="center" wrapText="1"/>
    </xf>
    <xf numFmtId="1" fontId="29" fillId="0" borderId="43" xfId="124" applyNumberFormat="1" applyFont="1" applyBorder="1" applyAlignment="1">
      <alignment horizontal="center" vertical="center" wrapText="1"/>
    </xf>
    <xf numFmtId="1" fontId="29" fillId="0" borderId="72" xfId="124" applyNumberFormat="1" applyFont="1" applyBorder="1" applyAlignment="1">
      <alignment horizontal="center" vertical="center" wrapText="1"/>
    </xf>
    <xf numFmtId="1" fontId="29" fillId="0" borderId="71" xfId="124" applyNumberFormat="1" applyFont="1" applyBorder="1" applyAlignment="1">
      <alignment horizontal="center" vertical="center" wrapText="1"/>
    </xf>
    <xf numFmtId="1" fontId="29" fillId="0" borderId="0" xfId="0" applyNumberFormat="1" applyFont="1" applyAlignment="1">
      <alignment horizontal="left" vertical="top" wrapText="1"/>
    </xf>
    <xf numFmtId="1" fontId="29" fillId="0" borderId="19" xfId="0" applyNumberFormat="1" applyFont="1" applyBorder="1" applyAlignment="1" applyProtection="1">
      <alignment horizontal="center" vertical="center" wrapText="1"/>
      <protection hidden="1"/>
    </xf>
    <xf numFmtId="1" fontId="29" fillId="0" borderId="27" xfId="0" applyNumberFormat="1" applyFont="1" applyBorder="1" applyAlignment="1" applyProtection="1">
      <alignment horizontal="center" vertical="center" wrapText="1"/>
      <protection hidden="1"/>
    </xf>
    <xf numFmtId="1" fontId="29" fillId="0" borderId="185" xfId="124" applyNumberFormat="1" applyFont="1" applyBorder="1" applyAlignment="1">
      <alignment horizontal="center" vertical="center" wrapText="1"/>
    </xf>
    <xf numFmtId="1" fontId="29" fillId="0" borderId="105" xfId="124" applyNumberFormat="1" applyFont="1" applyBorder="1" applyAlignment="1">
      <alignment horizontal="center" vertical="center" wrapText="1"/>
    </xf>
    <xf numFmtId="1" fontId="29" fillId="0" borderId="191" xfId="124" applyNumberFormat="1" applyFont="1" applyBorder="1" applyAlignment="1">
      <alignment horizontal="center" vertical="center" wrapText="1"/>
    </xf>
    <xf numFmtId="1" fontId="29" fillId="0" borderId="89" xfId="0" applyNumberFormat="1" applyFont="1" applyBorder="1" applyAlignment="1">
      <alignment horizontal="center" vertical="center" wrapText="1"/>
    </xf>
    <xf numFmtId="1" fontId="29" fillId="0" borderId="192" xfId="124" applyNumberFormat="1" applyFont="1" applyBorder="1" applyAlignment="1">
      <alignment horizontal="center" vertical="center" wrapText="1"/>
    </xf>
    <xf numFmtId="1" fontId="29" fillId="0" borderId="100" xfId="0" applyNumberFormat="1" applyFont="1" applyBorder="1" applyAlignment="1">
      <alignment horizontal="center" vertical="center" wrapText="1"/>
    </xf>
    <xf numFmtId="1" fontId="29" fillId="0" borderId="186" xfId="124" applyNumberFormat="1" applyFont="1" applyBorder="1" applyAlignment="1">
      <alignment horizontal="center" vertical="center" wrapText="1"/>
    </xf>
    <xf numFmtId="1" fontId="29" fillId="0" borderId="15" xfId="124" applyNumberFormat="1" applyFont="1" applyBorder="1" applyAlignment="1">
      <alignment horizontal="center" vertical="center" wrapText="1"/>
    </xf>
    <xf numFmtId="1" fontId="29" fillId="0" borderId="19" xfId="124" applyNumberFormat="1" applyFont="1" applyBorder="1" applyAlignment="1">
      <alignment horizontal="center" vertical="center" wrapText="1"/>
    </xf>
    <xf numFmtId="1" fontId="29" fillId="0" borderId="40" xfId="124" applyNumberFormat="1" applyFont="1" applyBorder="1" applyAlignment="1">
      <alignment horizontal="center" vertical="center" wrapText="1"/>
    </xf>
    <xf numFmtId="1" fontId="29" fillId="0" borderId="177" xfId="124" applyNumberFormat="1" applyFont="1" applyBorder="1" applyAlignment="1">
      <alignment horizontal="left" vertical="center" wrapText="1"/>
    </xf>
    <xf numFmtId="1" fontId="29" fillId="0" borderId="178" xfId="124" applyNumberFormat="1" applyFont="1" applyBorder="1" applyAlignment="1">
      <alignment horizontal="left" vertical="center" wrapText="1"/>
    </xf>
    <xf numFmtId="1" fontId="29" fillId="22" borderId="196" xfId="0" applyNumberFormat="1" applyFont="1" applyFill="1" applyBorder="1" applyAlignment="1">
      <alignment horizontal="center" vertical="center" wrapText="1"/>
    </xf>
    <xf numFmtId="1" fontId="29" fillId="22" borderId="118" xfId="0" applyNumberFormat="1" applyFont="1" applyFill="1" applyBorder="1" applyAlignment="1">
      <alignment horizontal="center" vertical="center" wrapText="1"/>
    </xf>
    <xf numFmtId="1" fontId="29" fillId="22" borderId="119" xfId="0" applyNumberFormat="1" applyFont="1" applyFill="1" applyBorder="1" applyAlignment="1">
      <alignment horizontal="center" vertical="center" wrapText="1"/>
    </xf>
    <xf numFmtId="1" fontId="29" fillId="0" borderId="196" xfId="0" applyNumberFormat="1" applyFont="1" applyBorder="1" applyAlignment="1">
      <alignment horizontal="center" vertical="center" wrapText="1"/>
    </xf>
    <xf numFmtId="1" fontId="29" fillId="0" borderId="118" xfId="0" applyNumberFormat="1" applyFont="1" applyBorder="1" applyAlignment="1">
      <alignment horizontal="center" vertical="center" wrapText="1"/>
    </xf>
    <xf numFmtId="1" fontId="29" fillId="0" borderId="119" xfId="0" applyNumberFormat="1" applyFont="1" applyBorder="1" applyAlignment="1">
      <alignment horizontal="center" vertical="center" wrapText="1"/>
    </xf>
    <xf numFmtId="1" fontId="29" fillId="0" borderId="153" xfId="0" applyNumberFormat="1" applyFont="1" applyBorder="1" applyAlignment="1">
      <alignment horizontal="center" vertical="center" wrapText="1"/>
    </xf>
    <xf numFmtId="1" fontId="29" fillId="0" borderId="39" xfId="0" applyNumberFormat="1" applyFont="1" applyBorder="1" applyAlignment="1">
      <alignment horizontal="center" vertical="center" wrapText="1"/>
    </xf>
    <xf numFmtId="1" fontId="29" fillId="0" borderId="217" xfId="0" applyNumberFormat="1" applyFont="1" applyBorder="1" applyAlignment="1">
      <alignment horizontal="center" vertical="center" wrapText="1"/>
    </xf>
    <xf numFmtId="1" fontId="29" fillId="0" borderId="178" xfId="124" quotePrefix="1" applyNumberFormat="1" applyFont="1" applyBorder="1" applyAlignment="1">
      <alignment horizontal="center" vertical="center" wrapText="1"/>
    </xf>
    <xf numFmtId="1" fontId="30" fillId="0" borderId="177" xfId="124" applyNumberFormat="1" applyFont="1" applyBorder="1" applyAlignment="1">
      <alignment horizontal="center" vertical="center" wrapText="1"/>
    </xf>
    <xf numFmtId="1" fontId="30" fillId="0" borderId="178" xfId="124" applyNumberFormat="1" applyFont="1" applyBorder="1" applyAlignment="1">
      <alignment horizontal="center" vertical="center" wrapText="1"/>
    </xf>
    <xf numFmtId="1" fontId="29" fillId="0" borderId="180" xfId="124" applyNumberFormat="1" applyFont="1" applyBorder="1" applyAlignment="1">
      <alignment horizontal="center" vertical="center" wrapText="1"/>
    </xf>
    <xf numFmtId="1" fontId="29" fillId="0" borderId="169" xfId="124" applyNumberFormat="1" applyFont="1" applyBorder="1" applyAlignment="1">
      <alignment horizontal="center" vertical="center" wrapText="1"/>
    </xf>
    <xf numFmtId="1" fontId="29" fillId="0" borderId="6" xfId="124" applyNumberFormat="1" applyFont="1" applyBorder="1" applyAlignment="1">
      <alignment horizontal="center" vertical="center" wrapText="1"/>
    </xf>
    <xf numFmtId="1" fontId="29" fillId="0" borderId="0" xfId="125" applyNumberFormat="1" applyFont="1" applyAlignment="1">
      <alignment horizontal="center" vertical="center"/>
    </xf>
    <xf numFmtId="1" fontId="29" fillId="0" borderId="66" xfId="125" applyNumberFormat="1" applyFont="1" applyBorder="1" applyAlignment="1">
      <alignment horizontal="center" vertical="center"/>
    </xf>
    <xf numFmtId="1" fontId="29" fillId="0" borderId="196" xfId="124" applyNumberFormat="1" applyFont="1" applyBorder="1" applyAlignment="1">
      <alignment horizontal="center" vertical="center" wrapText="1"/>
    </xf>
    <xf numFmtId="1" fontId="29" fillId="0" borderId="118" xfId="124" applyNumberFormat="1" applyFont="1" applyBorder="1" applyAlignment="1">
      <alignment horizontal="center" vertical="center" wrapText="1"/>
    </xf>
    <xf numFmtId="1" fontId="29" fillId="0" borderId="119" xfId="124" applyNumberFormat="1" applyFont="1" applyBorder="1" applyAlignment="1">
      <alignment horizontal="center" vertical="center" wrapText="1"/>
    </xf>
    <xf numFmtId="1" fontId="30" fillId="0" borderId="120" xfId="124" applyNumberFormat="1" applyFont="1" applyBorder="1" applyAlignment="1">
      <alignment horizontal="center" vertical="center" wrapText="1"/>
    </xf>
    <xf numFmtId="1" fontId="30" fillId="0" borderId="14" xfId="124" applyNumberFormat="1" applyFont="1" applyBorder="1" applyAlignment="1">
      <alignment horizontal="center" vertical="center" wrapText="1"/>
    </xf>
    <xf numFmtId="1" fontId="35" fillId="17" borderId="0" xfId="124" applyNumberFormat="1" applyFont="1" applyFill="1" applyAlignment="1">
      <alignment horizontal="center" vertical="center" wrapText="1"/>
    </xf>
    <xf numFmtId="1" fontId="29" fillId="0" borderId="41" xfId="0" applyNumberFormat="1" applyFont="1" applyBorder="1" applyAlignment="1">
      <alignment horizontal="center" vertical="center" wrapText="1"/>
    </xf>
    <xf numFmtId="1" fontId="29" fillId="0" borderId="56" xfId="0" applyNumberFormat="1" applyFont="1" applyBorder="1" applyAlignment="1">
      <alignment horizontal="center" vertical="center" wrapText="1"/>
    </xf>
    <xf numFmtId="1" fontId="29" fillId="0" borderId="44" xfId="0" applyNumberFormat="1" applyFont="1" applyBorder="1" applyAlignment="1">
      <alignment horizontal="center" vertical="center" wrapText="1"/>
    </xf>
    <xf numFmtId="1" fontId="29" fillId="0" borderId="60" xfId="0" applyNumberFormat="1" applyFont="1" applyBorder="1" applyAlignment="1">
      <alignment horizontal="center" vertical="center" wrapText="1"/>
    </xf>
    <xf numFmtId="1" fontId="29" fillId="0" borderId="90" xfId="124" applyNumberFormat="1" applyFont="1" applyBorder="1" applyAlignment="1">
      <alignment horizontal="center" vertical="center" wrapText="1"/>
    </xf>
    <xf numFmtId="1" fontId="29" fillId="0" borderId="104" xfId="124" applyNumberFormat="1" applyFont="1" applyBorder="1" applyAlignment="1">
      <alignment horizontal="center" vertical="center" wrapText="1"/>
    </xf>
    <xf numFmtId="1" fontId="29" fillId="0" borderId="5" xfId="124" quotePrefix="1" applyNumberFormat="1" applyFont="1" applyBorder="1" applyAlignment="1">
      <alignment horizontal="center" vertical="center" wrapText="1"/>
    </xf>
    <xf numFmtId="1" fontId="29" fillId="0" borderId="140" xfId="124" quotePrefix="1" applyNumberFormat="1" applyFont="1" applyBorder="1" applyAlignment="1">
      <alignment horizontal="center" vertical="center" wrapText="1"/>
    </xf>
    <xf numFmtId="1" fontId="29" fillId="0" borderId="50" xfId="124" quotePrefix="1" applyNumberFormat="1" applyFont="1" applyBorder="1" applyAlignment="1">
      <alignment horizontal="center" vertical="center" wrapText="1"/>
    </xf>
    <xf numFmtId="1" fontId="29" fillId="0" borderId="69" xfId="0" applyNumberFormat="1" applyFont="1" applyBorder="1" applyAlignment="1">
      <alignment horizontal="center" vertical="center" wrapText="1"/>
    </xf>
    <xf numFmtId="1" fontId="29" fillId="0" borderId="91" xfId="0" applyNumberFormat="1" applyFont="1" applyBorder="1" applyAlignment="1">
      <alignment horizontal="center" vertical="center" wrapText="1"/>
    </xf>
    <xf numFmtId="1" fontId="29" fillId="0" borderId="99" xfId="0" applyNumberFormat="1" applyFont="1" applyBorder="1" applyAlignment="1">
      <alignment horizontal="center" vertical="center" wrapText="1"/>
    </xf>
    <xf numFmtId="1" fontId="29" fillId="0" borderId="93" xfId="0" applyNumberFormat="1" applyFont="1" applyBorder="1" applyAlignment="1">
      <alignment horizontal="center" vertical="center" wrapText="1"/>
    </xf>
    <xf numFmtId="1" fontId="29" fillId="0" borderId="10" xfId="124" applyNumberFormat="1" applyFont="1" applyBorder="1" applyAlignment="1">
      <alignment horizontal="center" vertical="center" wrapText="1"/>
    </xf>
    <xf numFmtId="1" fontId="29" fillId="0" borderId="188" xfId="124" applyNumberFormat="1" applyFont="1" applyBorder="1" applyAlignment="1">
      <alignment horizontal="center" vertical="center" wrapText="1"/>
    </xf>
    <xf numFmtId="1" fontId="29" fillId="0" borderId="52" xfId="124" applyNumberFormat="1" applyFont="1" applyBorder="1" applyAlignment="1">
      <alignment horizontal="center" vertical="center" wrapText="1"/>
    </xf>
    <xf numFmtId="1" fontId="29" fillId="0" borderId="177" xfId="124" applyNumberFormat="1" applyFont="1" applyBorder="1" applyAlignment="1">
      <alignment horizontal="center"/>
    </xf>
    <xf numFmtId="1" fontId="29" fillId="0" borderId="178" xfId="124" applyNumberFormat="1" applyFont="1" applyBorder="1" applyAlignment="1">
      <alignment horizontal="center"/>
    </xf>
    <xf numFmtId="1" fontId="36" fillId="0" borderId="4" xfId="124" quotePrefix="1" applyNumberFormat="1" applyFont="1" applyBorder="1" applyAlignment="1">
      <alignment horizontal="left"/>
    </xf>
    <xf numFmtId="1" fontId="36" fillId="0" borderId="183" xfId="124" quotePrefix="1" applyNumberFormat="1" applyFont="1" applyBorder="1" applyAlignment="1">
      <alignment horizontal="left"/>
    </xf>
    <xf numFmtId="1" fontId="36" fillId="17" borderId="4" xfId="124" quotePrefix="1" applyNumberFormat="1" applyFont="1" applyFill="1" applyBorder="1" applyAlignment="1">
      <alignment horizontal="left"/>
    </xf>
    <xf numFmtId="1" fontId="36" fillId="22" borderId="183" xfId="124" quotePrefix="1" applyNumberFormat="1" applyFont="1" applyFill="1" applyBorder="1" applyAlignment="1">
      <alignment horizontal="left"/>
    </xf>
    <xf numFmtId="1" fontId="36" fillId="0" borderId="179" xfId="124" quotePrefix="1" applyNumberFormat="1" applyFont="1" applyBorder="1" applyAlignment="1">
      <alignment horizontal="left"/>
    </xf>
    <xf numFmtId="1" fontId="29" fillId="0" borderId="41" xfId="125" applyNumberFormat="1" applyFont="1" applyBorder="1" applyAlignment="1">
      <alignment horizontal="center" vertical="center"/>
    </xf>
    <xf numFmtId="1" fontId="29" fillId="0" borderId="12" xfId="125" applyNumberFormat="1" applyFont="1" applyBorder="1" applyAlignment="1">
      <alignment horizontal="center" vertical="center"/>
    </xf>
    <xf numFmtId="1" fontId="29" fillId="0" borderId="56" xfId="125" applyNumberFormat="1" applyFont="1" applyBorder="1" applyAlignment="1">
      <alignment horizontal="center" vertical="center"/>
    </xf>
    <xf numFmtId="1" fontId="29" fillId="0" borderId="72" xfId="125" applyNumberFormat="1" applyFont="1" applyBorder="1" applyAlignment="1">
      <alignment horizontal="center" vertical="center"/>
    </xf>
    <xf numFmtId="1" fontId="29" fillId="0" borderId="85" xfId="125" applyNumberFormat="1" applyFont="1" applyBorder="1" applyAlignment="1">
      <alignment horizontal="center" vertical="center"/>
    </xf>
    <xf numFmtId="1" fontId="29" fillId="0" borderId="71" xfId="125" applyNumberFormat="1" applyFont="1" applyBorder="1" applyAlignment="1">
      <alignment horizontal="center" vertical="center"/>
    </xf>
    <xf numFmtId="1" fontId="29" fillId="0" borderId="177" xfId="124" applyNumberFormat="1" applyFont="1" applyBorder="1" applyAlignment="1">
      <alignment horizontal="center" vertical="center"/>
    </xf>
    <xf numFmtId="1" fontId="29" fillId="0" borderId="183" xfId="124" applyNumberFormat="1" applyFont="1" applyBorder="1" applyAlignment="1">
      <alignment horizontal="center" vertical="center"/>
    </xf>
    <xf numFmtId="1" fontId="29" fillId="0" borderId="178" xfId="124" applyNumberFormat="1" applyFont="1" applyBorder="1" applyAlignment="1">
      <alignment horizontal="center" vertical="center"/>
    </xf>
    <xf numFmtId="1" fontId="29" fillId="0" borderId="47" xfId="124" applyNumberFormat="1" applyFont="1" applyBorder="1" applyAlignment="1">
      <alignment horizontal="left" vertical="center" wrapText="1"/>
    </xf>
    <xf numFmtId="1" fontId="29" fillId="0" borderId="18" xfId="124" applyNumberFormat="1" applyFont="1" applyBorder="1" applyAlignment="1">
      <alignment horizontal="left" vertical="center" wrapText="1"/>
    </xf>
    <xf numFmtId="1" fontId="29" fillId="0" borderId="80" xfId="124" applyNumberFormat="1" applyFont="1" applyBorder="1" applyAlignment="1">
      <alignment horizontal="center" vertical="center" wrapText="1"/>
    </xf>
    <xf numFmtId="1" fontId="35" fillId="0" borderId="0" xfId="125" applyNumberFormat="1" applyFont="1" applyAlignment="1">
      <alignment horizontal="center" vertical="center" wrapText="1"/>
    </xf>
    <xf numFmtId="1" fontId="29" fillId="0" borderId="215" xfId="108" applyNumberFormat="1" applyFont="1" applyBorder="1" applyAlignment="1">
      <alignment horizontal="center" vertical="center" wrapText="1"/>
    </xf>
    <xf numFmtId="1" fontId="29" fillId="0" borderId="166" xfId="108" applyNumberFormat="1" applyFont="1" applyBorder="1" applyAlignment="1">
      <alignment horizontal="center" vertical="center" wrapText="1"/>
    </xf>
    <xf numFmtId="1" fontId="29" fillId="0" borderId="63" xfId="108" applyNumberFormat="1" applyFont="1" applyBorder="1" applyAlignment="1">
      <alignment horizontal="center" vertical="center" wrapText="1"/>
    </xf>
    <xf numFmtId="1" fontId="29" fillId="0" borderId="14" xfId="108" applyNumberFormat="1" applyFont="1" applyBorder="1" applyAlignment="1">
      <alignment horizontal="center" vertical="center" wrapText="1"/>
    </xf>
    <xf numFmtId="1" fontId="29" fillId="0" borderId="28" xfId="125" applyNumberFormat="1" applyFont="1" applyBorder="1" applyAlignment="1">
      <alignment horizontal="center" vertical="center" wrapText="1"/>
    </xf>
    <xf numFmtId="1" fontId="29" fillId="0" borderId="66" xfId="125" applyNumberFormat="1" applyFont="1" applyBorder="1" applyAlignment="1">
      <alignment horizontal="center" vertical="center" wrapText="1"/>
    </xf>
    <xf numFmtId="1" fontId="29" fillId="0" borderId="14" xfId="125" applyNumberFormat="1" applyFont="1" applyBorder="1" applyAlignment="1">
      <alignment horizontal="center" vertical="center" wrapText="1"/>
    </xf>
    <xf numFmtId="1" fontId="29" fillId="0" borderId="46" xfId="126" applyNumberFormat="1" applyFont="1" applyBorder="1" applyAlignment="1">
      <alignment horizontal="left" vertical="center" wrapText="1"/>
    </xf>
    <xf numFmtId="1" fontId="29" fillId="0" borderId="22" xfId="126" applyNumberFormat="1" applyFont="1" applyBorder="1" applyAlignment="1">
      <alignment horizontal="left" vertical="center" wrapText="1"/>
    </xf>
    <xf numFmtId="1" fontId="29" fillId="0" borderId="46" xfId="125" applyNumberFormat="1" applyFont="1" applyBorder="1" applyAlignment="1">
      <alignment horizontal="left" vertical="center" wrapText="1"/>
    </xf>
    <xf numFmtId="1" fontId="29" fillId="0" borderId="22" xfId="125" applyNumberFormat="1" applyFont="1" applyBorder="1" applyAlignment="1">
      <alignment horizontal="left" vertical="center" wrapText="1"/>
    </xf>
    <xf numFmtId="1" fontId="29" fillId="0" borderId="87" xfId="0" applyNumberFormat="1" applyFont="1" applyBorder="1" applyAlignment="1">
      <alignment horizontal="left" vertical="center"/>
    </xf>
    <xf numFmtId="1" fontId="29" fillId="0" borderId="22" xfId="0" applyNumberFormat="1" applyFont="1" applyBorder="1" applyAlignment="1">
      <alignment horizontal="left" vertical="center"/>
    </xf>
    <xf numFmtId="1" fontId="36" fillId="0" borderId="0" xfId="125" applyNumberFormat="1" applyFont="1" applyAlignment="1">
      <alignment horizontal="left"/>
    </xf>
    <xf numFmtId="1" fontId="29" fillId="20" borderId="46" xfId="126" applyNumberFormat="1" applyFont="1" applyFill="1" applyBorder="1" applyAlignment="1">
      <alignment horizontal="left" vertical="center" wrapText="1"/>
    </xf>
    <xf numFmtId="1" fontId="29" fillId="20" borderId="22" xfId="126" applyNumberFormat="1" applyFont="1" applyFill="1" applyBorder="1" applyAlignment="1">
      <alignment horizontal="left" vertical="center" wrapText="1"/>
    </xf>
    <xf numFmtId="1" fontId="29" fillId="22" borderId="46" xfId="125" applyNumberFormat="1" applyFont="1" applyFill="1" applyBorder="1" applyAlignment="1">
      <alignment horizontal="left" vertical="center" wrapText="1"/>
    </xf>
    <xf numFmtId="1" fontId="29" fillId="22" borderId="22" xfId="125" applyNumberFormat="1" applyFont="1" applyFill="1" applyBorder="1" applyAlignment="1">
      <alignment horizontal="left" vertical="center" wrapText="1"/>
    </xf>
    <xf numFmtId="1" fontId="29" fillId="0" borderId="137" xfId="125" quotePrefix="1" applyNumberFormat="1" applyFont="1" applyBorder="1" applyAlignment="1" applyProtection="1">
      <alignment horizontal="center" vertical="center"/>
      <protection hidden="1"/>
    </xf>
    <xf numFmtId="1" fontId="29" fillId="0" borderId="45" xfId="124" applyNumberFormat="1" applyFont="1" applyBorder="1" applyAlignment="1">
      <alignment horizontal="left" vertical="center" wrapText="1"/>
    </xf>
    <xf numFmtId="1" fontId="29" fillId="0" borderId="13" xfId="124" applyNumberFormat="1" applyFont="1" applyBorder="1" applyAlignment="1">
      <alignment horizontal="left" vertical="center" wrapText="1"/>
    </xf>
    <xf numFmtId="1" fontId="29" fillId="0" borderId="180" xfId="124" applyNumberFormat="1" applyFont="1" applyBorder="1" applyAlignment="1">
      <alignment horizontal="left" vertical="center" wrapText="1"/>
    </xf>
    <xf numFmtId="1" fontId="29" fillId="0" borderId="169" xfId="0" applyNumberFormat="1" applyFont="1" applyBorder="1" applyAlignment="1">
      <alignment horizontal="left" vertical="center" wrapText="1"/>
    </xf>
    <xf numFmtId="1" fontId="29" fillId="0" borderId="6" xfId="0" applyNumberFormat="1" applyFont="1" applyBorder="1" applyAlignment="1">
      <alignment horizontal="left" vertical="center" wrapText="1"/>
    </xf>
    <xf numFmtId="1" fontId="29" fillId="0" borderId="65" xfId="125" applyNumberFormat="1" applyFont="1" applyBorder="1" applyAlignment="1">
      <alignment horizontal="center" vertical="center" wrapText="1"/>
    </xf>
    <xf numFmtId="1" fontId="29" fillId="0" borderId="76" xfId="125" applyNumberFormat="1" applyFont="1" applyBorder="1" applyAlignment="1">
      <alignment horizontal="center" vertical="center" wrapText="1"/>
    </xf>
    <xf numFmtId="1" fontId="29" fillId="0" borderId="195" xfId="108" applyNumberFormat="1" applyFont="1" applyBorder="1" applyAlignment="1">
      <alignment horizontal="center" vertical="center" wrapText="1"/>
    </xf>
    <xf numFmtId="1" fontId="29" fillId="0" borderId="182" xfId="108" applyNumberFormat="1" applyFont="1" applyBorder="1" applyAlignment="1">
      <alignment horizontal="center" vertical="center" wrapText="1"/>
    </xf>
    <xf numFmtId="1" fontId="29" fillId="0" borderId="4" xfId="108" applyNumberFormat="1" applyFont="1" applyBorder="1" applyAlignment="1">
      <alignment horizontal="center" vertical="center" wrapText="1"/>
    </xf>
    <xf numFmtId="1" fontId="29" fillId="0" borderId="179" xfId="108" applyNumberFormat="1" applyFont="1" applyBorder="1" applyAlignment="1">
      <alignment horizontal="center" vertical="center" wrapText="1"/>
    </xf>
    <xf numFmtId="1" fontId="29" fillId="0" borderId="212" xfId="108" applyNumberFormat="1" applyFont="1" applyBorder="1" applyAlignment="1">
      <alignment horizontal="center" vertical="center" wrapText="1"/>
    </xf>
    <xf numFmtId="1" fontId="29" fillId="0" borderId="121" xfId="108" applyNumberFormat="1" applyFont="1" applyBorder="1" applyAlignment="1">
      <alignment horizontal="center" vertical="center" wrapText="1"/>
    </xf>
    <xf numFmtId="1" fontId="29" fillId="0" borderId="117" xfId="108" applyNumberFormat="1" applyFont="1" applyBorder="1" applyAlignment="1">
      <alignment horizontal="center" vertical="center" wrapText="1"/>
    </xf>
    <xf numFmtId="1" fontId="29" fillId="0" borderId="177" xfId="0" applyNumberFormat="1" applyFont="1" applyBorder="1" applyAlignment="1">
      <alignment horizontal="center" vertical="center"/>
    </xf>
    <xf numFmtId="1" fontId="29" fillId="0" borderId="178" xfId="0" applyNumberFormat="1" applyFont="1" applyBorder="1" applyAlignment="1">
      <alignment horizontal="center" vertical="center"/>
    </xf>
    <xf numFmtId="1" fontId="29" fillId="0" borderId="177" xfId="108" applyNumberFormat="1" applyFont="1" applyBorder="1" applyAlignment="1">
      <alignment horizontal="center" vertical="center" wrapText="1"/>
    </xf>
    <xf numFmtId="1" fontId="29" fillId="0" borderId="178" xfId="108" applyNumberFormat="1" applyFont="1" applyBorder="1" applyAlignment="1">
      <alignment horizontal="center" vertical="center" wrapText="1"/>
    </xf>
    <xf numFmtId="1" fontId="29" fillId="0" borderId="137" xfId="0" quotePrefix="1" applyNumberFormat="1" applyFont="1" applyBorder="1" applyAlignment="1">
      <alignment horizontal="center"/>
    </xf>
    <xf numFmtId="1" fontId="29" fillId="0" borderId="137" xfId="0" applyNumberFormat="1" applyFont="1" applyBorder="1" applyAlignment="1">
      <alignment horizontal="center"/>
    </xf>
    <xf numFmtId="1" fontId="29" fillId="0" borderId="177" xfId="0" applyNumberFormat="1" applyFont="1" applyBorder="1" applyAlignment="1">
      <alignment horizontal="center"/>
    </xf>
    <xf numFmtId="1" fontId="29" fillId="0" borderId="183" xfId="108" applyNumberFormat="1" applyFont="1" applyBorder="1" applyAlignment="1">
      <alignment horizontal="center" vertical="center" wrapText="1"/>
    </xf>
    <xf numFmtId="1" fontId="29" fillId="0" borderId="210" xfId="108" applyNumberFormat="1" applyFont="1" applyBorder="1" applyAlignment="1">
      <alignment horizontal="center" vertical="center" wrapText="1"/>
    </xf>
    <xf numFmtId="1" fontId="29" fillId="0" borderId="178" xfId="0" applyNumberFormat="1" applyFont="1" applyBorder="1" applyAlignment="1">
      <alignment horizontal="center"/>
    </xf>
    <xf numFmtId="1" fontId="29" fillId="0" borderId="184" xfId="108" applyNumberFormat="1" applyFont="1" applyBorder="1" applyAlignment="1">
      <alignment horizontal="center" vertical="center" wrapText="1"/>
    </xf>
    <xf numFmtId="1" fontId="29" fillId="0" borderId="180" xfId="0" quotePrefix="1" applyNumberFormat="1" applyFont="1" applyBorder="1" applyAlignment="1">
      <alignment horizontal="center"/>
    </xf>
    <xf numFmtId="1" fontId="29" fillId="0" borderId="180" xfId="0" applyNumberFormat="1" applyFont="1" applyBorder="1" applyAlignment="1">
      <alignment horizontal="center"/>
    </xf>
    <xf numFmtId="1" fontId="29" fillId="0" borderId="198" xfId="0" applyNumberFormat="1" applyFont="1" applyBorder="1" applyAlignment="1">
      <alignment horizontal="center"/>
    </xf>
    <xf numFmtId="1" fontId="29" fillId="0" borderId="137" xfId="125" applyNumberFormat="1" applyFont="1" applyBorder="1" applyAlignment="1">
      <alignment horizontal="center" vertical="center"/>
    </xf>
    <xf numFmtId="1" fontId="36" fillId="22" borderId="183" xfId="125" applyNumberFormat="1" applyFont="1" applyFill="1" applyBorder="1" applyAlignment="1">
      <alignment horizontal="left"/>
    </xf>
    <xf numFmtId="1" fontId="30" fillId="0" borderId="180" xfId="125" applyNumberFormat="1" applyFont="1" applyBorder="1" applyAlignment="1">
      <alignment horizontal="center" vertical="center" wrapText="1"/>
    </xf>
    <xf numFmtId="1" fontId="30" fillId="0" borderId="169" xfId="125" applyNumberFormat="1" applyFont="1" applyBorder="1" applyAlignment="1">
      <alignment horizontal="center" vertical="center" wrapText="1"/>
    </xf>
    <xf numFmtId="1" fontId="5" fillId="0" borderId="4" xfId="125" applyNumberFormat="1" applyFont="1" applyBorder="1" applyAlignment="1">
      <alignment horizontal="left"/>
    </xf>
    <xf numFmtId="1" fontId="29" fillId="0" borderId="182" xfId="126" applyNumberFormat="1" applyFont="1" applyBorder="1" applyAlignment="1">
      <alignment horizontal="left" vertical="center" wrapText="1"/>
    </xf>
    <xf numFmtId="1" fontId="29" fillId="0" borderId="66" xfId="0" applyNumberFormat="1" applyFont="1" applyBorder="1" applyAlignment="1">
      <alignment horizontal="left" vertical="center" wrapText="1"/>
    </xf>
    <xf numFmtId="1" fontId="29" fillId="0" borderId="14" xfId="0" applyNumberFormat="1" applyFont="1" applyBorder="1" applyAlignment="1">
      <alignment horizontal="left" vertical="center" wrapText="1"/>
    </xf>
    <xf numFmtId="1" fontId="29" fillId="0" borderId="180" xfId="126" applyNumberFormat="1" applyFont="1" applyBorder="1" applyAlignment="1">
      <alignment horizontal="left" vertical="center" wrapText="1"/>
    </xf>
    <xf numFmtId="1" fontId="29" fillId="0" borderId="49" xfId="125" applyNumberFormat="1" applyFont="1" applyBorder="1" applyAlignment="1">
      <alignment horizontal="left" vertical="center" wrapText="1"/>
    </xf>
    <xf numFmtId="1" fontId="29" fillId="0" borderId="86" xfId="125" applyNumberFormat="1" applyFont="1" applyBorder="1" applyAlignment="1">
      <alignment horizontal="left" vertical="center" wrapText="1"/>
    </xf>
    <xf numFmtId="1" fontId="29" fillId="0" borderId="180" xfId="125" applyNumberFormat="1" applyFont="1" applyBorder="1" applyAlignment="1">
      <alignment horizontal="center" vertical="center" wrapText="1"/>
    </xf>
    <xf numFmtId="1" fontId="29" fillId="0" borderId="169" xfId="125" applyNumberFormat="1" applyFont="1" applyBorder="1" applyAlignment="1">
      <alignment horizontal="center" vertical="center" wrapText="1"/>
    </xf>
    <xf numFmtId="1" fontId="29" fillId="0" borderId="6" xfId="125" applyNumberFormat="1" applyFont="1" applyBorder="1" applyAlignment="1">
      <alignment horizontal="center" vertical="center" wrapText="1"/>
    </xf>
    <xf numFmtId="1" fontId="29" fillId="0" borderId="197" xfId="0" applyNumberFormat="1" applyFont="1" applyBorder="1" applyAlignment="1">
      <alignment horizontal="center" vertical="center" wrapText="1"/>
    </xf>
    <xf numFmtId="1" fontId="29" fillId="0" borderId="106" xfId="0" applyNumberFormat="1" applyFont="1" applyBorder="1" applyAlignment="1">
      <alignment horizontal="center" vertical="center" wrapText="1"/>
    </xf>
    <xf numFmtId="1" fontId="29" fillId="0" borderId="188" xfId="0" applyNumberFormat="1" applyFont="1" applyBorder="1" applyAlignment="1">
      <alignment horizontal="center" vertical="center" wrapText="1"/>
    </xf>
    <xf numFmtId="1" fontId="29" fillId="0" borderId="52" xfId="0" applyNumberFormat="1" applyFont="1" applyBorder="1" applyAlignment="1">
      <alignment horizontal="center" vertical="center" wrapText="1"/>
    </xf>
    <xf numFmtId="1" fontId="29" fillId="0" borderId="205" xfId="0" applyNumberFormat="1" applyFont="1" applyBorder="1" applyAlignment="1">
      <alignment horizontal="center" vertical="center" wrapText="1"/>
    </xf>
    <xf numFmtId="1" fontId="29" fillId="0" borderId="204" xfId="0" applyNumberFormat="1" applyFont="1" applyBorder="1" applyAlignment="1">
      <alignment horizontal="center" vertical="center" wrapText="1"/>
    </xf>
    <xf numFmtId="0" fontId="29" fillId="0" borderId="180" xfId="0" applyFont="1" applyBorder="1" applyAlignment="1">
      <alignment horizontal="center" vertical="center"/>
    </xf>
    <xf numFmtId="0" fontId="29" fillId="0" borderId="169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1" fontId="29" fillId="0" borderId="181" xfId="125" applyNumberFormat="1" applyFont="1" applyBorder="1" applyAlignment="1">
      <alignment horizontal="center" vertical="center" wrapText="1"/>
    </xf>
    <xf numFmtId="1" fontId="29" fillId="0" borderId="182" xfId="125" applyNumberFormat="1" applyFont="1" applyBorder="1" applyAlignment="1">
      <alignment horizontal="center" vertical="center" wrapText="1"/>
    </xf>
    <xf numFmtId="1" fontId="29" fillId="0" borderId="172" xfId="125" applyNumberFormat="1" applyFont="1" applyBorder="1" applyAlignment="1">
      <alignment horizontal="center" vertical="center" wrapText="1"/>
    </xf>
    <xf numFmtId="1" fontId="29" fillId="0" borderId="63" xfId="125" applyNumberFormat="1" applyFont="1" applyBorder="1" applyAlignment="1">
      <alignment horizontal="center" vertical="center" wrapText="1"/>
    </xf>
    <xf numFmtId="168" fontId="29" fillId="0" borderId="182" xfId="124" applyNumberFormat="1" applyFont="1" applyBorder="1" applyAlignment="1">
      <alignment horizontal="center" vertical="center"/>
    </xf>
    <xf numFmtId="168" fontId="29" fillId="0" borderId="66" xfId="124" applyNumberFormat="1" applyFont="1" applyBorder="1" applyAlignment="1">
      <alignment horizontal="center" vertical="center"/>
    </xf>
    <xf numFmtId="168" fontId="29" fillId="0" borderId="14" xfId="124" applyNumberFormat="1" applyFont="1" applyBorder="1" applyAlignment="1">
      <alignment horizontal="center" vertical="center"/>
    </xf>
    <xf numFmtId="1" fontId="29" fillId="17" borderId="177" xfId="0" quotePrefix="1" applyNumberFormat="1" applyFont="1" applyFill="1" applyBorder="1" applyAlignment="1">
      <alignment horizontal="center" vertical="center"/>
    </xf>
    <xf numFmtId="1" fontId="29" fillId="17" borderId="183" xfId="0" applyNumberFormat="1" applyFont="1" applyFill="1" applyBorder="1" applyAlignment="1">
      <alignment horizontal="center" vertical="center"/>
    </xf>
    <xf numFmtId="1" fontId="29" fillId="17" borderId="184" xfId="0" applyNumberFormat="1" applyFont="1" applyFill="1" applyBorder="1" applyAlignment="1">
      <alignment horizontal="center" vertical="center"/>
    </xf>
    <xf numFmtId="1" fontId="29" fillId="0" borderId="181" xfId="0" applyNumberFormat="1" applyFont="1" applyBorder="1" applyAlignment="1">
      <alignment horizontal="center" vertical="center"/>
    </xf>
    <xf numFmtId="1" fontId="29" fillId="0" borderId="192" xfId="0" applyNumberFormat="1" applyFont="1" applyBorder="1" applyAlignment="1">
      <alignment horizontal="center" vertical="center"/>
    </xf>
    <xf numFmtId="1" fontId="29" fillId="0" borderId="179" xfId="0" applyNumberFormat="1" applyFont="1" applyBorder="1" applyAlignment="1">
      <alignment horizontal="center" vertical="center"/>
    </xf>
    <xf numFmtId="1" fontId="29" fillId="0" borderId="183" xfId="0" applyNumberFormat="1" applyFont="1" applyBorder="1" applyAlignment="1">
      <alignment horizontal="center" vertical="center"/>
    </xf>
    <xf numFmtId="1" fontId="29" fillId="0" borderId="182" xfId="0" applyNumberFormat="1" applyFont="1" applyBorder="1" applyAlignment="1">
      <alignment horizontal="center" vertical="center"/>
    </xf>
    <xf numFmtId="1" fontId="29" fillId="0" borderId="169" xfId="0" applyNumberFormat="1" applyFont="1" applyBorder="1" applyAlignment="1">
      <alignment horizontal="center" vertical="center" wrapText="1"/>
    </xf>
    <xf numFmtId="1" fontId="29" fillId="0" borderId="180" xfId="126" applyNumberFormat="1" applyFont="1" applyBorder="1" applyAlignment="1">
      <alignment horizontal="center" vertical="center" wrapText="1"/>
    </xf>
    <xf numFmtId="1" fontId="29" fillId="0" borderId="169" xfId="126" applyNumberFormat="1" applyFont="1" applyBorder="1" applyAlignment="1">
      <alignment horizontal="center" vertical="center" wrapText="1"/>
    </xf>
    <xf numFmtId="1" fontId="29" fillId="0" borderId="180" xfId="0" applyNumberFormat="1" applyFont="1" applyBorder="1" applyAlignment="1">
      <alignment horizontal="center" vertical="center"/>
    </xf>
    <xf numFmtId="1" fontId="29" fillId="0" borderId="169" xfId="0" applyNumberFormat="1" applyFont="1" applyBorder="1" applyAlignment="1">
      <alignment horizontal="center" vertical="center"/>
    </xf>
    <xf numFmtId="1" fontId="29" fillId="0" borderId="6" xfId="0" applyNumberFormat="1" applyFont="1" applyBorder="1" applyAlignment="1">
      <alignment horizontal="center" vertical="center"/>
    </xf>
    <xf numFmtId="1" fontId="29" fillId="0" borderId="137" xfId="125" applyNumberFormat="1" applyFont="1" applyBorder="1" applyAlignment="1">
      <alignment horizontal="center" vertical="center" wrapText="1"/>
    </xf>
    <xf numFmtId="1" fontId="29" fillId="0" borderId="137" xfId="0" applyNumberFormat="1" applyFont="1" applyBorder="1" applyAlignment="1">
      <alignment horizontal="center" vertical="center"/>
    </xf>
    <xf numFmtId="1" fontId="29" fillId="17" borderId="137" xfId="0" applyNumberFormat="1" applyFont="1" applyFill="1" applyBorder="1" applyAlignment="1">
      <alignment horizontal="center" vertical="center"/>
    </xf>
    <xf numFmtId="1" fontId="7" fillId="0" borderId="183" xfId="0" applyNumberFormat="1" applyFont="1" applyBorder="1" applyAlignment="1">
      <alignment horizontal="left"/>
    </xf>
    <xf numFmtId="1" fontId="7" fillId="0" borderId="178" xfId="0" applyNumberFormat="1" applyFont="1" applyBorder="1" applyAlignment="1">
      <alignment horizontal="left"/>
    </xf>
    <xf numFmtId="1" fontId="7" fillId="0" borderId="137" xfId="125" applyNumberFormat="1" applyFont="1" applyBorder="1" applyAlignment="1" applyProtection="1">
      <alignment horizontal="center" vertical="center" wrapText="1"/>
      <protection hidden="1"/>
    </xf>
    <xf numFmtId="1" fontId="7" fillId="22" borderId="46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22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45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13" xfId="125" applyNumberFormat="1" applyFont="1" applyFill="1" applyBorder="1" applyAlignment="1" applyProtection="1">
      <alignment horizontal="left" vertical="center" wrapText="1"/>
      <protection hidden="1"/>
    </xf>
    <xf numFmtId="1" fontId="15" fillId="0" borderId="0" xfId="125" applyNumberFormat="1" applyFont="1" applyAlignment="1" applyProtection="1">
      <alignment horizontal="center" vertical="center" wrapText="1"/>
      <protection hidden="1"/>
    </xf>
    <xf numFmtId="1" fontId="7" fillId="0" borderId="181" xfId="125" applyNumberFormat="1" applyFont="1" applyBorder="1" applyAlignment="1" applyProtection="1">
      <alignment horizontal="center" vertical="center" wrapText="1"/>
      <protection hidden="1"/>
    </xf>
    <xf numFmtId="1" fontId="7" fillId="0" borderId="182" xfId="125" applyNumberFormat="1" applyFont="1" applyBorder="1" applyAlignment="1" applyProtection="1">
      <alignment horizontal="center" vertical="center" wrapText="1"/>
      <protection hidden="1"/>
    </xf>
    <xf numFmtId="1" fontId="7" fillId="0" borderId="172" xfId="125" applyNumberFormat="1" applyFont="1" applyBorder="1" applyAlignment="1" applyProtection="1">
      <alignment horizontal="center" vertical="center" wrapText="1"/>
      <protection hidden="1"/>
    </xf>
    <xf numFmtId="1" fontId="7" fillId="0" borderId="66" xfId="125" applyNumberFormat="1" applyFont="1" applyBorder="1" applyAlignment="1" applyProtection="1">
      <alignment horizontal="center" vertical="center" wrapText="1"/>
      <protection hidden="1"/>
    </xf>
    <xf numFmtId="1" fontId="7" fillId="0" borderId="63" xfId="125" applyNumberFormat="1" applyFont="1" applyBorder="1" applyAlignment="1" applyProtection="1">
      <alignment horizontal="center" vertical="center" wrapText="1"/>
      <protection hidden="1"/>
    </xf>
    <xf numFmtId="1" fontId="7" fillId="0" borderId="14" xfId="125" applyNumberFormat="1" applyFont="1" applyBorder="1" applyAlignment="1" applyProtection="1">
      <alignment horizontal="center" vertical="center" wrapText="1"/>
      <protection hidden="1"/>
    </xf>
    <xf numFmtId="1" fontId="7" fillId="0" borderId="179" xfId="125" applyNumberFormat="1" applyFont="1" applyBorder="1" applyAlignment="1" applyProtection="1">
      <alignment horizontal="center" vertical="center" wrapText="1"/>
      <protection hidden="1"/>
    </xf>
    <xf numFmtId="1" fontId="7" fillId="0" borderId="4" xfId="125" applyNumberFormat="1" applyFont="1" applyBorder="1" applyAlignment="1" applyProtection="1">
      <alignment horizontal="center" vertical="center" wrapText="1"/>
      <protection hidden="1"/>
    </xf>
    <xf numFmtId="1" fontId="7" fillId="0" borderId="177" xfId="0" applyNumberFormat="1" applyFont="1" applyBorder="1" applyAlignment="1">
      <alignment horizontal="center" vertical="center" wrapText="1"/>
    </xf>
    <xf numFmtId="1" fontId="7" fillId="0" borderId="178" xfId="0" applyNumberFormat="1" applyFont="1" applyBorder="1" applyAlignment="1">
      <alignment horizontal="center" vertical="center" wrapText="1"/>
    </xf>
    <xf numFmtId="1" fontId="7" fillId="0" borderId="137" xfId="125" quotePrefix="1" applyNumberFormat="1" applyFont="1" applyBorder="1" applyAlignment="1" applyProtection="1">
      <alignment horizontal="center" vertical="center"/>
      <protection hidden="1"/>
    </xf>
    <xf numFmtId="1" fontId="7" fillId="0" borderId="177" xfId="0" quotePrefix="1" applyNumberFormat="1" applyFont="1" applyBorder="1" applyAlignment="1">
      <alignment horizontal="center"/>
    </xf>
    <xf numFmtId="1" fontId="7" fillId="0" borderId="183" xfId="0" applyNumberFormat="1" applyFont="1" applyBorder="1" applyAlignment="1">
      <alignment horizontal="center"/>
    </xf>
    <xf numFmtId="1" fontId="7" fillId="0" borderId="177" xfId="125" quotePrefix="1" applyNumberFormat="1" applyFont="1" applyBorder="1" applyAlignment="1" applyProtection="1">
      <alignment horizontal="center" vertical="center"/>
      <protection hidden="1"/>
    </xf>
    <xf numFmtId="1" fontId="7" fillId="0" borderId="178" xfId="125" quotePrefix="1" applyNumberFormat="1" applyFont="1" applyBorder="1" applyAlignment="1" applyProtection="1">
      <alignment horizontal="center" vertical="center"/>
      <protection hidden="1"/>
    </xf>
    <xf numFmtId="1" fontId="7" fillId="0" borderId="177" xfId="108" applyNumberFormat="1" applyFont="1" applyBorder="1" applyAlignment="1">
      <alignment horizontal="center" vertical="center" wrapText="1"/>
    </xf>
    <xf numFmtId="1" fontId="7" fillId="0" borderId="178" xfId="108" applyNumberFormat="1" applyFont="1" applyBorder="1" applyAlignment="1">
      <alignment horizontal="center" vertical="center" wrapText="1"/>
    </xf>
    <xf numFmtId="1" fontId="7" fillId="0" borderId="183" xfId="108" applyNumberFormat="1" applyFont="1" applyBorder="1" applyAlignment="1">
      <alignment horizontal="center" vertical="center" wrapText="1"/>
    </xf>
    <xf numFmtId="1" fontId="7" fillId="0" borderId="180" xfId="125" applyNumberFormat="1" applyFont="1" applyBorder="1" applyAlignment="1" applyProtection="1">
      <alignment horizontal="center" vertical="center" wrapText="1"/>
      <protection hidden="1"/>
    </xf>
    <xf numFmtId="1" fontId="7" fillId="0" borderId="169" xfId="125" applyNumberFormat="1" applyFont="1" applyBorder="1" applyAlignment="1" applyProtection="1">
      <alignment horizontal="center" vertical="center" wrapText="1"/>
      <protection hidden="1"/>
    </xf>
    <xf numFmtId="1" fontId="7" fillId="0" borderId="6" xfId="125" applyNumberFormat="1" applyFont="1" applyBorder="1" applyAlignment="1" applyProtection="1">
      <alignment horizontal="center" vertical="center" wrapText="1"/>
      <protection hidden="1"/>
    </xf>
    <xf numFmtId="1" fontId="7" fillId="22" borderId="49" xfId="125" applyNumberFormat="1" applyFont="1" applyFill="1" applyBorder="1" applyAlignment="1" applyProtection="1">
      <alignment horizontal="left" vertical="center" wrapText="1"/>
      <protection hidden="1"/>
    </xf>
    <xf numFmtId="1" fontId="7" fillId="22" borderId="86" xfId="125" applyNumberFormat="1" applyFont="1" applyFill="1" applyBorder="1" applyAlignment="1" applyProtection="1">
      <alignment horizontal="left" vertical="center" wrapText="1"/>
      <protection hidden="1"/>
    </xf>
    <xf numFmtId="1" fontId="7" fillId="0" borderId="0" xfId="0" applyNumberFormat="1" applyFont="1" applyAlignment="1">
      <alignment horizontal="center" vertical="center" wrapText="1"/>
    </xf>
    <xf numFmtId="1" fontId="7" fillId="0" borderId="46" xfId="125" applyNumberFormat="1" applyFont="1" applyBorder="1" applyAlignment="1" applyProtection="1">
      <alignment horizontal="left" wrapText="1"/>
      <protection hidden="1"/>
    </xf>
    <xf numFmtId="1" fontId="7" fillId="0" borderId="22" xfId="125" applyNumberFormat="1" applyFont="1" applyBorder="1" applyAlignment="1" applyProtection="1">
      <alignment horizontal="left" wrapText="1"/>
      <protection hidden="1"/>
    </xf>
    <xf numFmtId="1" fontId="7" fillId="0" borderId="195" xfId="0" applyNumberFormat="1" applyFont="1" applyBorder="1" applyAlignment="1">
      <alignment horizontal="center" vertical="center" wrapText="1"/>
    </xf>
    <xf numFmtId="1" fontId="7" fillId="0" borderId="182" xfId="0" applyNumberFormat="1" applyFont="1" applyBorder="1" applyAlignment="1">
      <alignment horizontal="center" vertical="center" wrapText="1"/>
    </xf>
    <xf numFmtId="1" fontId="7" fillId="0" borderId="117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179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84" xfId="0" applyNumberFormat="1" applyFont="1" applyBorder="1" applyAlignment="1">
      <alignment horizontal="center"/>
    </xf>
    <xf numFmtId="1" fontId="7" fillId="0" borderId="46" xfId="125" applyNumberFormat="1" applyFont="1" applyBorder="1" applyAlignment="1" applyProtection="1">
      <alignment horizontal="left" vertical="center" wrapText="1"/>
      <protection hidden="1"/>
    </xf>
    <xf numFmtId="1" fontId="7" fillId="0" borderId="22" xfId="125" applyNumberFormat="1" applyFont="1" applyBorder="1" applyAlignment="1" applyProtection="1">
      <alignment horizontal="left" vertical="center" wrapText="1"/>
      <protection hidden="1"/>
    </xf>
    <xf numFmtId="1" fontId="7" fillId="0" borderId="49" xfId="125" applyNumberFormat="1" applyFont="1" applyBorder="1" applyAlignment="1" applyProtection="1">
      <alignment horizontal="left" vertical="center" wrapText="1"/>
      <protection hidden="1"/>
    </xf>
    <xf numFmtId="1" fontId="7" fillId="0" borderId="86" xfId="125" applyNumberFormat="1" applyFont="1" applyBorder="1" applyAlignment="1" applyProtection="1">
      <alignment horizontal="left" vertical="center" wrapText="1"/>
      <protection hidden="1"/>
    </xf>
    <xf numFmtId="1" fontId="7" fillId="0" borderId="183" xfId="0" applyNumberFormat="1" applyFont="1" applyBorder="1" applyAlignment="1" applyProtection="1">
      <alignment horizontal="center"/>
      <protection hidden="1"/>
    </xf>
    <xf numFmtId="1" fontId="7" fillId="0" borderId="178" xfId="0" applyNumberFormat="1" applyFont="1" applyBorder="1" applyAlignment="1" applyProtection="1">
      <alignment horizontal="center"/>
      <protection hidden="1"/>
    </xf>
    <xf numFmtId="1" fontId="7" fillId="0" borderId="177" xfId="126" applyNumberFormat="1" applyFont="1" applyBorder="1" applyAlignment="1" applyProtection="1">
      <alignment horizontal="center" vertical="center" wrapText="1"/>
      <protection hidden="1"/>
    </xf>
    <xf numFmtId="1" fontId="7" fillId="0" borderId="183" xfId="126" applyNumberFormat="1" applyFont="1" applyBorder="1" applyAlignment="1" applyProtection="1">
      <alignment horizontal="center" vertical="center" wrapText="1"/>
      <protection hidden="1"/>
    </xf>
    <xf numFmtId="1" fontId="7" fillId="0" borderId="178" xfId="126" applyNumberFormat="1" applyFont="1" applyBorder="1" applyAlignment="1" applyProtection="1">
      <alignment horizontal="center" vertical="center" wrapText="1"/>
      <protection hidden="1"/>
    </xf>
    <xf numFmtId="1" fontId="11" fillId="0" borderId="181" xfId="125" applyNumberFormat="1" applyFont="1" applyBorder="1" applyAlignment="1" applyProtection="1">
      <alignment horizontal="center" vertical="center"/>
      <protection hidden="1"/>
    </xf>
    <xf numFmtId="1" fontId="11" fillId="0" borderId="182" xfId="125" applyNumberFormat="1" applyFont="1" applyBorder="1" applyAlignment="1" applyProtection="1">
      <alignment horizontal="center" vertical="center"/>
      <protection hidden="1"/>
    </xf>
    <xf numFmtId="1" fontId="11" fillId="0" borderId="172" xfId="125" applyNumberFormat="1" applyFont="1" applyBorder="1" applyAlignment="1" applyProtection="1">
      <alignment horizontal="center" vertical="center"/>
      <protection hidden="1"/>
    </xf>
    <xf numFmtId="1" fontId="11" fillId="0" borderId="66" xfId="125" applyNumberFormat="1" applyFont="1" applyBorder="1" applyAlignment="1" applyProtection="1">
      <alignment horizontal="center" vertical="center"/>
      <protection hidden="1"/>
    </xf>
    <xf numFmtId="1" fontId="11" fillId="0" borderId="63" xfId="125" applyNumberFormat="1" applyFont="1" applyBorder="1" applyAlignment="1" applyProtection="1">
      <alignment horizontal="center" vertical="center"/>
      <protection hidden="1"/>
    </xf>
    <xf numFmtId="1" fontId="11" fillId="0" borderId="14" xfId="125" applyNumberFormat="1" applyFont="1" applyBorder="1" applyAlignment="1" applyProtection="1">
      <alignment horizontal="center" vertical="center"/>
      <protection hidden="1"/>
    </xf>
    <xf numFmtId="1" fontId="7" fillId="0" borderId="178" xfId="0" applyNumberFormat="1" applyFont="1" applyBorder="1" applyAlignment="1">
      <alignment horizontal="center"/>
    </xf>
    <xf numFmtId="1" fontId="7" fillId="22" borderId="49" xfId="125" applyNumberFormat="1" applyFont="1" applyFill="1" applyBorder="1" applyAlignment="1" applyProtection="1">
      <alignment horizontal="left" vertical="center"/>
      <protection hidden="1"/>
    </xf>
    <xf numFmtId="1" fontId="7" fillId="22" borderId="86" xfId="125" applyNumberFormat="1" applyFont="1" applyFill="1" applyBorder="1" applyAlignment="1" applyProtection="1">
      <alignment horizontal="left" vertical="center"/>
      <protection hidden="1"/>
    </xf>
    <xf numFmtId="1" fontId="7" fillId="0" borderId="46" xfId="125" applyNumberFormat="1" applyFont="1" applyBorder="1" applyAlignment="1" applyProtection="1">
      <alignment horizontal="left" vertical="center"/>
      <protection hidden="1"/>
    </xf>
    <xf numFmtId="1" fontId="7" fillId="0" borderId="22" xfId="125" applyNumberFormat="1" applyFont="1" applyBorder="1" applyAlignment="1" applyProtection="1">
      <alignment horizontal="left" vertical="center"/>
      <protection hidden="1"/>
    </xf>
    <xf numFmtId="1" fontId="5" fillId="0" borderId="4" xfId="125" applyNumberFormat="1" applyFont="1" applyBorder="1" applyAlignment="1" applyProtection="1">
      <alignment horizontal="left"/>
      <protection hidden="1"/>
    </xf>
    <xf numFmtId="1" fontId="7" fillId="0" borderId="180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5" xfId="125" applyNumberFormat="1" applyFont="1" applyBorder="1" applyAlignment="1" applyProtection="1">
      <alignment horizontal="left" vertical="center" wrapText="1"/>
      <protection hidden="1"/>
    </xf>
    <xf numFmtId="1" fontId="7" fillId="0" borderId="141" xfId="125" applyNumberFormat="1" applyFont="1" applyBorder="1" applyAlignment="1" applyProtection="1">
      <alignment horizontal="left" vertical="center" wrapText="1"/>
      <protection hidden="1"/>
    </xf>
    <xf numFmtId="1" fontId="7" fillId="0" borderId="185" xfId="0" applyNumberFormat="1" applyFont="1" applyBorder="1" applyAlignment="1">
      <alignment horizontal="center" vertical="center" wrapText="1"/>
    </xf>
    <xf numFmtId="1" fontId="7" fillId="0" borderId="105" xfId="0" applyNumberFormat="1" applyFont="1" applyBorder="1" applyAlignment="1">
      <alignment horizontal="center" vertical="center" wrapText="1"/>
    </xf>
    <xf numFmtId="1" fontId="5" fillId="0" borderId="216" xfId="125" applyNumberFormat="1" applyFont="1" applyBorder="1" applyAlignment="1" applyProtection="1">
      <alignment horizontal="left" wrapText="1"/>
      <protection hidden="1"/>
    </xf>
    <xf numFmtId="1" fontId="11" fillId="0" borderId="63" xfId="125" applyNumberFormat="1" applyFont="1" applyBorder="1" applyAlignment="1" applyProtection="1">
      <alignment horizontal="left" vertical="center" wrapText="1"/>
      <protection hidden="1"/>
    </xf>
    <xf numFmtId="1" fontId="11" fillId="0" borderId="4" xfId="125" applyNumberFormat="1" applyFont="1" applyBorder="1" applyAlignment="1" applyProtection="1">
      <alignment horizontal="left" vertical="center" wrapText="1"/>
      <protection hidden="1"/>
    </xf>
    <xf numFmtId="1" fontId="7" fillId="0" borderId="184" xfId="108" applyNumberFormat="1" applyFont="1" applyBorder="1" applyAlignment="1">
      <alignment horizontal="center" vertical="center" wrapText="1"/>
    </xf>
    <xf numFmtId="1" fontId="7" fillId="17" borderId="180" xfId="125" applyNumberFormat="1" applyFont="1" applyFill="1" applyBorder="1" applyAlignment="1" applyProtection="1">
      <alignment horizontal="center" vertical="center" wrapText="1"/>
      <protection hidden="1"/>
    </xf>
    <xf numFmtId="1" fontId="7" fillId="17" borderId="169" xfId="125" applyNumberFormat="1" applyFont="1" applyFill="1" applyBorder="1" applyAlignment="1" applyProtection="1">
      <alignment horizontal="center" vertical="center" wrapText="1"/>
      <protection hidden="1"/>
    </xf>
    <xf numFmtId="1" fontId="7" fillId="17" borderId="6" xfId="125" applyNumberFormat="1" applyFont="1" applyFill="1" applyBorder="1" applyAlignment="1" applyProtection="1">
      <alignment horizontal="center" vertical="center" wrapText="1"/>
      <protection hidden="1"/>
    </xf>
    <xf numFmtId="1" fontId="7" fillId="0" borderId="45" xfId="125" applyNumberFormat="1" applyFont="1" applyBorder="1" applyAlignment="1" applyProtection="1">
      <alignment horizontal="left" vertical="center" wrapText="1"/>
      <protection hidden="1"/>
    </xf>
    <xf numFmtId="1" fontId="7" fillId="0" borderId="13" xfId="125" applyNumberFormat="1" applyFont="1" applyBorder="1" applyAlignment="1" applyProtection="1">
      <alignment horizontal="left" vertical="center" wrapText="1"/>
      <protection hidden="1"/>
    </xf>
    <xf numFmtId="1" fontId="7" fillId="0" borderId="180" xfId="125" applyNumberFormat="1" applyFont="1" applyBorder="1" applyAlignment="1" applyProtection="1">
      <alignment horizontal="left" vertical="center" wrapText="1"/>
      <protection hidden="1"/>
    </xf>
    <xf numFmtId="1" fontId="7" fillId="0" borderId="169" xfId="125" applyNumberFormat="1" applyFont="1" applyBorder="1" applyAlignment="1" applyProtection="1">
      <alignment horizontal="left" vertical="center" wrapText="1"/>
      <protection hidden="1"/>
    </xf>
    <xf numFmtId="1" fontId="7" fillId="0" borderId="6" xfId="125" applyNumberFormat="1" applyFont="1" applyBorder="1" applyAlignment="1" applyProtection="1">
      <alignment horizontal="left" vertical="center" wrapText="1"/>
      <protection hidden="1"/>
    </xf>
    <xf numFmtId="1" fontId="7" fillId="22" borderId="46" xfId="125" applyNumberFormat="1" applyFont="1" applyFill="1" applyBorder="1" applyAlignment="1" applyProtection="1">
      <alignment horizontal="left" vertical="center"/>
      <protection hidden="1"/>
    </xf>
    <xf numFmtId="1" fontId="7" fillId="22" borderId="22" xfId="125" applyNumberFormat="1" applyFont="1" applyFill="1" applyBorder="1" applyAlignment="1" applyProtection="1">
      <alignment horizontal="left" vertical="center"/>
      <protection hidden="1"/>
    </xf>
    <xf numFmtId="0" fontId="7" fillId="22" borderId="45" xfId="125" applyFont="1" applyFill="1" applyBorder="1" applyAlignment="1">
      <alignment horizontal="left"/>
    </xf>
    <xf numFmtId="0" fontId="7" fillId="22" borderId="13" xfId="125" applyFont="1" applyFill="1" applyBorder="1" applyAlignment="1">
      <alignment horizontal="left"/>
    </xf>
    <xf numFmtId="0" fontId="7" fillId="22" borderId="46" xfId="125" applyFont="1" applyFill="1" applyBorder="1" applyAlignment="1">
      <alignment horizontal="left"/>
    </xf>
    <xf numFmtId="0" fontId="7" fillId="22" borderId="22" xfId="125" applyFont="1" applyFill="1" applyBorder="1" applyAlignment="1">
      <alignment horizontal="left"/>
    </xf>
    <xf numFmtId="0" fontId="7" fillId="22" borderId="46" xfId="125" applyFont="1" applyFill="1" applyBorder="1" applyAlignment="1">
      <alignment horizontal="left" vertical="center"/>
    </xf>
    <xf numFmtId="0" fontId="7" fillId="22" borderId="22" xfId="125" applyFont="1" applyFill="1" applyBorder="1" applyAlignment="1">
      <alignment horizontal="left" vertical="center"/>
    </xf>
    <xf numFmtId="1" fontId="7" fillId="0" borderId="177" xfId="125" quotePrefix="1" applyNumberFormat="1" applyFont="1" applyBorder="1" applyAlignment="1">
      <alignment horizontal="center" vertical="center"/>
    </xf>
    <xf numFmtId="1" fontId="7" fillId="0" borderId="178" xfId="125" quotePrefix="1" applyNumberFormat="1" applyFont="1" applyBorder="1" applyAlignment="1">
      <alignment horizontal="center" vertical="center"/>
    </xf>
    <xf numFmtId="1" fontId="7" fillId="22" borderId="180" xfId="125" applyNumberFormat="1" applyFont="1" applyFill="1" applyBorder="1" applyAlignment="1" applyProtection="1">
      <alignment horizontal="center" vertical="center" wrapText="1"/>
      <protection hidden="1"/>
    </xf>
    <xf numFmtId="1" fontId="7" fillId="22" borderId="169" xfId="125" applyNumberFormat="1" applyFont="1" applyFill="1" applyBorder="1" applyAlignment="1" applyProtection="1">
      <alignment horizontal="center" vertical="center" wrapText="1"/>
      <protection hidden="1"/>
    </xf>
    <xf numFmtId="1" fontId="7" fillId="22" borderId="6" xfId="125" applyNumberFormat="1" applyFont="1" applyFill="1" applyBorder="1" applyAlignment="1" applyProtection="1">
      <alignment horizontal="center" vertical="center" wrapText="1"/>
      <protection hidden="1"/>
    </xf>
    <xf numFmtId="1" fontId="15" fillId="0" borderId="0" xfId="126" applyNumberFormat="1" applyFont="1" applyAlignment="1" applyProtection="1">
      <alignment horizontal="center" vertical="center" wrapText="1"/>
      <protection hidden="1"/>
    </xf>
    <xf numFmtId="1" fontId="7" fillId="0" borderId="179" xfId="108" applyNumberFormat="1" applyFont="1" applyBorder="1" applyAlignment="1">
      <alignment horizontal="center" vertical="center" wrapText="1"/>
    </xf>
    <xf numFmtId="1" fontId="7" fillId="0" borderId="182" xfId="108" applyNumberFormat="1" applyFont="1" applyBorder="1" applyAlignment="1">
      <alignment horizontal="center" vertical="center" wrapText="1"/>
    </xf>
    <xf numFmtId="1" fontId="7" fillId="0" borderId="4" xfId="108" applyNumberFormat="1" applyFont="1" applyBorder="1" applyAlignment="1">
      <alignment horizontal="center" vertical="center" wrapText="1"/>
    </xf>
    <xf numFmtId="1" fontId="7" fillId="0" borderId="14" xfId="108" applyNumberFormat="1" applyFont="1" applyBorder="1" applyAlignment="1">
      <alignment horizontal="center" vertical="center" wrapText="1"/>
    </xf>
    <xf numFmtId="1" fontId="7" fillId="0" borderId="169" xfId="0" applyNumberFormat="1" applyFont="1" applyBorder="1" applyAlignment="1">
      <alignment horizontal="center" vertical="center" wrapText="1"/>
    </xf>
    <xf numFmtId="1" fontId="7" fillId="0" borderId="137" xfId="126" applyNumberFormat="1" applyFont="1" applyBorder="1" applyAlignment="1" applyProtection="1">
      <alignment horizontal="center" vertical="center"/>
      <protection hidden="1"/>
    </xf>
    <xf numFmtId="1" fontId="7" fillId="0" borderId="137" xfId="126" applyNumberFormat="1" applyFont="1" applyBorder="1" applyAlignment="1" applyProtection="1">
      <alignment horizontal="center" vertical="center" wrapText="1"/>
      <protection hidden="1"/>
    </xf>
    <xf numFmtId="1" fontId="5" fillId="0" borderId="183" xfId="126" applyNumberFormat="1" applyFont="1" applyBorder="1" applyAlignment="1" applyProtection="1">
      <alignment horizontal="left"/>
      <protection hidden="1"/>
    </xf>
    <xf numFmtId="1" fontId="5" fillId="0" borderId="179" xfId="126" applyNumberFormat="1" applyFont="1" applyBorder="1" applyAlignment="1" applyProtection="1">
      <alignment horizontal="left"/>
      <protection hidden="1"/>
    </xf>
    <xf numFmtId="1" fontId="7" fillId="0" borderId="177" xfId="126" quotePrefix="1" applyNumberFormat="1" applyFont="1" applyBorder="1" applyAlignment="1" applyProtection="1">
      <alignment horizontal="center" vertical="center"/>
      <protection hidden="1"/>
    </xf>
    <xf numFmtId="1" fontId="7" fillId="0" borderId="183" xfId="126" quotePrefix="1" applyNumberFormat="1" applyFont="1" applyBorder="1" applyAlignment="1" applyProtection="1">
      <alignment horizontal="center" vertical="center"/>
      <protection hidden="1"/>
    </xf>
    <xf numFmtId="1" fontId="7" fillId="0" borderId="184" xfId="126" quotePrefix="1" applyNumberFormat="1" applyFont="1" applyBorder="1" applyAlignment="1" applyProtection="1">
      <alignment horizontal="center" vertical="center"/>
      <protection hidden="1"/>
    </xf>
    <xf numFmtId="1" fontId="7" fillId="0" borderId="49" xfId="126" applyNumberFormat="1" applyFont="1" applyBorder="1" applyAlignment="1" applyProtection="1">
      <alignment horizontal="left"/>
      <protection hidden="1"/>
    </xf>
    <xf numFmtId="1" fontId="7" fillId="0" borderId="86" xfId="126" applyNumberFormat="1" applyFont="1" applyBorder="1" applyAlignment="1" applyProtection="1">
      <alignment horizontal="left"/>
      <protection hidden="1"/>
    </xf>
    <xf numFmtId="1" fontId="7" fillId="0" borderId="177" xfId="126" applyNumberFormat="1" applyFont="1" applyBorder="1" applyAlignment="1" applyProtection="1">
      <alignment horizontal="center"/>
      <protection hidden="1"/>
    </xf>
    <xf numFmtId="1" fontId="7" fillId="0" borderId="178" xfId="126" applyNumberFormat="1" applyFont="1" applyBorder="1" applyAlignment="1" applyProtection="1">
      <alignment horizontal="center"/>
      <protection hidden="1"/>
    </xf>
    <xf numFmtId="1" fontId="7" fillId="0" borderId="45" xfId="126" applyNumberFormat="1" applyFont="1" applyBorder="1" applyAlignment="1" applyProtection="1">
      <alignment horizontal="left"/>
      <protection hidden="1"/>
    </xf>
    <xf numFmtId="1" fontId="7" fillId="0" borderId="13" xfId="126" applyNumberFormat="1" applyFont="1" applyBorder="1" applyAlignment="1" applyProtection="1">
      <alignment horizontal="left"/>
      <protection hidden="1"/>
    </xf>
    <xf numFmtId="1" fontId="7" fillId="0" borderId="46" xfId="126" applyNumberFormat="1" applyFont="1" applyBorder="1" applyAlignment="1" applyProtection="1">
      <alignment horizontal="left"/>
      <protection hidden="1"/>
    </xf>
    <xf numFmtId="1" fontId="7" fillId="0" borderId="22" xfId="126" applyNumberFormat="1" applyFont="1" applyBorder="1" applyAlignment="1" applyProtection="1">
      <alignment horizontal="left"/>
      <protection hidden="1"/>
    </xf>
    <xf numFmtId="1" fontId="5" fillId="0" borderId="183" xfId="0" applyNumberFormat="1" applyFont="1" applyBorder="1" applyAlignment="1">
      <alignment horizontal="left"/>
    </xf>
    <xf numFmtId="1" fontId="5" fillId="0" borderId="183" xfId="126" quotePrefix="1" applyNumberFormat="1" applyFont="1" applyBorder="1" applyAlignment="1" applyProtection="1">
      <alignment horizontal="left"/>
      <protection hidden="1"/>
    </xf>
    <xf numFmtId="1" fontId="5" fillId="0" borderId="179" xfId="126" quotePrefix="1" applyNumberFormat="1" applyFont="1" applyBorder="1" applyAlignment="1" applyProtection="1">
      <alignment horizontal="left"/>
      <protection hidden="1"/>
    </xf>
    <xf numFmtId="1" fontId="7" fillId="0" borderId="180" xfId="126" applyNumberFormat="1" applyFont="1" applyBorder="1" applyAlignment="1" applyProtection="1">
      <alignment horizontal="center" vertical="center" wrapText="1"/>
      <protection hidden="1"/>
    </xf>
    <xf numFmtId="1" fontId="7" fillId="0" borderId="169" xfId="126" applyNumberFormat="1" applyFont="1" applyBorder="1" applyAlignment="1" applyProtection="1">
      <alignment horizontal="center" vertical="center" wrapText="1"/>
      <protection hidden="1"/>
    </xf>
    <xf numFmtId="1" fontId="7" fillId="0" borderId="6" xfId="126" applyNumberFormat="1" applyFont="1" applyBorder="1" applyAlignment="1" applyProtection="1">
      <alignment horizontal="center" vertical="center" wrapText="1"/>
      <protection hidden="1"/>
    </xf>
    <xf numFmtId="1" fontId="7" fillId="0" borderId="137" xfId="0" applyNumberFormat="1" applyFont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7" fillId="0" borderId="181" xfId="126" applyNumberFormat="1" applyFont="1" applyBorder="1" applyAlignment="1" applyProtection="1">
      <alignment horizontal="center" vertical="center" wrapText="1"/>
      <protection hidden="1"/>
    </xf>
    <xf numFmtId="1" fontId="7" fillId="0" borderId="182" xfId="126" applyNumberFormat="1" applyFont="1" applyBorder="1" applyAlignment="1" applyProtection="1">
      <alignment horizontal="center" vertical="center" wrapText="1"/>
      <protection hidden="1"/>
    </xf>
    <xf numFmtId="1" fontId="7" fillId="0" borderId="172" xfId="126" applyNumberFormat="1" applyFont="1" applyBorder="1" applyAlignment="1" applyProtection="1">
      <alignment horizontal="center" vertical="center" wrapText="1"/>
      <protection hidden="1"/>
    </xf>
    <xf numFmtId="1" fontId="7" fillId="0" borderId="66" xfId="126" applyNumberFormat="1" applyFont="1" applyBorder="1" applyAlignment="1" applyProtection="1">
      <alignment horizontal="center" vertical="center" wrapText="1"/>
      <protection hidden="1"/>
    </xf>
    <xf numFmtId="1" fontId="7" fillId="0" borderId="63" xfId="126" applyNumberFormat="1" applyFont="1" applyBorder="1" applyAlignment="1" applyProtection="1">
      <alignment horizontal="center" vertical="center" wrapText="1"/>
      <protection hidden="1"/>
    </xf>
    <xf numFmtId="1" fontId="7" fillId="0" borderId="14" xfId="126" applyNumberFormat="1" applyFont="1" applyBorder="1" applyAlignment="1" applyProtection="1">
      <alignment horizontal="center" vertical="center" wrapText="1"/>
      <protection hidden="1"/>
    </xf>
    <xf numFmtId="1" fontId="7" fillId="0" borderId="45" xfId="126" applyNumberFormat="1" applyFont="1" applyBorder="1" applyAlignment="1" applyProtection="1">
      <alignment horizontal="left" vertical="center" wrapText="1"/>
      <protection hidden="1"/>
    </xf>
    <xf numFmtId="1" fontId="7" fillId="0" borderId="13" xfId="126" applyNumberFormat="1" applyFont="1" applyBorder="1" applyAlignment="1" applyProtection="1">
      <alignment horizontal="left" vertical="center" wrapText="1"/>
      <protection hidden="1"/>
    </xf>
    <xf numFmtId="1" fontId="7" fillId="0" borderId="46" xfId="126" applyNumberFormat="1" applyFont="1" applyBorder="1" applyAlignment="1" applyProtection="1">
      <alignment horizontal="left" vertical="center" wrapText="1"/>
      <protection hidden="1"/>
    </xf>
    <xf numFmtId="1" fontId="7" fillId="0" borderId="22" xfId="126" applyNumberFormat="1" applyFont="1" applyBorder="1" applyAlignment="1" applyProtection="1">
      <alignment horizontal="left" vertical="center" wrapText="1"/>
      <protection hidden="1"/>
    </xf>
    <xf numFmtId="1" fontId="7" fillId="0" borderId="49" xfId="126" applyNumberFormat="1" applyFont="1" applyBorder="1" applyAlignment="1" applyProtection="1">
      <alignment horizontal="left" vertical="center" wrapText="1"/>
      <protection hidden="1"/>
    </xf>
    <xf numFmtId="1" fontId="7" fillId="0" borderId="86" xfId="126" applyNumberFormat="1" applyFont="1" applyBorder="1" applyAlignment="1" applyProtection="1">
      <alignment horizontal="left" vertical="center" wrapText="1"/>
      <protection hidden="1"/>
    </xf>
    <xf numFmtId="1" fontId="11" fillId="0" borderId="177" xfId="126" applyNumberFormat="1" applyFont="1" applyBorder="1" applyAlignment="1" applyProtection="1">
      <alignment horizontal="center" vertical="center" wrapText="1"/>
      <protection hidden="1"/>
    </xf>
    <xf numFmtId="1" fontId="11" fillId="0" borderId="178" xfId="126" applyNumberFormat="1" applyFont="1" applyBorder="1" applyAlignment="1" applyProtection="1">
      <alignment horizontal="center" vertical="center" wrapText="1"/>
      <protection hidden="1"/>
    </xf>
    <xf numFmtId="1" fontId="7" fillId="0" borderId="181" xfId="0" applyNumberFormat="1" applyFont="1" applyBorder="1" applyAlignment="1">
      <alignment horizontal="center" vertical="center" wrapText="1"/>
    </xf>
    <xf numFmtId="1" fontId="7" fillId="0" borderId="63" xfId="0" applyNumberFormat="1" applyFont="1" applyBorder="1" applyAlignment="1">
      <alignment horizontal="center" vertical="center" wrapText="1"/>
    </xf>
    <xf numFmtId="1" fontId="11" fillId="0" borderId="177" xfId="126" quotePrefix="1" applyNumberFormat="1" applyFont="1" applyBorder="1" applyAlignment="1" applyProtection="1">
      <alignment horizontal="center" vertical="center" wrapText="1"/>
      <protection hidden="1"/>
    </xf>
    <xf numFmtId="1" fontId="11" fillId="0" borderId="178" xfId="126" quotePrefix="1" applyNumberFormat="1" applyFont="1" applyBorder="1" applyAlignment="1" applyProtection="1">
      <alignment horizontal="center" vertical="center" wrapText="1"/>
      <protection hidden="1"/>
    </xf>
    <xf numFmtId="1" fontId="7" fillId="0" borderId="63" xfId="126" quotePrefix="1" applyNumberFormat="1" applyFont="1" applyBorder="1" applyAlignment="1" applyProtection="1">
      <alignment horizontal="center" vertical="center"/>
      <protection hidden="1"/>
    </xf>
    <xf numFmtId="1" fontId="7" fillId="0" borderId="4" xfId="126" quotePrefix="1" applyNumberFormat="1" applyFont="1" applyBorder="1" applyAlignment="1" applyProtection="1">
      <alignment horizontal="center" vertical="center"/>
      <protection hidden="1"/>
    </xf>
    <xf numFmtId="1" fontId="7" fillId="0" borderId="100" xfId="126" quotePrefix="1" applyNumberFormat="1" applyFont="1" applyBorder="1" applyAlignment="1" applyProtection="1">
      <alignment horizontal="center" vertical="center"/>
      <protection hidden="1"/>
    </xf>
    <xf numFmtId="1" fontId="29" fillId="0" borderId="45" xfId="0" applyNumberFormat="1" applyFont="1" applyBorder="1" applyAlignment="1">
      <alignment horizontal="left" vertical="center" wrapText="1"/>
    </xf>
    <xf numFmtId="1" fontId="29" fillId="0" borderId="13" xfId="0" applyNumberFormat="1" applyFont="1" applyBorder="1" applyAlignment="1">
      <alignment horizontal="left" vertical="center" wrapText="1"/>
    </xf>
    <xf numFmtId="1" fontId="29" fillId="0" borderId="46" xfId="0" applyNumberFormat="1" applyFont="1" applyBorder="1" applyAlignment="1">
      <alignment horizontal="left" wrapText="1"/>
    </xf>
    <xf numFmtId="1" fontId="29" fillId="0" borderId="22" xfId="0" applyNumberFormat="1" applyFont="1" applyBorder="1" applyAlignment="1">
      <alignment horizontal="left" wrapText="1"/>
    </xf>
    <xf numFmtId="0" fontId="29" fillId="0" borderId="15" xfId="0" applyFont="1" applyBorder="1" applyAlignment="1">
      <alignment vertical="center" wrapText="1"/>
    </xf>
    <xf numFmtId="0" fontId="29" fillId="0" borderId="27" xfId="0" applyFont="1" applyBorder="1" applyAlignment="1">
      <alignment vertical="center" wrapText="1"/>
    </xf>
    <xf numFmtId="1" fontId="29" fillId="0" borderId="180" xfId="128" quotePrefix="1" applyNumberFormat="1" applyFont="1" applyBorder="1" applyAlignment="1" applyProtection="1">
      <alignment horizontal="left" vertical="center" wrapText="1"/>
      <protection hidden="1"/>
    </xf>
    <xf numFmtId="1" fontId="29" fillId="0" borderId="6" xfId="128" quotePrefix="1" applyNumberFormat="1" applyFont="1" applyBorder="1" applyAlignment="1" applyProtection="1">
      <alignment horizontal="left" vertical="center" wrapText="1"/>
      <protection hidden="1"/>
    </xf>
    <xf numFmtId="1" fontId="29" fillId="0" borderId="137" xfId="0" applyNumberFormat="1" applyFont="1" applyBorder="1" applyAlignment="1">
      <alignment horizontal="center" vertical="center" wrapText="1"/>
    </xf>
    <xf numFmtId="0" fontId="29" fillId="20" borderId="6" xfId="0" applyFont="1" applyFill="1" applyBorder="1" applyAlignment="1">
      <alignment vertical="center" wrapText="1"/>
    </xf>
    <xf numFmtId="1" fontId="29" fillId="0" borderId="177" xfId="0" quotePrefix="1" applyNumberFormat="1" applyFont="1" applyBorder="1" applyAlignment="1">
      <alignment horizontal="center" vertical="center" wrapText="1"/>
    </xf>
    <xf numFmtId="1" fontId="29" fillId="0" borderId="184" xfId="0" applyNumberFormat="1" applyFont="1" applyBorder="1" applyAlignment="1">
      <alignment horizontal="center" vertical="center" wrapText="1"/>
    </xf>
    <xf numFmtId="1" fontId="30" fillId="0" borderId="177" xfId="125" applyNumberFormat="1" applyFont="1" applyBorder="1" applyAlignment="1" applyProtection="1">
      <alignment horizontal="left" vertical="center" wrapText="1"/>
      <protection hidden="1"/>
    </xf>
    <xf numFmtId="1" fontId="29" fillId="0" borderId="183" xfId="0" applyNumberFormat="1" applyFont="1" applyBorder="1" applyAlignment="1">
      <alignment horizontal="left" wrapText="1"/>
    </xf>
    <xf numFmtId="1" fontId="30" fillId="0" borderId="179" xfId="0" applyNumberFormat="1" applyFont="1" applyBorder="1" applyAlignment="1">
      <alignment horizontal="center" vertical="center" wrapText="1"/>
    </xf>
    <xf numFmtId="1" fontId="30" fillId="0" borderId="182" xfId="0" applyNumberFormat="1" applyFont="1" applyBorder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 wrapText="1"/>
    </xf>
    <xf numFmtId="1" fontId="30" fillId="0" borderId="66" xfId="0" applyNumberFormat="1" applyFont="1" applyBorder="1" applyAlignment="1">
      <alignment horizontal="center" vertical="center" wrapText="1"/>
    </xf>
    <xf numFmtId="1" fontId="30" fillId="0" borderId="4" xfId="0" applyNumberFormat="1" applyFont="1" applyBorder="1" applyAlignment="1">
      <alignment horizontal="center" vertical="center" wrapText="1"/>
    </xf>
    <xf numFmtId="1" fontId="30" fillId="0" borderId="14" xfId="0" applyNumberFormat="1" applyFont="1" applyBorder="1" applyAlignment="1">
      <alignment horizontal="center" vertical="center" wrapText="1"/>
    </xf>
    <xf numFmtId="0" fontId="29" fillId="0" borderId="45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1" fontId="29" fillId="0" borderId="178" xfId="0" applyNumberFormat="1" applyFont="1" applyBorder="1" applyAlignment="1">
      <alignment horizontal="left" wrapText="1"/>
    </xf>
    <xf numFmtId="1" fontId="30" fillId="0" borderId="181" xfId="125" applyNumberFormat="1" applyFont="1" applyBorder="1" applyAlignment="1" applyProtection="1">
      <alignment horizontal="left" vertical="center" wrapText="1"/>
      <protection hidden="1"/>
    </xf>
    <xf numFmtId="1" fontId="29" fillId="0" borderId="179" xfId="0" applyNumberFormat="1" applyFont="1" applyBorder="1" applyAlignment="1">
      <alignment horizontal="left" wrapText="1"/>
    </xf>
    <xf numFmtId="0" fontId="29" fillId="0" borderId="40" xfId="0" applyFont="1" applyBorder="1" applyAlignment="1">
      <alignment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46" xfId="0" applyFont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0" fontId="29" fillId="0" borderId="172" xfId="0" applyFont="1" applyBorder="1" applyAlignment="1">
      <alignment vertical="center" wrapText="1"/>
    </xf>
    <xf numFmtId="0" fontId="29" fillId="0" borderId="66" xfId="0" applyFont="1" applyBorder="1" applyAlignment="1">
      <alignment vertical="center" wrapText="1"/>
    </xf>
    <xf numFmtId="0" fontId="29" fillId="0" borderId="180" xfId="0" applyFont="1" applyBorder="1" applyAlignment="1">
      <alignment horizontal="left" vertical="center" wrapText="1"/>
    </xf>
    <xf numFmtId="0" fontId="29" fillId="0" borderId="169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1" fontId="29" fillId="0" borderId="137" xfId="112" applyNumberFormat="1" applyFont="1" applyBorder="1" applyAlignment="1" applyProtection="1">
      <alignment horizontal="center" vertical="center"/>
      <protection hidden="1"/>
    </xf>
    <xf numFmtId="0" fontId="29" fillId="0" borderId="63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1" fontId="30" fillId="0" borderId="182" xfId="125" applyNumberFormat="1" applyFont="1" applyBorder="1" applyAlignment="1" applyProtection="1">
      <alignment horizontal="left" vertical="center" wrapText="1"/>
      <protection hidden="1"/>
    </xf>
    <xf numFmtId="1" fontId="29" fillId="22" borderId="181" xfId="0" applyNumberFormat="1" applyFont="1" applyFill="1" applyBorder="1" applyAlignment="1">
      <alignment horizontal="center" vertical="center"/>
    </xf>
    <xf numFmtId="1" fontId="29" fillId="22" borderId="179" xfId="0" applyNumberFormat="1" applyFont="1" applyFill="1" applyBorder="1" applyAlignment="1">
      <alignment horizontal="center" vertical="center"/>
    </xf>
    <xf numFmtId="1" fontId="29" fillId="22" borderId="182" xfId="0" applyNumberFormat="1" applyFont="1" applyFill="1" applyBorder="1" applyAlignment="1">
      <alignment horizontal="center" vertical="center"/>
    </xf>
    <xf numFmtId="1" fontId="29" fillId="22" borderId="63" xfId="0" applyNumberFormat="1" applyFont="1" applyFill="1" applyBorder="1" applyAlignment="1">
      <alignment horizontal="center" vertical="center"/>
    </xf>
    <xf numFmtId="1" fontId="29" fillId="22" borderId="4" xfId="0" applyNumberFormat="1" applyFont="1" applyFill="1" applyBorder="1" applyAlignment="1">
      <alignment horizontal="center" vertical="center"/>
    </xf>
    <xf numFmtId="1" fontId="29" fillId="22" borderId="14" xfId="0" applyNumberFormat="1" applyFont="1" applyFill="1" applyBorder="1" applyAlignment="1">
      <alignment horizontal="center" vertical="center"/>
    </xf>
    <xf numFmtId="1" fontId="29" fillId="0" borderId="177" xfId="0" applyNumberFormat="1" applyFont="1" applyBorder="1" applyAlignment="1">
      <alignment horizontal="left" vertical="center" wrapText="1"/>
    </xf>
    <xf numFmtId="1" fontId="29" fillId="0" borderId="178" xfId="0" applyNumberFormat="1" applyFont="1" applyBorder="1" applyAlignment="1">
      <alignment horizontal="left" vertical="center" wrapText="1"/>
    </xf>
    <xf numFmtId="1" fontId="36" fillId="0" borderId="0" xfId="125" applyNumberFormat="1" applyFont="1" applyAlignment="1" applyProtection="1">
      <alignment horizontal="left" wrapText="1"/>
      <protection hidden="1"/>
    </xf>
    <xf numFmtId="1" fontId="36" fillId="0" borderId="0" xfId="125" applyNumberFormat="1" applyFont="1" applyAlignment="1" applyProtection="1">
      <alignment horizontal="left"/>
      <protection hidden="1"/>
    </xf>
    <xf numFmtId="1" fontId="29" fillId="0" borderId="180" xfId="128" applyNumberFormat="1" applyFont="1" applyBorder="1" applyAlignment="1" applyProtection="1">
      <alignment horizontal="left" vertical="center" wrapText="1"/>
      <protection hidden="1"/>
    </xf>
    <xf numFmtId="1" fontId="29" fillId="0" borderId="169" xfId="128" applyNumberFormat="1" applyFont="1" applyBorder="1" applyAlignment="1" applyProtection="1">
      <alignment horizontal="left" vertical="center" wrapText="1"/>
      <protection hidden="1"/>
    </xf>
    <xf numFmtId="1" fontId="29" fillId="0" borderId="6" xfId="128" applyNumberFormat="1" applyFont="1" applyBorder="1" applyAlignment="1" applyProtection="1">
      <alignment horizontal="left" vertical="center" wrapText="1"/>
      <protection hidden="1"/>
    </xf>
    <xf numFmtId="1" fontId="36" fillId="0" borderId="177" xfId="125" applyNumberFormat="1" applyFont="1" applyBorder="1" applyAlignment="1" applyProtection="1">
      <alignment horizontal="left" vertical="center" wrapText="1"/>
      <protection hidden="1"/>
    </xf>
    <xf numFmtId="1" fontId="36" fillId="0" borderId="183" xfId="125" applyNumberFormat="1" applyFont="1" applyBorder="1" applyAlignment="1" applyProtection="1">
      <alignment horizontal="left" vertical="center" wrapText="1"/>
      <protection hidden="1"/>
    </xf>
    <xf numFmtId="1" fontId="29" fillId="0" borderId="137" xfId="128" applyNumberFormat="1" applyFont="1" applyBorder="1" applyAlignment="1" applyProtection="1">
      <alignment horizontal="left" vertical="center" wrapText="1"/>
      <protection hidden="1"/>
    </xf>
    <xf numFmtId="1" fontId="29" fillId="0" borderId="180" xfId="0" applyNumberFormat="1" applyFont="1" applyBorder="1" applyAlignment="1">
      <alignment horizontal="left" vertical="center" wrapText="1"/>
    </xf>
    <xf numFmtId="1" fontId="29" fillId="0" borderId="46" xfId="0" applyNumberFormat="1" applyFont="1" applyBorder="1" applyAlignment="1">
      <alignment horizontal="left" vertical="center" wrapText="1"/>
    </xf>
    <xf numFmtId="1" fontId="29" fillId="0" borderId="22" xfId="0" applyNumberFormat="1" applyFont="1" applyBorder="1" applyAlignment="1">
      <alignment horizontal="left" vertical="center" wrapText="1"/>
    </xf>
    <xf numFmtId="1" fontId="29" fillId="0" borderId="49" xfId="0" applyNumberFormat="1" applyFont="1" applyBorder="1" applyAlignment="1">
      <alignment horizontal="left" vertical="center" wrapText="1"/>
    </xf>
    <xf numFmtId="1" fontId="29" fillId="0" borderId="86" xfId="0" applyNumberFormat="1" applyFont="1" applyBorder="1" applyAlignment="1">
      <alignment horizontal="left" vertical="center" wrapText="1"/>
    </xf>
    <xf numFmtId="1" fontId="29" fillId="0" borderId="182" xfId="0" applyNumberFormat="1" applyFont="1" applyBorder="1" applyAlignment="1">
      <alignment horizontal="left" vertical="center" wrapText="1"/>
    </xf>
    <xf numFmtId="1" fontId="29" fillId="0" borderId="45" xfId="0" applyNumberFormat="1" applyFont="1" applyBorder="1" applyAlignment="1">
      <alignment horizontal="left" wrapText="1"/>
    </xf>
    <xf numFmtId="1" fontId="29" fillId="0" borderId="13" xfId="0" applyNumberFormat="1" applyFont="1" applyBorder="1" applyAlignment="1">
      <alignment horizontal="left" wrapText="1"/>
    </xf>
    <xf numFmtId="1" fontId="35" fillId="0" borderId="0" xfId="125" applyNumberFormat="1" applyFont="1" applyAlignment="1" applyProtection="1">
      <alignment horizontal="center" vertical="center"/>
      <protection hidden="1"/>
    </xf>
    <xf numFmtId="1" fontId="29" fillId="0" borderId="4" xfId="0" applyNumberFormat="1" applyFont="1" applyBorder="1" applyAlignment="1">
      <alignment horizontal="center" vertical="center"/>
    </xf>
    <xf numFmtId="1" fontId="29" fillId="0" borderId="172" xfId="0" applyNumberFormat="1" applyFont="1" applyBorder="1" applyAlignment="1">
      <alignment horizontal="center" vertical="center"/>
    </xf>
    <xf numFmtId="1" fontId="29" fillId="0" borderId="66" xfId="0" applyNumberFormat="1" applyFont="1" applyBorder="1" applyAlignment="1">
      <alignment horizontal="center" vertical="center"/>
    </xf>
    <xf numFmtId="1" fontId="29" fillId="0" borderId="63" xfId="0" applyNumberFormat="1" applyFont="1" applyBorder="1" applyAlignment="1">
      <alignment horizontal="center" vertical="center"/>
    </xf>
    <xf numFmtId="1" fontId="29" fillId="0" borderId="14" xfId="0" applyNumberFormat="1" applyFont="1" applyBorder="1" applyAlignment="1">
      <alignment horizontal="center" vertical="center"/>
    </xf>
    <xf numFmtId="1" fontId="36" fillId="0" borderId="4" xfId="125" applyNumberFormat="1" applyFont="1" applyBorder="1" applyAlignment="1" applyProtection="1">
      <alignment horizontal="left"/>
      <protection hidden="1"/>
    </xf>
    <xf numFmtId="1" fontId="29" fillId="0" borderId="137" xfId="0" quotePrefix="1" applyNumberFormat="1" applyFont="1" applyBorder="1" applyAlignment="1">
      <alignment horizontal="center" vertical="center"/>
    </xf>
    <xf numFmtId="1" fontId="29" fillId="0" borderId="177" xfId="126" applyNumberFormat="1" applyFont="1" applyBorder="1" applyAlignment="1" applyProtection="1">
      <alignment horizontal="center" vertical="center"/>
      <protection hidden="1"/>
    </xf>
    <xf numFmtId="1" fontId="29" fillId="0" borderId="183" xfId="126" applyNumberFormat="1" applyFont="1" applyBorder="1" applyAlignment="1" applyProtection="1">
      <alignment horizontal="center" vertical="center"/>
      <protection hidden="1"/>
    </xf>
    <xf numFmtId="1" fontId="29" fillId="0" borderId="137" xfId="108" applyNumberFormat="1" applyFont="1" applyBorder="1" applyAlignment="1">
      <alignment horizontal="center" vertical="center" wrapText="1"/>
    </xf>
    <xf numFmtId="1" fontId="29" fillId="22" borderId="195" xfId="0" applyNumberFormat="1" applyFont="1" applyFill="1" applyBorder="1" applyAlignment="1">
      <alignment horizontal="center" vertical="center" wrapText="1"/>
    </xf>
    <xf numFmtId="1" fontId="29" fillId="22" borderId="182" xfId="0" applyNumberFormat="1" applyFont="1" applyFill="1" applyBorder="1" applyAlignment="1">
      <alignment horizontal="center" vertical="center" wrapText="1"/>
    </xf>
    <xf numFmtId="1" fontId="29" fillId="22" borderId="117" xfId="0" applyNumberFormat="1" applyFont="1" applyFill="1" applyBorder="1" applyAlignment="1">
      <alignment horizontal="center" vertical="center" wrapText="1"/>
    </xf>
    <xf numFmtId="1" fontId="29" fillId="22" borderId="14" xfId="0" applyNumberFormat="1" applyFont="1" applyFill="1" applyBorder="1" applyAlignment="1">
      <alignment horizontal="center" vertical="center" wrapText="1"/>
    </xf>
    <xf numFmtId="1" fontId="29" fillId="0" borderId="137" xfId="126" applyNumberFormat="1" applyFont="1" applyBorder="1" applyAlignment="1" applyProtection="1">
      <alignment horizontal="center" vertical="center"/>
      <protection hidden="1"/>
    </xf>
    <xf numFmtId="1" fontId="29" fillId="22" borderId="181" xfId="0" applyNumberFormat="1" applyFont="1" applyFill="1" applyBorder="1" applyAlignment="1">
      <alignment horizontal="center" vertical="center" wrapText="1"/>
    </xf>
    <xf numFmtId="1" fontId="29" fillId="22" borderId="63" xfId="0" applyNumberFormat="1" applyFont="1" applyFill="1" applyBorder="1" applyAlignment="1">
      <alignment horizontal="center" vertical="center" wrapText="1"/>
    </xf>
    <xf numFmtId="1" fontId="29" fillId="22" borderId="180" xfId="0" applyNumberFormat="1" applyFont="1" applyFill="1" applyBorder="1" applyAlignment="1">
      <alignment horizontal="center" vertical="center" wrapText="1"/>
    </xf>
    <xf numFmtId="1" fontId="29" fillId="22" borderId="169" xfId="0" applyNumberFormat="1" applyFont="1" applyFill="1" applyBorder="1" applyAlignment="1">
      <alignment horizontal="center" vertical="center" wrapText="1"/>
    </xf>
    <xf numFmtId="1" fontId="29" fillId="22" borderId="6" xfId="0" applyNumberFormat="1" applyFont="1" applyFill="1" applyBorder="1" applyAlignment="1">
      <alignment horizontal="center" vertical="center" wrapText="1"/>
    </xf>
    <xf numFmtId="1" fontId="29" fillId="0" borderId="180" xfId="125" applyNumberFormat="1" applyFont="1" applyBorder="1" applyAlignment="1" applyProtection="1">
      <alignment horizontal="center" vertical="center" wrapText="1"/>
      <protection hidden="1"/>
    </xf>
    <xf numFmtId="1" fontId="29" fillId="0" borderId="6" xfId="125" applyNumberFormat="1" applyFont="1" applyBorder="1" applyAlignment="1" applyProtection="1">
      <alignment horizontal="center" vertical="center" wrapText="1"/>
      <protection hidden="1"/>
    </xf>
    <xf numFmtId="1" fontId="29" fillId="0" borderId="0" xfId="0" applyNumberFormat="1" applyFont="1" applyAlignment="1">
      <alignment horizontal="center" vertical="center" wrapText="1"/>
    </xf>
    <xf numFmtId="1" fontId="29" fillId="22" borderId="121" xfId="0" applyNumberFormat="1" applyFont="1" applyFill="1" applyBorder="1" applyAlignment="1">
      <alignment horizontal="center" vertical="center" wrapText="1"/>
    </xf>
    <xf numFmtId="1" fontId="29" fillId="22" borderId="66" xfId="0" applyNumberFormat="1" applyFont="1" applyFill="1" applyBorder="1" applyAlignment="1">
      <alignment horizontal="center" vertical="center" wrapText="1"/>
    </xf>
    <xf numFmtId="1" fontId="29" fillId="22" borderId="179" xfId="0" applyNumberFormat="1" applyFont="1" applyFill="1" applyBorder="1" applyAlignment="1">
      <alignment horizontal="center" vertical="center" wrapText="1"/>
    </xf>
    <xf numFmtId="1" fontId="29" fillId="22" borderId="4" xfId="0" applyNumberFormat="1" applyFont="1" applyFill="1" applyBorder="1" applyAlignment="1">
      <alignment horizontal="center" vertical="center" wrapText="1"/>
    </xf>
    <xf numFmtId="1" fontId="29" fillId="22" borderId="185" xfId="0" applyNumberFormat="1" applyFont="1" applyFill="1" applyBorder="1" applyAlignment="1">
      <alignment horizontal="center" vertical="center" wrapText="1"/>
    </xf>
    <xf numFmtId="1" fontId="29" fillId="22" borderId="112" xfId="0" applyNumberFormat="1" applyFont="1" applyFill="1" applyBorder="1" applyAlignment="1">
      <alignment horizontal="center" vertical="center" wrapText="1"/>
    </xf>
    <xf numFmtId="1" fontId="15" fillId="0" borderId="0" xfId="127" applyNumberFormat="1" applyFont="1" applyAlignment="1" applyProtection="1">
      <alignment horizontal="center" vertical="center" wrapText="1"/>
      <protection hidden="1"/>
    </xf>
    <xf numFmtId="0" fontId="30" fillId="0" borderId="131" xfId="0" applyFont="1" applyBorder="1" applyAlignment="1">
      <alignment horizontal="center" vertical="center"/>
    </xf>
    <xf numFmtId="0" fontId="30" fillId="0" borderId="183" xfId="0" applyFont="1" applyBorder="1" applyAlignment="1">
      <alignment horizontal="center" vertical="center"/>
    </xf>
    <xf numFmtId="0" fontId="30" fillId="0" borderId="178" xfId="0" applyFont="1" applyBorder="1" applyAlignment="1">
      <alignment horizontal="center" vertical="center"/>
    </xf>
    <xf numFmtId="0" fontId="29" fillId="0" borderId="46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49" xfId="0" applyFont="1" applyBorder="1" applyAlignment="1">
      <alignment horizontal="left" vertical="center" wrapText="1"/>
    </xf>
    <xf numFmtId="0" fontId="29" fillId="0" borderId="8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82" xfId="0" applyFont="1" applyBorder="1" applyAlignment="1">
      <alignment horizontal="left" vertical="center" wrapText="1"/>
    </xf>
    <xf numFmtId="0" fontId="29" fillId="0" borderId="66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/>
    </xf>
    <xf numFmtId="1" fontId="5" fillId="22" borderId="183" xfId="0" applyNumberFormat="1" applyFont="1" applyFill="1" applyBorder="1" applyAlignment="1">
      <alignment horizontal="left"/>
    </xf>
    <xf numFmtId="1" fontId="29" fillId="22" borderId="177" xfId="0" applyNumberFormat="1" applyFont="1" applyFill="1" applyBorder="1" applyAlignment="1">
      <alignment horizontal="center" vertical="center" wrapText="1"/>
    </xf>
    <xf numFmtId="1" fontId="29" fillId="22" borderId="183" xfId="0" applyNumberFormat="1" applyFont="1" applyFill="1" applyBorder="1" applyAlignment="1">
      <alignment horizontal="center" vertical="center" wrapText="1"/>
    </xf>
    <xf numFmtId="1" fontId="29" fillId="22" borderId="178" xfId="0" applyNumberFormat="1" applyFont="1" applyFill="1" applyBorder="1" applyAlignment="1">
      <alignment horizontal="center" vertical="center" wrapText="1"/>
    </xf>
    <xf numFmtId="1" fontId="30" fillId="22" borderId="181" xfId="0" applyNumberFormat="1" applyFont="1" applyFill="1" applyBorder="1" applyAlignment="1">
      <alignment horizontal="center" vertical="center" wrapText="1"/>
    </xf>
    <xf numFmtId="1" fontId="30" fillId="22" borderId="182" xfId="0" applyNumberFormat="1" applyFont="1" applyFill="1" applyBorder="1" applyAlignment="1">
      <alignment horizontal="center" vertical="center" wrapText="1"/>
    </xf>
    <xf numFmtId="1" fontId="30" fillId="22" borderId="63" xfId="0" applyNumberFormat="1" applyFont="1" applyFill="1" applyBorder="1" applyAlignment="1">
      <alignment horizontal="center" vertical="center" wrapText="1"/>
    </xf>
    <xf numFmtId="1" fontId="30" fillId="22" borderId="14" xfId="0" applyNumberFormat="1" applyFont="1" applyFill="1" applyBorder="1" applyAlignment="1">
      <alignment horizontal="center" vertical="center" wrapText="1"/>
    </xf>
    <xf numFmtId="1" fontId="35" fillId="22" borderId="0" xfId="0" applyNumberFormat="1" applyFont="1" applyFill="1" applyAlignment="1">
      <alignment horizontal="center" vertical="center"/>
    </xf>
    <xf numFmtId="1" fontId="36" fillId="22" borderId="4" xfId="125" applyNumberFormat="1" applyFont="1" applyFill="1" applyBorder="1" applyAlignment="1">
      <alignment horizontal="left" vertical="center"/>
    </xf>
    <xf numFmtId="1" fontId="36" fillId="22" borderId="183" xfId="125" applyNumberFormat="1" applyFont="1" applyFill="1" applyBorder="1" applyAlignment="1">
      <alignment horizontal="left" vertical="center"/>
    </xf>
    <xf numFmtId="1" fontId="29" fillId="22" borderId="46" xfId="0" applyNumberFormat="1" applyFont="1" applyFill="1" applyBorder="1" applyAlignment="1">
      <alignment horizontal="left" wrapText="1"/>
    </xf>
    <xf numFmtId="1" fontId="29" fillId="22" borderId="22" xfId="0" applyNumberFormat="1" applyFont="1" applyFill="1" applyBorder="1" applyAlignment="1">
      <alignment horizontal="left" wrapText="1"/>
    </xf>
    <xf numFmtId="1" fontId="29" fillId="0" borderId="137" xfId="125" applyNumberFormat="1" applyFont="1" applyBorder="1" applyAlignment="1" applyProtection="1">
      <alignment horizontal="center" vertical="center" wrapText="1"/>
      <protection hidden="1"/>
    </xf>
    <xf numFmtId="1" fontId="29" fillId="0" borderId="177" xfId="125" applyNumberFormat="1" applyFont="1" applyBorder="1" applyAlignment="1" applyProtection="1">
      <alignment horizontal="left" vertical="center" wrapText="1"/>
      <protection hidden="1"/>
    </xf>
    <xf numFmtId="1" fontId="29" fillId="0" borderId="178" xfId="125" applyNumberFormat="1" applyFont="1" applyBorder="1" applyAlignment="1" applyProtection="1">
      <alignment horizontal="left" vertical="center" wrapText="1"/>
      <protection hidden="1"/>
    </xf>
    <xf numFmtId="1" fontId="30" fillId="0" borderId="181" xfId="0" applyNumberFormat="1" applyFont="1" applyBorder="1" applyAlignment="1">
      <alignment horizontal="center" vertical="center"/>
    </xf>
    <xf numFmtId="1" fontId="30" fillId="0" borderId="182" xfId="0" applyNumberFormat="1" applyFont="1" applyBorder="1" applyAlignment="1">
      <alignment horizontal="center" vertical="center"/>
    </xf>
    <xf numFmtId="1" fontId="30" fillId="0" borderId="63" xfId="0" applyNumberFormat="1" applyFont="1" applyBorder="1" applyAlignment="1">
      <alignment horizontal="center" vertical="center"/>
    </xf>
    <xf numFmtId="1" fontId="30" fillId="0" borderId="14" xfId="0" applyNumberFormat="1" applyFont="1" applyBorder="1" applyAlignment="1">
      <alignment horizontal="center" vertical="center"/>
    </xf>
    <xf numFmtId="1" fontId="29" fillId="0" borderId="190" xfId="125" applyNumberFormat="1" applyFont="1" applyBorder="1" applyAlignment="1" applyProtection="1">
      <alignment horizontal="center" vertical="center" wrapText="1"/>
      <protection hidden="1"/>
    </xf>
    <xf numFmtId="1" fontId="29" fillId="0" borderId="177" xfId="125" applyNumberFormat="1" applyFont="1" applyBorder="1" applyAlignment="1" applyProtection="1">
      <alignment horizontal="center" vertical="center" wrapText="1"/>
      <protection hidden="1"/>
    </xf>
    <xf numFmtId="1" fontId="29" fillId="0" borderId="183" xfId="125" applyNumberFormat="1" applyFont="1" applyBorder="1" applyAlignment="1" applyProtection="1">
      <alignment horizontal="center" vertical="center" wrapText="1"/>
      <protection hidden="1"/>
    </xf>
    <xf numFmtId="1" fontId="29" fillId="0" borderId="178" xfId="125" applyNumberFormat="1" applyFont="1" applyBorder="1" applyAlignment="1" applyProtection="1">
      <alignment horizontal="center" vertical="center" wrapText="1"/>
      <protection hidden="1"/>
    </xf>
    <xf numFmtId="1" fontId="29" fillId="22" borderId="184" xfId="0" applyNumberFormat="1" applyFont="1" applyFill="1" applyBorder="1" applyAlignment="1">
      <alignment horizontal="center" vertical="center" wrapText="1"/>
    </xf>
    <xf numFmtId="1" fontId="30" fillId="22" borderId="180" xfId="0" applyNumberFormat="1" applyFont="1" applyFill="1" applyBorder="1" applyAlignment="1">
      <alignment horizontal="center" vertical="center" wrapText="1"/>
    </xf>
    <xf numFmtId="1" fontId="30" fillId="22" borderId="6" xfId="0" applyNumberFormat="1" applyFont="1" applyFill="1" applyBorder="1" applyAlignment="1">
      <alignment horizontal="center" vertical="center" wrapText="1"/>
    </xf>
    <xf numFmtId="1" fontId="29" fillId="22" borderId="84" xfId="0" applyNumberFormat="1" applyFont="1" applyFill="1" applyBorder="1" applyAlignment="1">
      <alignment horizontal="center" vertical="center" wrapText="1"/>
    </xf>
    <xf numFmtId="1" fontId="29" fillId="0" borderId="184" xfId="125" applyNumberFormat="1" applyFont="1" applyBorder="1" applyAlignment="1" applyProtection="1">
      <alignment horizontal="center" vertical="center" wrapText="1"/>
      <protection hidden="1"/>
    </xf>
    <xf numFmtId="1" fontId="29" fillId="0" borderId="84" xfId="125" applyNumberFormat="1" applyFont="1" applyBorder="1" applyAlignment="1" applyProtection="1">
      <alignment horizontal="center" vertical="center" wrapText="1"/>
      <protection hidden="1"/>
    </xf>
    <xf numFmtId="1" fontId="29" fillId="22" borderId="192" xfId="0" applyNumberFormat="1" applyFont="1" applyFill="1" applyBorder="1" applyAlignment="1">
      <alignment horizontal="center" vertical="center" wrapText="1"/>
    </xf>
    <xf numFmtId="1" fontId="29" fillId="22" borderId="49" xfId="0" applyNumberFormat="1" applyFont="1" applyFill="1" applyBorder="1" applyAlignment="1">
      <alignment horizontal="left" wrapText="1"/>
    </xf>
    <xf numFmtId="1" fontId="29" fillId="22" borderId="86" xfId="0" applyNumberFormat="1" applyFont="1" applyFill="1" applyBorder="1" applyAlignment="1">
      <alignment horizontal="left" wrapText="1"/>
    </xf>
    <xf numFmtId="1" fontId="29" fillId="22" borderId="45" xfId="0" applyNumberFormat="1" applyFont="1" applyFill="1" applyBorder="1" applyAlignment="1">
      <alignment horizontal="left" wrapText="1"/>
    </xf>
    <xf numFmtId="1" fontId="29" fillId="22" borderId="13" xfId="0" applyNumberFormat="1" applyFont="1" applyFill="1" applyBorder="1" applyAlignment="1">
      <alignment horizontal="left" wrapText="1"/>
    </xf>
    <xf numFmtId="1" fontId="29" fillId="0" borderId="181" xfId="125" applyNumberFormat="1" applyFont="1" applyBorder="1" applyAlignment="1" applyProtection="1">
      <alignment horizontal="center" vertical="center" wrapText="1"/>
      <protection hidden="1"/>
    </xf>
    <xf numFmtId="1" fontId="29" fillId="0" borderId="179" xfId="125" applyNumberFormat="1" applyFont="1" applyBorder="1" applyAlignment="1" applyProtection="1">
      <alignment horizontal="center" vertical="center" wrapText="1"/>
      <protection hidden="1"/>
    </xf>
    <xf numFmtId="1" fontId="29" fillId="0" borderId="182" xfId="125" applyNumberFormat="1" applyFont="1" applyBorder="1" applyAlignment="1" applyProtection="1">
      <alignment horizontal="center" vertical="center" wrapText="1"/>
      <protection hidden="1"/>
    </xf>
    <xf numFmtId="1" fontId="29" fillId="0" borderId="172" xfId="125" applyNumberFormat="1" applyFont="1" applyBorder="1" applyAlignment="1" applyProtection="1">
      <alignment horizontal="center" vertical="center" wrapText="1"/>
      <protection hidden="1"/>
    </xf>
    <xf numFmtId="1" fontId="29" fillId="0" borderId="0" xfId="125" applyNumberFormat="1" applyFont="1" applyAlignment="1" applyProtection="1">
      <alignment horizontal="center" vertical="center" wrapText="1"/>
      <protection hidden="1"/>
    </xf>
    <xf numFmtId="1" fontId="29" fillId="0" borderId="66" xfId="125" applyNumberFormat="1" applyFont="1" applyBorder="1" applyAlignment="1" applyProtection="1">
      <alignment horizontal="center" vertical="center" wrapText="1"/>
      <protection hidden="1"/>
    </xf>
    <xf numFmtId="1" fontId="29" fillId="22" borderId="0" xfId="0" applyNumberFormat="1" applyFont="1" applyFill="1" applyAlignment="1">
      <alignment horizontal="center" vertical="center" wrapText="1"/>
    </xf>
    <xf numFmtId="1" fontId="29" fillId="22" borderId="172" xfId="0" applyNumberFormat="1" applyFont="1" applyFill="1" applyBorder="1" applyAlignment="1">
      <alignment horizontal="center" vertical="center" wrapText="1"/>
    </xf>
    <xf numFmtId="1" fontId="29" fillId="22" borderId="114" xfId="0" applyNumberFormat="1" applyFont="1" applyFill="1" applyBorder="1" applyAlignment="1">
      <alignment horizontal="center" vertical="center" wrapText="1"/>
    </xf>
    <xf numFmtId="1" fontId="29" fillId="22" borderId="100" xfId="0" applyNumberFormat="1" applyFont="1" applyFill="1" applyBorder="1" applyAlignment="1">
      <alignment horizontal="center" vertical="center" wrapText="1"/>
    </xf>
    <xf numFmtId="1" fontId="29" fillId="22" borderId="49" xfId="0" applyNumberFormat="1" applyFont="1" applyFill="1" applyBorder="1" applyAlignment="1">
      <alignment horizontal="left"/>
    </xf>
    <xf numFmtId="1" fontId="29" fillId="22" borderId="86" xfId="0" applyNumberFormat="1" applyFont="1" applyFill="1" applyBorder="1" applyAlignment="1">
      <alignment horizontal="left"/>
    </xf>
    <xf numFmtId="1" fontId="30" fillId="22" borderId="172" xfId="0" applyNumberFormat="1" applyFont="1" applyFill="1" applyBorder="1" applyAlignment="1">
      <alignment horizontal="center" vertical="center" wrapText="1"/>
    </xf>
    <xf numFmtId="1" fontId="30" fillId="22" borderId="66" xfId="0" applyNumberFormat="1" applyFont="1" applyFill="1" applyBorder="1" applyAlignment="1">
      <alignment horizontal="center" vertical="center" wrapText="1"/>
    </xf>
    <xf numFmtId="1" fontId="30" fillId="22" borderId="137" xfId="0" applyNumberFormat="1" applyFont="1" applyFill="1" applyBorder="1" applyAlignment="1">
      <alignment horizontal="center" vertical="center" wrapText="1"/>
    </xf>
    <xf numFmtId="1" fontId="30" fillId="0" borderId="181" xfId="125" applyNumberFormat="1" applyFont="1" applyBorder="1" applyAlignment="1" applyProtection="1">
      <alignment horizontal="center" vertical="center" wrapText="1"/>
      <protection hidden="1"/>
    </xf>
    <xf numFmtId="1" fontId="30" fillId="0" borderId="182" xfId="125" applyNumberFormat="1" applyFont="1" applyBorder="1" applyAlignment="1" applyProtection="1">
      <alignment horizontal="center" vertical="center" wrapText="1"/>
      <protection hidden="1"/>
    </xf>
    <xf numFmtId="1" fontId="30" fillId="0" borderId="63" xfId="125" applyNumberFormat="1" applyFont="1" applyBorder="1" applyAlignment="1" applyProtection="1">
      <alignment horizontal="center" vertical="center" wrapText="1"/>
      <protection hidden="1"/>
    </xf>
    <xf numFmtId="1" fontId="30" fillId="0" borderId="14" xfId="125" applyNumberFormat="1" applyFont="1" applyBorder="1" applyAlignment="1" applyProtection="1">
      <alignment horizontal="center" vertical="center" wrapText="1"/>
      <protection hidden="1"/>
    </xf>
    <xf numFmtId="1" fontId="15" fillId="17" borderId="0" xfId="126" applyNumberFormat="1" applyFont="1" applyFill="1" applyAlignment="1" applyProtection="1">
      <alignment horizontal="center" vertical="center" wrapText="1"/>
      <protection hidden="1"/>
    </xf>
    <xf numFmtId="1" fontId="5" fillId="17" borderId="183" xfId="126" applyNumberFormat="1" applyFont="1" applyFill="1" applyBorder="1" applyAlignment="1" applyProtection="1">
      <alignment horizontal="left"/>
      <protection hidden="1"/>
    </xf>
    <xf numFmtId="1" fontId="5" fillId="17" borderId="200" xfId="126" applyNumberFormat="1" applyFont="1" applyFill="1" applyBorder="1" applyAlignment="1" applyProtection="1">
      <alignment horizontal="left"/>
      <protection hidden="1"/>
    </xf>
    <xf numFmtId="1" fontId="5" fillId="17" borderId="4" xfId="126" applyNumberFormat="1" applyFont="1" applyFill="1" applyBorder="1" applyAlignment="1" applyProtection="1">
      <alignment horizontal="left"/>
      <protection hidden="1"/>
    </xf>
    <xf numFmtId="1" fontId="29" fillId="0" borderId="203" xfId="0" applyNumberFormat="1" applyFont="1" applyBorder="1" applyAlignment="1">
      <alignment horizontal="center" vertical="center" wrapText="1"/>
    </xf>
    <xf numFmtId="1" fontId="29" fillId="0" borderId="65" xfId="0" applyNumberFormat="1" applyFont="1" applyBorder="1" applyAlignment="1">
      <alignment horizontal="center" vertical="center" wrapText="1"/>
    </xf>
    <xf numFmtId="1" fontId="7" fillId="17" borderId="177" xfId="108" applyNumberFormat="1" applyFont="1" applyFill="1" applyBorder="1" applyAlignment="1">
      <alignment horizontal="center" vertical="center" wrapText="1"/>
    </xf>
    <xf numFmtId="1" fontId="7" fillId="17" borderId="183" xfId="108" applyNumberFormat="1" applyFont="1" applyFill="1" applyBorder="1" applyAlignment="1">
      <alignment horizontal="center" vertical="center" wrapText="1"/>
    </xf>
    <xf numFmtId="1" fontId="7" fillId="0" borderId="183" xfId="0" applyNumberFormat="1" applyFont="1" applyBorder="1" applyAlignment="1">
      <alignment horizontal="center" vertical="center" wrapText="1"/>
    </xf>
    <xf numFmtId="1" fontId="29" fillId="0" borderId="191" xfId="0" applyNumberFormat="1" applyFont="1" applyBorder="1" applyAlignment="1">
      <alignment horizontal="center" vertical="center" wrapText="1"/>
    </xf>
    <xf numFmtId="1" fontId="29" fillId="0" borderId="90" xfId="0" applyNumberFormat="1" applyFont="1" applyBorder="1" applyAlignment="1">
      <alignment horizontal="center" vertical="center" wrapText="1"/>
    </xf>
    <xf numFmtId="1" fontId="7" fillId="17" borderId="178" xfId="108" applyNumberFormat="1" applyFont="1" applyFill="1" applyBorder="1" applyAlignment="1">
      <alignment horizontal="center" vertical="center" wrapText="1"/>
    </xf>
    <xf numFmtId="1" fontId="7" fillId="0" borderId="191" xfId="0" applyNumberFormat="1" applyFont="1" applyBorder="1" applyAlignment="1">
      <alignment horizontal="center" vertical="center" wrapText="1"/>
    </xf>
    <xf numFmtId="1" fontId="7" fillId="0" borderId="90" xfId="0" applyNumberFormat="1" applyFont="1" applyBorder="1" applyAlignment="1">
      <alignment horizontal="center" vertical="center" wrapText="1"/>
    </xf>
    <xf numFmtId="1" fontId="7" fillId="0" borderId="89" xfId="0" applyNumberFormat="1" applyFont="1" applyBorder="1" applyAlignment="1">
      <alignment horizontal="center" vertical="center" wrapText="1"/>
    </xf>
    <xf numFmtId="1" fontId="7" fillId="0" borderId="66" xfId="0" applyNumberFormat="1" applyFont="1" applyBorder="1" applyAlignment="1">
      <alignment horizontal="center" vertical="center" wrapText="1"/>
    </xf>
    <xf numFmtId="1" fontId="7" fillId="0" borderId="189" xfId="0" applyNumberFormat="1" applyFont="1" applyBorder="1" applyAlignment="1">
      <alignment horizontal="center" vertical="center" wrapText="1"/>
    </xf>
    <xf numFmtId="1" fontId="7" fillId="0" borderId="80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184" xfId="0" applyNumberFormat="1" applyFont="1" applyBorder="1" applyAlignment="1">
      <alignment horizontal="center" vertical="center" wrapText="1"/>
    </xf>
    <xf numFmtId="1" fontId="7" fillId="0" borderId="177" xfId="0" quotePrefix="1" applyNumberFormat="1" applyFont="1" applyBorder="1" applyAlignment="1">
      <alignment horizontal="center" vertical="center"/>
    </xf>
    <xf numFmtId="1" fontId="7" fillId="0" borderId="183" xfId="0" applyNumberFormat="1" applyFont="1" applyBorder="1" applyAlignment="1">
      <alignment horizontal="center" vertical="center"/>
    </xf>
    <xf numFmtId="1" fontId="7" fillId="0" borderId="184" xfId="0" applyNumberFormat="1" applyFont="1" applyBorder="1" applyAlignment="1">
      <alignment horizontal="center" vertical="center"/>
    </xf>
    <xf numFmtId="1" fontId="7" fillId="17" borderId="181" xfId="108" applyNumberFormat="1" applyFont="1" applyFill="1" applyBorder="1" applyAlignment="1">
      <alignment horizontal="center" vertical="center" wrapText="1"/>
    </xf>
    <xf numFmtId="1" fontId="7" fillId="17" borderId="179" xfId="108" applyNumberFormat="1" applyFont="1" applyFill="1" applyBorder="1" applyAlignment="1">
      <alignment horizontal="center" vertical="center" wrapText="1"/>
    </xf>
    <xf numFmtId="1" fontId="7" fillId="17" borderId="182" xfId="108" applyNumberFormat="1" applyFont="1" applyFill="1" applyBorder="1" applyAlignment="1">
      <alignment horizontal="center" vertical="center" wrapText="1"/>
    </xf>
    <xf numFmtId="1" fontId="7" fillId="17" borderId="63" xfId="108" applyNumberFormat="1" applyFont="1" applyFill="1" applyBorder="1" applyAlignment="1">
      <alignment horizontal="center" vertical="center" wrapText="1"/>
    </xf>
    <xf numFmtId="1" fontId="7" fillId="17" borderId="4" xfId="108" applyNumberFormat="1" applyFont="1" applyFill="1" applyBorder="1" applyAlignment="1">
      <alignment horizontal="center" vertical="center" wrapText="1"/>
    </xf>
    <xf numFmtId="1" fontId="7" fillId="17" borderId="14" xfId="108" applyNumberFormat="1" applyFont="1" applyFill="1" applyBorder="1" applyAlignment="1">
      <alignment horizontal="center" vertical="center" wrapText="1"/>
    </xf>
    <xf numFmtId="1" fontId="11" fillId="17" borderId="137" xfId="108" applyNumberFormat="1" applyFont="1" applyFill="1" applyBorder="1" applyAlignment="1">
      <alignment horizontal="center" vertical="center" wrapText="1"/>
    </xf>
    <xf numFmtId="1" fontId="7" fillId="17" borderId="169" xfId="122" applyNumberFormat="1" applyFont="1" applyFill="1" applyBorder="1" applyAlignment="1">
      <alignment horizontal="left" vertical="center"/>
    </xf>
    <xf numFmtId="1" fontId="7" fillId="17" borderId="6" xfId="122" applyNumberFormat="1" applyFont="1" applyFill="1" applyBorder="1" applyAlignment="1">
      <alignment horizontal="left" vertical="center"/>
    </xf>
    <xf numFmtId="1" fontId="7" fillId="0" borderId="177" xfId="0" quotePrefix="1" applyNumberFormat="1" applyFont="1" applyBorder="1" applyAlignment="1">
      <alignment horizontal="center" vertical="center" wrapText="1"/>
    </xf>
    <xf numFmtId="1" fontId="7" fillId="0" borderId="178" xfId="0" quotePrefix="1" applyNumberFormat="1" applyFont="1" applyBorder="1" applyAlignment="1">
      <alignment horizontal="center" vertical="center" wrapText="1"/>
    </xf>
    <xf numFmtId="1" fontId="7" fillId="17" borderId="180" xfId="122" applyNumberFormat="1" applyFont="1" applyFill="1" applyBorder="1" applyAlignment="1">
      <alignment horizontal="left" vertical="center"/>
    </xf>
    <xf numFmtId="1" fontId="11" fillId="17" borderId="179" xfId="108" applyNumberFormat="1" applyFont="1" applyFill="1" applyBorder="1" applyAlignment="1">
      <alignment horizontal="center" vertical="center" wrapText="1"/>
    </xf>
    <xf numFmtId="1" fontId="11" fillId="17" borderId="182" xfId="108" applyNumberFormat="1" applyFont="1" applyFill="1" applyBorder="1" applyAlignment="1">
      <alignment horizontal="center" vertical="center" wrapText="1"/>
    </xf>
    <xf numFmtId="1" fontId="11" fillId="17" borderId="0" xfId="108" applyNumberFormat="1" applyFont="1" applyFill="1" applyAlignment="1">
      <alignment horizontal="center" vertical="center" wrapText="1"/>
    </xf>
    <xf numFmtId="1" fontId="11" fillId="17" borderId="66" xfId="108" applyNumberFormat="1" applyFont="1" applyFill="1" applyBorder="1" applyAlignment="1">
      <alignment horizontal="center" vertical="center" wrapText="1"/>
    </xf>
    <xf numFmtId="1" fontId="11" fillId="17" borderId="4" xfId="108" applyNumberFormat="1" applyFont="1" applyFill="1" applyBorder="1" applyAlignment="1">
      <alignment horizontal="center" vertical="center" wrapText="1"/>
    </xf>
    <xf numFmtId="1" fontId="11" fillId="17" borderId="14" xfId="108" applyNumberFormat="1" applyFont="1" applyFill="1" applyBorder="1" applyAlignment="1">
      <alignment horizontal="center" vertical="center" wrapText="1"/>
    </xf>
    <xf numFmtId="1" fontId="7" fillId="0" borderId="172" xfId="0" applyNumberFormat="1" applyFont="1" applyBorder="1" applyAlignment="1">
      <alignment horizontal="center" vertical="center" wrapText="1"/>
    </xf>
    <xf numFmtId="1" fontId="5" fillId="0" borderId="179" xfId="129" applyNumberFormat="1" applyFont="1" applyBorder="1" applyAlignment="1" applyProtection="1">
      <alignment horizontal="left"/>
    </xf>
    <xf numFmtId="1" fontId="5" fillId="0" borderId="0" xfId="129" applyNumberFormat="1" applyFont="1" applyAlignment="1" applyProtection="1">
      <alignment horizontal="left"/>
    </xf>
    <xf numFmtId="1" fontId="5" fillId="0" borderId="0" xfId="129" applyNumberFormat="1" applyFont="1" applyBorder="1" applyAlignment="1" applyProtection="1">
      <alignment horizontal="left"/>
    </xf>
    <xf numFmtId="1" fontId="7" fillId="0" borderId="0" xfId="108" applyNumberFormat="1" applyFont="1" applyAlignment="1">
      <alignment horizontal="center" vertical="center" wrapText="1"/>
    </xf>
    <xf numFmtId="1" fontId="7" fillId="0" borderId="179" xfId="129" applyNumberFormat="1" applyFont="1" applyBorder="1" applyAlignment="1" applyProtection="1">
      <alignment horizontal="left"/>
    </xf>
    <xf numFmtId="1" fontId="5" fillId="0" borderId="0" xfId="129" applyNumberFormat="1" applyFont="1" applyAlignment="1" applyProtection="1">
      <alignment horizontal="left" vertical="center"/>
    </xf>
    <xf numFmtId="1" fontId="5" fillId="0" borderId="4" xfId="129" applyNumberFormat="1" applyFont="1" applyBorder="1" applyAlignment="1" applyProtection="1">
      <alignment horizontal="left" vertical="center"/>
    </xf>
    <xf numFmtId="1" fontId="15" fillId="0" borderId="0" xfId="129" applyNumberFormat="1" applyFont="1" applyBorder="1" applyAlignment="1" applyProtection="1">
      <alignment horizontal="center" vertical="center" wrapText="1"/>
      <protection hidden="1"/>
    </xf>
    <xf numFmtId="1" fontId="35" fillId="0" borderId="0" xfId="127" applyNumberFormat="1" applyFont="1" applyAlignment="1" applyProtection="1">
      <alignment horizontal="center" vertical="center" wrapText="1"/>
      <protection hidden="1"/>
    </xf>
    <xf numFmtId="0" fontId="29" fillId="0" borderId="175" xfId="0" applyFont="1" applyBorder="1" applyAlignment="1">
      <alignment horizontal="center" vertical="center"/>
    </xf>
    <xf numFmtId="0" fontId="29" fillId="0" borderId="184" xfId="0" applyFont="1" applyBorder="1" applyAlignment="1">
      <alignment horizontal="center" vertical="center"/>
    </xf>
    <xf numFmtId="0" fontId="30" fillId="0" borderId="137" xfId="0" applyFont="1" applyBorder="1" applyAlignment="1">
      <alignment horizontal="center" vertical="center" wrapText="1"/>
    </xf>
    <xf numFmtId="0" fontId="29" fillId="0" borderId="181" xfId="0" applyFont="1" applyBorder="1" applyAlignment="1">
      <alignment horizontal="center" vertical="center"/>
    </xf>
    <xf numFmtId="0" fontId="29" fillId="0" borderId="179" xfId="0" applyFont="1" applyBorder="1" applyAlignment="1">
      <alignment horizontal="center" vertical="center"/>
    </xf>
    <xf numFmtId="0" fontId="29" fillId="0" borderId="182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77" xfId="0" quotePrefix="1" applyFont="1" applyBorder="1" applyAlignment="1">
      <alignment horizontal="center"/>
    </xf>
    <xf numFmtId="0" fontId="29" fillId="0" borderId="183" xfId="0" applyFont="1" applyBorder="1" applyAlignment="1">
      <alignment horizontal="center"/>
    </xf>
    <xf numFmtId="0" fontId="29" fillId="0" borderId="184" xfId="0" applyFont="1" applyBorder="1" applyAlignment="1">
      <alignment horizontal="center"/>
    </xf>
    <xf numFmtId="0" fontId="29" fillId="0" borderId="66" xfId="0" applyFont="1" applyBorder="1" applyAlignment="1">
      <alignment horizontal="center" vertical="center"/>
    </xf>
    <xf numFmtId="1" fontId="29" fillId="0" borderId="172" xfId="0" applyNumberFormat="1" applyFont="1" applyBorder="1" applyAlignment="1">
      <alignment horizontal="center" vertical="center" wrapText="1"/>
    </xf>
    <xf numFmtId="0" fontId="20" fillId="0" borderId="177" xfId="0" applyFont="1" applyBorder="1" applyAlignment="1" applyProtection="1">
      <alignment horizontal="center" vertical="center"/>
      <protection hidden="1"/>
    </xf>
    <xf numFmtId="0" fontId="20" fillId="0" borderId="183" xfId="0" applyFont="1" applyBorder="1" applyAlignment="1" applyProtection="1">
      <alignment horizontal="center" vertical="center"/>
      <protection hidden="1"/>
    </xf>
    <xf numFmtId="0" fontId="20" fillId="0" borderId="175" xfId="0" applyFont="1" applyBorder="1" applyAlignment="1" applyProtection="1">
      <alignment horizontal="center" vertical="center"/>
      <protection hidden="1"/>
    </xf>
    <xf numFmtId="0" fontId="24" fillId="16" borderId="122" xfId="0" applyFont="1" applyFill="1" applyBorder="1" applyAlignment="1">
      <alignment horizontal="center" vertical="center" wrapText="1"/>
    </xf>
    <xf numFmtId="0" fontId="24" fillId="16" borderId="123" xfId="0" applyFont="1" applyFill="1" applyBorder="1" applyAlignment="1">
      <alignment horizontal="center" vertical="center" wrapText="1"/>
    </xf>
    <xf numFmtId="0" fontId="24" fillId="16" borderId="124" xfId="0" applyFont="1" applyFill="1" applyBorder="1" applyAlignment="1">
      <alignment horizontal="center" vertical="center" wrapText="1"/>
    </xf>
    <xf numFmtId="0" fontId="25" fillId="16" borderId="125" xfId="0" applyFont="1" applyFill="1" applyBorder="1" applyAlignment="1">
      <alignment horizontal="center" vertical="center" wrapText="1"/>
    </xf>
    <xf numFmtId="0" fontId="25" fillId="16" borderId="126" xfId="0" applyFont="1" applyFill="1" applyBorder="1" applyAlignment="1">
      <alignment horizontal="center" vertical="center" wrapText="1"/>
    </xf>
    <xf numFmtId="0" fontId="25" fillId="16" borderId="127" xfId="0" applyFont="1" applyFill="1" applyBorder="1" applyAlignment="1">
      <alignment horizontal="center" vertical="center" wrapText="1"/>
    </xf>
    <xf numFmtId="0" fontId="25" fillId="16" borderId="128" xfId="0" applyFont="1" applyFill="1" applyBorder="1" applyAlignment="1">
      <alignment horizontal="center" vertical="center" wrapText="1"/>
    </xf>
    <xf numFmtId="0" fontId="25" fillId="16" borderId="129" xfId="0" applyFont="1" applyFill="1" applyBorder="1" applyAlignment="1">
      <alignment horizontal="center" vertical="center" wrapText="1"/>
    </xf>
    <xf numFmtId="0" fontId="25" fillId="16" borderId="130" xfId="0" applyFont="1" applyFill="1" applyBorder="1" applyAlignment="1">
      <alignment horizontal="center" vertical="center" wrapText="1"/>
    </xf>
  </cellXfs>
  <cellStyles count="180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Escribir" xfId="13" xr:uid="{00000000-0005-0000-0000-00000C000000}"/>
    <cellStyle name="Escribir 2" xfId="14" xr:uid="{00000000-0005-0000-0000-00000D000000}"/>
    <cellStyle name="Escribir 2 11" xfId="138" xr:uid="{00000000-0005-0000-0000-00000E000000}"/>
    <cellStyle name="Escribir 2 11 2" xfId="156" xr:uid="{00000000-0005-0000-0000-00000F000000}"/>
    <cellStyle name="Escribir 2 11 3" xfId="171" xr:uid="{82E5F8E5-516B-4309-9402-9EC0A7CEC477}"/>
    <cellStyle name="Escribir 2 2" xfId="15" xr:uid="{00000000-0005-0000-0000-000010000000}"/>
    <cellStyle name="Escribir 2 2 2" xfId="141" xr:uid="{00000000-0005-0000-0000-000011000000}"/>
    <cellStyle name="Escribir 2 2 3" xfId="158" xr:uid="{828FFF4A-C895-422E-A5EA-B386259B9445}"/>
    <cellStyle name="Escribir 2 3" xfId="16" xr:uid="{00000000-0005-0000-0000-000012000000}"/>
    <cellStyle name="Escribir 2 3 2" xfId="142" xr:uid="{00000000-0005-0000-0000-000013000000}"/>
    <cellStyle name="Escribir 2 3 3" xfId="159" xr:uid="{76F3F035-936F-4E7C-93D2-AF4F3B0E21D6}"/>
    <cellStyle name="Escribir 2 4" xfId="17" xr:uid="{00000000-0005-0000-0000-000014000000}"/>
    <cellStyle name="Escribir 2 4 2" xfId="143" xr:uid="{00000000-0005-0000-0000-000015000000}"/>
    <cellStyle name="Escribir 2 4 3" xfId="160" xr:uid="{52706C6B-944D-4E21-8F63-2BE0A95F1480}"/>
    <cellStyle name="Escribir 2 5" xfId="18" xr:uid="{00000000-0005-0000-0000-000016000000}"/>
    <cellStyle name="Escribir 2 5 2" xfId="144" xr:uid="{00000000-0005-0000-0000-000017000000}"/>
    <cellStyle name="Escribir 2 5 3" xfId="161" xr:uid="{C12F8D6D-FF65-44A9-830F-589746592853}"/>
    <cellStyle name="Escribir 2 6" xfId="137" xr:uid="{00000000-0005-0000-0000-000018000000}"/>
    <cellStyle name="Escribir 2 6 2" xfId="155" xr:uid="{00000000-0005-0000-0000-000019000000}"/>
    <cellStyle name="Escribir 2 6 3" xfId="170" xr:uid="{EED9E623-8BF8-4B53-869D-8AE9652B2478}"/>
    <cellStyle name="Escribir 2 6 4" xfId="173" xr:uid="{AF92B554-EC9C-476D-BF23-F32130E16327}"/>
    <cellStyle name="Escribir 2 6 5" xfId="176" xr:uid="{6A54C4AE-D38B-40D5-92D7-D89915989BC8}"/>
    <cellStyle name="Escribir 2 7" xfId="140" xr:uid="{00000000-0005-0000-0000-00001A000000}"/>
    <cellStyle name="Escribir 2 8" xfId="175" xr:uid="{21325D11-6E36-4E46-A619-F7E04FEA1A47}"/>
    <cellStyle name="Escribir 2 9" xfId="177" xr:uid="{AE17D659-2685-49D4-A177-AF164495C9A4}"/>
    <cellStyle name="Escribir 2_NOMBRE" xfId="19" xr:uid="{00000000-0005-0000-0000-00001B000000}"/>
    <cellStyle name="Escribir 3" xfId="20" xr:uid="{00000000-0005-0000-0000-00001C000000}"/>
    <cellStyle name="Escribir 3 2" xfId="21" xr:uid="{00000000-0005-0000-0000-00001D000000}"/>
    <cellStyle name="Escribir 3 2 2" xfId="146" xr:uid="{00000000-0005-0000-0000-00001E000000}"/>
    <cellStyle name="Escribir 3 2 3" xfId="163" xr:uid="{DDA2B04F-F698-4F04-AC83-C8AFDEC17734}"/>
    <cellStyle name="Escribir 3 3" xfId="145" xr:uid="{00000000-0005-0000-0000-00001F000000}"/>
    <cellStyle name="Escribir 3 4" xfId="162" xr:uid="{49F95E0D-2C3F-4B7C-AF8D-F1A0441BE6F0}"/>
    <cellStyle name="Escribir 4" xfId="22" xr:uid="{00000000-0005-0000-0000-000020000000}"/>
    <cellStyle name="Escribir 4 2" xfId="147" xr:uid="{00000000-0005-0000-0000-000021000000}"/>
    <cellStyle name="Escribir 4 3" xfId="164" xr:uid="{610532D5-8A76-42D7-B733-E123716BBE09}"/>
    <cellStyle name="Escribir 5" xfId="23" xr:uid="{00000000-0005-0000-0000-000022000000}"/>
    <cellStyle name="Escribir 5 2" xfId="24" xr:uid="{00000000-0005-0000-0000-000023000000}"/>
    <cellStyle name="Escribir 5 2 2" xfId="149" xr:uid="{00000000-0005-0000-0000-000024000000}"/>
    <cellStyle name="Escribir 5 2 3" xfId="166" xr:uid="{D184CC05-816D-44CC-ABB7-50B787674C8D}"/>
    <cellStyle name="Escribir 5 3" xfId="148" xr:uid="{00000000-0005-0000-0000-000025000000}"/>
    <cellStyle name="Escribir 5 4" xfId="165" xr:uid="{88A45383-C11C-485A-BFB1-DFF9E9B96E12}"/>
    <cellStyle name="Escribir 6" xfId="139" xr:uid="{00000000-0005-0000-0000-000026000000}"/>
    <cellStyle name="Escribir 7" xfId="157" xr:uid="{4042DFF6-4A0E-4A09-AD1F-D505F160CB79}"/>
    <cellStyle name="Escribir_NOMBRE" xfId="25" xr:uid="{00000000-0005-0000-0000-000027000000}"/>
    <cellStyle name="Escribir_P12" xfId="178" xr:uid="{FEC0B1B4-3D2B-432F-A91E-777A37B44832}"/>
    <cellStyle name="Escribir_P12 2" xfId="174" xr:uid="{2823F497-F381-432C-83EA-BB1FD6B103C3}"/>
    <cellStyle name="Estilo 1" xfId="26" xr:uid="{00000000-0005-0000-0000-000029000000}"/>
    <cellStyle name="Estilo 1 2" xfId="150" xr:uid="{00000000-0005-0000-0000-00002A000000}"/>
    <cellStyle name="Estilo 1 3" xfId="167" xr:uid="{A246057E-566D-47DF-9437-BA0E5A5A170D}"/>
    <cellStyle name="Estilo 2" xfId="27" xr:uid="{00000000-0005-0000-0000-00002B000000}"/>
    <cellStyle name="Estilo 2 2" xfId="151" xr:uid="{00000000-0005-0000-0000-00002C000000}"/>
    <cellStyle name="Estilo 2 3" xfId="168" xr:uid="{3A51011A-7E5A-46CB-94F6-8908F60C57CD}"/>
    <cellStyle name="Estilo 3" xfId="28" xr:uid="{00000000-0005-0000-0000-00002D000000}"/>
    <cellStyle name="Estilo 3 2" xfId="152" xr:uid="{00000000-0005-0000-0000-00002E000000}"/>
    <cellStyle name="Estilo 3 3" xfId="169" xr:uid="{DCAE49DB-16D9-462B-8682-F50D1A779126}"/>
    <cellStyle name="Euro" xfId="29" xr:uid="{00000000-0005-0000-0000-00002F000000}"/>
    <cellStyle name="Euro 2" xfId="30" xr:uid="{00000000-0005-0000-0000-000030000000}"/>
    <cellStyle name="Euro 2 2" xfId="31" xr:uid="{00000000-0005-0000-0000-000031000000}"/>
    <cellStyle name="Euro 3" xfId="32" xr:uid="{00000000-0005-0000-0000-000032000000}"/>
    <cellStyle name="Hipervínculo" xfId="179" builtinId="8"/>
    <cellStyle name="Millares [0] 2" xfId="33" xr:uid="{00000000-0005-0000-0000-000033000000}"/>
    <cellStyle name="Millares [0] 2 2" xfId="34" xr:uid="{00000000-0005-0000-0000-000034000000}"/>
    <cellStyle name="Millares [0] 2 2 2" xfId="35" xr:uid="{00000000-0005-0000-0000-000035000000}"/>
    <cellStyle name="Millares [0] 2 3" xfId="36" xr:uid="{00000000-0005-0000-0000-000036000000}"/>
    <cellStyle name="Millares [0] 3" xfId="37" xr:uid="{00000000-0005-0000-0000-000037000000}"/>
    <cellStyle name="Millares [0] 3 2" xfId="38" xr:uid="{00000000-0005-0000-0000-000038000000}"/>
    <cellStyle name="Millares [0] 3 2 2" xfId="39" xr:uid="{00000000-0005-0000-0000-000039000000}"/>
    <cellStyle name="Millares [0] 3 2 2 2" xfId="40" xr:uid="{00000000-0005-0000-0000-00003A000000}"/>
    <cellStyle name="Millares [0] 3 2 3" xfId="41" xr:uid="{00000000-0005-0000-0000-00003B000000}"/>
    <cellStyle name="Millares [0] 3 3" xfId="42" xr:uid="{00000000-0005-0000-0000-00003C000000}"/>
    <cellStyle name="Millares [0] 3 3 2" xfId="43" xr:uid="{00000000-0005-0000-0000-00003D000000}"/>
    <cellStyle name="Millares [0] 3 4" xfId="44" xr:uid="{00000000-0005-0000-0000-00003E000000}"/>
    <cellStyle name="Millares [0] 4" xfId="45" xr:uid="{00000000-0005-0000-0000-00003F000000}"/>
    <cellStyle name="Millares [0] 4 2" xfId="46" xr:uid="{00000000-0005-0000-0000-000040000000}"/>
    <cellStyle name="Millares [0] 4 3" xfId="47" xr:uid="{00000000-0005-0000-0000-000041000000}"/>
    <cellStyle name="Millares 10" xfId="48" xr:uid="{00000000-0005-0000-0000-000042000000}"/>
    <cellStyle name="Millares 10 2" xfId="49" xr:uid="{00000000-0005-0000-0000-000043000000}"/>
    <cellStyle name="Millares 10 3" xfId="50" xr:uid="{00000000-0005-0000-0000-000044000000}"/>
    <cellStyle name="Millares 11" xfId="51" xr:uid="{00000000-0005-0000-0000-000045000000}"/>
    <cellStyle name="Millares 11 2" xfId="52" xr:uid="{00000000-0005-0000-0000-000046000000}"/>
    <cellStyle name="Millares 11 3" xfId="53" xr:uid="{00000000-0005-0000-0000-000047000000}"/>
    <cellStyle name="Millares 12" xfId="54" xr:uid="{00000000-0005-0000-0000-000048000000}"/>
    <cellStyle name="Millares 12 2" xfId="55" xr:uid="{00000000-0005-0000-0000-000049000000}"/>
    <cellStyle name="Millares 12 3" xfId="56" xr:uid="{00000000-0005-0000-0000-00004A000000}"/>
    <cellStyle name="Millares 13" xfId="57" xr:uid="{00000000-0005-0000-0000-00004B000000}"/>
    <cellStyle name="Millares 13 2" xfId="58" xr:uid="{00000000-0005-0000-0000-00004C000000}"/>
    <cellStyle name="Millares 13 3" xfId="59" xr:uid="{00000000-0005-0000-0000-00004D000000}"/>
    <cellStyle name="Millares 14" xfId="60" xr:uid="{00000000-0005-0000-0000-00004E000000}"/>
    <cellStyle name="Millares 14 2" xfId="61" xr:uid="{00000000-0005-0000-0000-00004F000000}"/>
    <cellStyle name="Millares 14 3" xfId="62" xr:uid="{00000000-0005-0000-0000-000050000000}"/>
    <cellStyle name="Millares 15" xfId="63" xr:uid="{00000000-0005-0000-0000-000051000000}"/>
    <cellStyle name="Millares 15 2" xfId="64" xr:uid="{00000000-0005-0000-0000-000052000000}"/>
    <cellStyle name="Millares 15 3" xfId="65" xr:uid="{00000000-0005-0000-0000-000053000000}"/>
    <cellStyle name="Millares 16" xfId="66" xr:uid="{00000000-0005-0000-0000-000054000000}"/>
    <cellStyle name="Millares 16 2" xfId="67" xr:uid="{00000000-0005-0000-0000-000055000000}"/>
    <cellStyle name="Millares 17" xfId="68" xr:uid="{00000000-0005-0000-0000-000056000000}"/>
    <cellStyle name="Millares 17 2" xfId="69" xr:uid="{00000000-0005-0000-0000-000057000000}"/>
    <cellStyle name="Millares 18" xfId="70" xr:uid="{00000000-0005-0000-0000-000058000000}"/>
    <cellStyle name="Millares 19" xfId="71" xr:uid="{00000000-0005-0000-0000-000059000000}"/>
    <cellStyle name="Millares 2" xfId="72" xr:uid="{00000000-0005-0000-0000-00005A000000}"/>
    <cellStyle name="Millares 2 2" xfId="73" xr:uid="{00000000-0005-0000-0000-00005B000000}"/>
    <cellStyle name="Millares 2 2 2" xfId="74" xr:uid="{00000000-0005-0000-0000-00005C000000}"/>
    <cellStyle name="Millares 2 2 2 2" xfId="75" xr:uid="{00000000-0005-0000-0000-00005D000000}"/>
    <cellStyle name="Millares 2 2 3" xfId="76" xr:uid="{00000000-0005-0000-0000-00005E000000}"/>
    <cellStyle name="Millares 2 2 4" xfId="77" xr:uid="{00000000-0005-0000-0000-00005F000000}"/>
    <cellStyle name="Millares 2 3" xfId="78" xr:uid="{00000000-0005-0000-0000-000060000000}"/>
    <cellStyle name="Millares 2 3 2" xfId="79" xr:uid="{00000000-0005-0000-0000-000061000000}"/>
    <cellStyle name="Millares 2 4" xfId="80" xr:uid="{00000000-0005-0000-0000-000062000000}"/>
    <cellStyle name="Millares 2 4 2" xfId="81" xr:uid="{00000000-0005-0000-0000-000063000000}"/>
    <cellStyle name="Millares 2 5" xfId="82" xr:uid="{00000000-0005-0000-0000-000064000000}"/>
    <cellStyle name="Millares 2 6" xfId="83" xr:uid="{00000000-0005-0000-0000-000065000000}"/>
    <cellStyle name="Millares 2_NOMBRE" xfId="84" xr:uid="{00000000-0005-0000-0000-000066000000}"/>
    <cellStyle name="Millares 20" xfId="85" xr:uid="{00000000-0005-0000-0000-000067000000}"/>
    <cellStyle name="Millares 3" xfId="86" xr:uid="{00000000-0005-0000-0000-000068000000}"/>
    <cellStyle name="Millares 3 2" xfId="87" xr:uid="{00000000-0005-0000-0000-000069000000}"/>
    <cellStyle name="Millares 4" xfId="88" xr:uid="{00000000-0005-0000-0000-00006A000000}"/>
    <cellStyle name="Millares 4 2" xfId="89" xr:uid="{00000000-0005-0000-0000-00006B000000}"/>
    <cellStyle name="Millares 5" xfId="90" xr:uid="{00000000-0005-0000-0000-00006C000000}"/>
    <cellStyle name="Millares 5 2" xfId="91" xr:uid="{00000000-0005-0000-0000-00006D000000}"/>
    <cellStyle name="Millares 6" xfId="92" xr:uid="{00000000-0005-0000-0000-00006E000000}"/>
    <cellStyle name="Millares 7" xfId="93" xr:uid="{00000000-0005-0000-0000-00006F000000}"/>
    <cellStyle name="Millares 7 2" xfId="94" xr:uid="{00000000-0005-0000-0000-000070000000}"/>
    <cellStyle name="Millares 7 3" xfId="95" xr:uid="{00000000-0005-0000-0000-000071000000}"/>
    <cellStyle name="Millares 7 3 2" xfId="96" xr:uid="{00000000-0005-0000-0000-000072000000}"/>
    <cellStyle name="Millares 7 4" xfId="97" xr:uid="{00000000-0005-0000-0000-000073000000}"/>
    <cellStyle name="Millares 7 5" xfId="98" xr:uid="{00000000-0005-0000-0000-000074000000}"/>
    <cellStyle name="Millares 7 5 2" xfId="99" xr:uid="{00000000-0005-0000-0000-000075000000}"/>
    <cellStyle name="Millares 8" xfId="100" xr:uid="{00000000-0005-0000-0000-000076000000}"/>
    <cellStyle name="Millares 8 2" xfId="101" xr:uid="{00000000-0005-0000-0000-000077000000}"/>
    <cellStyle name="Millares 8 3" xfId="102" xr:uid="{00000000-0005-0000-0000-000078000000}"/>
    <cellStyle name="Millares 9" xfId="103" xr:uid="{00000000-0005-0000-0000-000079000000}"/>
    <cellStyle name="Millares 9 2" xfId="104" xr:uid="{00000000-0005-0000-0000-00007A000000}"/>
    <cellStyle name="Millares 9 3" xfId="105" xr:uid="{00000000-0005-0000-0000-00007B000000}"/>
    <cellStyle name="Moneda 2" xfId="106" xr:uid="{00000000-0005-0000-0000-00007C000000}"/>
    <cellStyle name="Moneda 2 2" xfId="107" xr:uid="{00000000-0005-0000-0000-00007D000000}"/>
    <cellStyle name="Normal" xfId="0" builtinId="0"/>
    <cellStyle name="Normal 2" xfId="108" xr:uid="{00000000-0005-0000-0000-00007F000000}"/>
    <cellStyle name="Normal 2 2" xfId="109" xr:uid="{00000000-0005-0000-0000-000080000000}"/>
    <cellStyle name="Normal 2 3" xfId="110" xr:uid="{00000000-0005-0000-0000-000081000000}"/>
    <cellStyle name="Normal 2_NOMBRE" xfId="111" xr:uid="{00000000-0005-0000-0000-000082000000}"/>
    <cellStyle name="Normal 3" xfId="112" xr:uid="{00000000-0005-0000-0000-000083000000}"/>
    <cellStyle name="Normal 4" xfId="113" xr:uid="{00000000-0005-0000-0000-000084000000}"/>
    <cellStyle name="Normal 4 2" xfId="114" xr:uid="{00000000-0005-0000-0000-000085000000}"/>
    <cellStyle name="Normal 4 2 2" xfId="115" xr:uid="{00000000-0005-0000-0000-000086000000}"/>
    <cellStyle name="Normal 4 3" xfId="116" xr:uid="{00000000-0005-0000-0000-000087000000}"/>
    <cellStyle name="Normal 4_A01" xfId="117" xr:uid="{00000000-0005-0000-0000-000088000000}"/>
    <cellStyle name="Normal 5" xfId="118" xr:uid="{00000000-0005-0000-0000-000089000000}"/>
    <cellStyle name="Normal 6" xfId="119" xr:uid="{00000000-0005-0000-0000-00008A000000}"/>
    <cellStyle name="Normal 6 2" xfId="120" xr:uid="{00000000-0005-0000-0000-00008B000000}"/>
    <cellStyle name="Normal 7" xfId="121" xr:uid="{00000000-0005-0000-0000-00008C000000}"/>
    <cellStyle name="Normal_APS 2" xfId="122" xr:uid="{00000000-0005-0000-0000-00008D000000}"/>
    <cellStyle name="Normal_nombre" xfId="123" xr:uid="{00000000-0005-0000-0000-00008E000000}"/>
    <cellStyle name="Normal_REM 02-2002" xfId="124" xr:uid="{00000000-0005-0000-0000-00008F000000}"/>
    <cellStyle name="Normal_REM 04-2002" xfId="125" xr:uid="{00000000-0005-0000-0000-000090000000}"/>
    <cellStyle name="Normal_REM 05-2002" xfId="126" xr:uid="{00000000-0005-0000-0000-000091000000}"/>
    <cellStyle name="Normal_REM 05-2002 2" xfId="127" xr:uid="{00000000-0005-0000-0000-000092000000}"/>
    <cellStyle name="Normal_REM 06-2002" xfId="128" xr:uid="{00000000-0005-0000-0000-000093000000}"/>
    <cellStyle name="Normal_REM 12-2002" xfId="129" xr:uid="{00000000-0005-0000-0000-000094000000}"/>
    <cellStyle name="Normal_RMC_0" xfId="130" xr:uid="{00000000-0005-0000-0000-000095000000}"/>
    <cellStyle name="Normal_RMC_0 2" xfId="131" xr:uid="{00000000-0005-0000-0000-000096000000}"/>
    <cellStyle name="Normal_RMC_0 3" xfId="132" xr:uid="{00000000-0005-0000-0000-000097000000}"/>
    <cellStyle name="Notas 2" xfId="133" xr:uid="{00000000-0005-0000-0000-000098000000}"/>
    <cellStyle name="Notas 2 2" xfId="134" xr:uid="{00000000-0005-0000-0000-000099000000}"/>
    <cellStyle name="Notas 2 2 2" xfId="154" xr:uid="{00000000-0005-0000-0000-00009A000000}"/>
    <cellStyle name="Notas 2 3" xfId="153" xr:uid="{00000000-0005-0000-0000-00009B000000}"/>
    <cellStyle name="Notas 3" xfId="172" xr:uid="{AA6E59A1-C0B3-4CA0-8594-AA50340EDFAE}"/>
    <cellStyle name="Porcentual 2" xfId="135" xr:uid="{00000000-0005-0000-0000-00009C000000}"/>
    <cellStyle name="Porcentual 2 2" xfId="136" xr:uid="{00000000-0005-0000-0000-00009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BA"/>
      <color rgb="FFBFBFBF"/>
      <color rgb="FFFFC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</xdr:row>
          <xdr:rowOff>47625</xdr:rowOff>
        </xdr:from>
        <xdr:to>
          <xdr:col>8</xdr:col>
          <xdr:colOff>0</xdr:colOff>
          <xdr:row>4</xdr:row>
          <xdr:rowOff>95250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Buscar Establecimiento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133351</xdr:rowOff>
    </xdr:from>
    <xdr:to>
      <xdr:col>4</xdr:col>
      <xdr:colOff>1209675</xdr:colOff>
      <xdr:row>3</xdr:row>
      <xdr:rowOff>428625</xdr:rowOff>
    </xdr:to>
    <xdr:sp macro="[0]!DESPROTEGER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629150" y="1257301"/>
          <a:ext cx="923925" cy="295274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304800</xdr:colOff>
      <xdr:row>5</xdr:row>
      <xdr:rowOff>114300</xdr:rowOff>
    </xdr:from>
    <xdr:to>
      <xdr:col>4</xdr:col>
      <xdr:colOff>1228725</xdr:colOff>
      <xdr:row>5</xdr:row>
      <xdr:rowOff>409575</xdr:rowOff>
    </xdr:to>
    <xdr:sp macro="[0]!PROTEGER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648200" y="1781175"/>
          <a:ext cx="923925" cy="295275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276225</xdr:colOff>
      <xdr:row>7</xdr:row>
      <xdr:rowOff>142875</xdr:rowOff>
    </xdr:from>
    <xdr:to>
      <xdr:col>4</xdr:col>
      <xdr:colOff>1200150</xdr:colOff>
      <xdr:row>7</xdr:row>
      <xdr:rowOff>447675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619625" y="2609850"/>
          <a:ext cx="923925" cy="304800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gob.cl/api/3/action/datastore_search?resource_id=2c44d782-3365-44e3-aefb-2c8b8363a1bc&amp;limit=1&amp;filters=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K40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9" style="18" customWidth="1"/>
    <col min="2" max="2" width="61" style="2" customWidth="1"/>
    <col min="3" max="8" width="4.7109375" style="2" customWidth="1"/>
    <col min="9" max="9" width="22.85546875" style="1" customWidth="1"/>
    <col min="10" max="19" width="11.85546875" style="2" customWidth="1"/>
    <col min="20" max="21" width="11.85546875" style="2" hidden="1" customWidth="1"/>
    <col min="22" max="23" width="23.140625" style="1751" hidden="1" customWidth="1"/>
    <col min="24" max="26" width="23.140625" style="382" hidden="1" customWidth="1"/>
    <col min="27" max="27" width="17.42578125" style="2" hidden="1" customWidth="1"/>
    <col min="28" max="28" width="56.7109375" style="2" hidden="1" customWidth="1"/>
    <col min="29" max="29" width="21.5703125" style="2" hidden="1" customWidth="1"/>
    <col min="30" max="32" width="11.85546875" style="2" hidden="1" customWidth="1"/>
    <col min="33" max="33" width="28.42578125" style="2" hidden="1" customWidth="1"/>
    <col min="34" max="34" width="11.42578125" style="2" hidden="1" customWidth="1"/>
    <col min="35" max="37" width="11.85546875" style="2" hidden="1" customWidth="1"/>
    <col min="38" max="38" width="0" style="2" hidden="1" customWidth="1"/>
    <col min="39" max="16384" width="11.42578125" style="2"/>
  </cols>
  <sheetData>
    <row r="1" spans="1:33" ht="36" customHeight="1" x14ac:dyDescent="0.15">
      <c r="A1" s="1783" t="s">
        <v>0</v>
      </c>
      <c r="B1" s="1784"/>
      <c r="C1" s="1785" t="s">
        <v>1</v>
      </c>
      <c r="D1" s="1786"/>
      <c r="E1" s="1786"/>
      <c r="F1" s="1786"/>
      <c r="G1" s="1786"/>
      <c r="H1" s="1787"/>
    </row>
    <row r="2" spans="1:33" ht="18" customHeight="1" x14ac:dyDescent="0.2">
      <c r="A2" s="374" t="s">
        <v>2</v>
      </c>
      <c r="B2" s="387"/>
      <c r="C2" s="388"/>
      <c r="D2" s="250"/>
      <c r="E2" s="250"/>
      <c r="F2" s="250"/>
      <c r="G2" s="251"/>
      <c r="H2" s="252"/>
      <c r="I2" s="3" t="str">
        <f>IF(OR(NOMBRE!C2="",NOMBRE!D2="",NOMBRE!E2="",NOMBRE!F2="",NOMBRE!G2=""),"Falta Cód. Com.","")</f>
        <v>Falta Cód. Com.</v>
      </c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752"/>
      <c r="W2" s="1753">
        <f>IF(OR(C2="",D2="",E2="",F2="",G2=""),1,0)</f>
        <v>1</v>
      </c>
      <c r="AD2" s="5"/>
      <c r="AG2" s="6">
        <f>IF(I2&gt;"",1,0)</f>
        <v>1</v>
      </c>
    </row>
    <row r="3" spans="1:33" ht="18" customHeight="1" x14ac:dyDescent="0.2">
      <c r="A3" s="389" t="s">
        <v>3</v>
      </c>
      <c r="B3" s="390"/>
      <c r="C3" s="388"/>
      <c r="D3" s="250"/>
      <c r="E3" s="250"/>
      <c r="F3" s="250"/>
      <c r="G3" s="251"/>
      <c r="H3" s="379"/>
      <c r="I3" s="3" t="str">
        <f>IF(OR(NOMBRE!C3="",NOMBRE!D3="",NOMBRE!E3="",NOMBRE!F3="",NOMBRE!G3="",NOMBRE!H3=""),"Falta Cód. Est.","")</f>
        <v>Falta Cód. Est.</v>
      </c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752"/>
      <c r="W3" s="1753">
        <f>IF(OR(C3="",D3="",E3="",F3="",G3="",H3=""),1,0)</f>
        <v>1</v>
      </c>
      <c r="AD3" s="5"/>
      <c r="AG3" s="6">
        <f>IF(I3&gt;"",1,0)</f>
        <v>1</v>
      </c>
    </row>
    <row r="4" spans="1:33" ht="10.5" customHeight="1" x14ac:dyDescent="0.2">
      <c r="A4" s="278"/>
      <c r="B4" s="279"/>
      <c r="C4" s="252"/>
      <c r="D4" s="252"/>
      <c r="E4" s="252"/>
      <c r="F4" s="252"/>
      <c r="G4" s="252"/>
      <c r="H4" s="252"/>
      <c r="I4" s="1743"/>
      <c r="J4" s="7"/>
      <c r="K4" s="8"/>
      <c r="M4" s="7"/>
      <c r="N4" s="7"/>
      <c r="O4" s="7"/>
      <c r="P4" s="7"/>
      <c r="Q4" s="7"/>
      <c r="R4" s="7"/>
      <c r="S4" s="7"/>
      <c r="T4" s="7"/>
      <c r="U4" s="7"/>
      <c r="V4" s="1752"/>
      <c r="W4" s="1752"/>
      <c r="AA4" s="9"/>
      <c r="AB4" s="9"/>
      <c r="AD4" s="5"/>
      <c r="AG4" s="6">
        <f>IF(I4&gt;"",1,0)</f>
        <v>0</v>
      </c>
    </row>
    <row r="5" spans="1:33" ht="10.5" customHeight="1" x14ac:dyDescent="0.2">
      <c r="A5" s="278"/>
      <c r="B5" s="1744"/>
      <c r="C5" s="1745"/>
      <c r="D5" s="1745"/>
      <c r="E5" s="252"/>
      <c r="F5" s="252"/>
      <c r="G5" s="252"/>
      <c r="H5" s="252"/>
      <c r="I5" s="1743"/>
      <c r="J5" s="7"/>
      <c r="K5" s="8"/>
      <c r="M5" s="7"/>
      <c r="N5" s="7"/>
      <c r="O5" s="7"/>
      <c r="P5" s="7"/>
      <c r="Q5" s="7"/>
      <c r="R5" s="7"/>
      <c r="S5" s="7"/>
      <c r="T5" s="7"/>
      <c r="U5" s="7"/>
      <c r="V5" s="1752"/>
      <c r="W5" s="1752"/>
      <c r="AA5" s="9"/>
      <c r="AB5" s="9"/>
      <c r="AD5" s="5"/>
      <c r="AG5" s="6">
        <f>IF(I5&gt;"",1,0)</f>
        <v>0</v>
      </c>
    </row>
    <row r="6" spans="1:33" ht="18" customHeight="1" x14ac:dyDescent="0.2">
      <c r="A6" s="389" t="s">
        <v>4</v>
      </c>
      <c r="B6" s="1746"/>
      <c r="C6" s="1747" t="str">
        <f>IF(X10&lt;&gt;"",IF(LEN(X10)&lt;2,"0",LEFT(X10,1)),"")</f>
        <v/>
      </c>
      <c r="D6" s="1748" t="str">
        <f>IF(X10&lt;&gt;"",RIGHT(X10,1),"")</f>
        <v/>
      </c>
      <c r="E6" s="1749"/>
      <c r="F6" s="1749"/>
      <c r="G6" s="1749"/>
      <c r="H6" s="1749"/>
      <c r="I6" s="1750" t="str">
        <f>IF(OR(C6="",D6=""),"Falta Cód. Mes.","")</f>
        <v>Falta Cód. Mes.</v>
      </c>
      <c r="J6" s="7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754"/>
      <c r="W6" s="1753">
        <f>IF(OR(C6="",D6=""),1,0)</f>
        <v>1</v>
      </c>
      <c r="AD6" s="5"/>
      <c r="AG6" s="6">
        <f>IF(I6&gt;"",1,0)</f>
        <v>1</v>
      </c>
    </row>
    <row r="7" spans="1:33" ht="18" customHeight="1" x14ac:dyDescent="0.2">
      <c r="A7" s="389" t="s">
        <v>5</v>
      </c>
      <c r="B7" s="391">
        <v>2026</v>
      </c>
      <c r="AG7" s="11">
        <f>SUM(AG2:AG6)</f>
        <v>3</v>
      </c>
    </row>
    <row r="8" spans="1:33" ht="24" customHeight="1" x14ac:dyDescent="0.15">
      <c r="A8" s="392"/>
      <c r="B8" s="1758"/>
    </row>
    <row r="9" spans="1:33" ht="20.100000000000001" customHeight="1" x14ac:dyDescent="0.15">
      <c r="A9" s="1788" t="s">
        <v>922</v>
      </c>
      <c r="B9" s="1789"/>
    </row>
    <row r="10" spans="1:33" ht="12" customHeight="1" x14ac:dyDescent="0.2">
      <c r="A10" s="12"/>
      <c r="B10" s="13"/>
      <c r="W10" s="1751">
        <f>B6</f>
        <v>0</v>
      </c>
      <c r="X10" s="382" t="str">
        <f>IFERROR(VLOOKUP(W10,$W$11:$X$22,2,FALSE),"")</f>
        <v/>
      </c>
    </row>
    <row r="11" spans="1:33" ht="29.25" customHeight="1" x14ac:dyDescent="0.2">
      <c r="A11" s="380" t="s">
        <v>6</v>
      </c>
      <c r="B11" s="381"/>
      <c r="L11" s="14"/>
      <c r="M11" s="15"/>
      <c r="N11" s="15"/>
      <c r="O11" s="15"/>
      <c r="P11" s="15"/>
      <c r="Q11" s="15"/>
      <c r="R11" s="15"/>
      <c r="S11" s="15"/>
      <c r="T11" s="15"/>
      <c r="U11" s="15"/>
      <c r="V11" s="1755"/>
      <c r="W11" s="21"/>
      <c r="X11" s="382">
        <v>1</v>
      </c>
      <c r="AA11" s="16" t="s">
        <v>7</v>
      </c>
      <c r="AB11" s="21" t="s">
        <v>8</v>
      </c>
      <c r="AC11" s="21" t="s">
        <v>9</v>
      </c>
    </row>
    <row r="12" spans="1:33" ht="27.75" customHeight="1" x14ac:dyDescent="0.2">
      <c r="A12" s="280" t="s">
        <v>10</v>
      </c>
      <c r="B12" s="381"/>
      <c r="L12" s="14"/>
      <c r="M12" s="15"/>
      <c r="N12" s="15"/>
      <c r="O12" s="15"/>
      <c r="P12" s="15"/>
      <c r="Q12" s="15"/>
      <c r="R12" s="15"/>
      <c r="S12" s="15"/>
      <c r="T12" s="15"/>
      <c r="U12" s="15"/>
      <c r="V12" s="1755"/>
      <c r="W12" s="21"/>
      <c r="X12" s="382">
        <v>2</v>
      </c>
      <c r="AA12" s="16" t="s">
        <v>11</v>
      </c>
      <c r="AB12" s="21" t="s">
        <v>12</v>
      </c>
      <c r="AC12" s="21" t="s">
        <v>13</v>
      </c>
    </row>
    <row r="13" spans="1:33" ht="21" customHeight="1" x14ac:dyDescent="0.2">
      <c r="A13" s="17"/>
      <c r="B13" s="393"/>
      <c r="L13" s="14"/>
      <c r="M13" s="15"/>
      <c r="N13" s="15"/>
      <c r="O13" s="15"/>
      <c r="P13" s="15"/>
      <c r="Q13" s="15"/>
      <c r="R13" s="15"/>
      <c r="S13" s="15"/>
      <c r="T13" s="15"/>
      <c r="U13" s="15"/>
      <c r="V13" s="1755"/>
      <c r="W13" s="21"/>
      <c r="X13" s="382">
        <v>3</v>
      </c>
      <c r="AB13" s="21" t="s">
        <v>14</v>
      </c>
      <c r="AC13" s="21" t="s">
        <v>15</v>
      </c>
    </row>
    <row r="14" spans="1:33" ht="21" customHeight="1" x14ac:dyDescent="0.15">
      <c r="L14" s="14"/>
      <c r="M14" s="15"/>
      <c r="N14" s="15"/>
      <c r="O14" s="15"/>
      <c r="P14" s="15"/>
      <c r="Q14" s="15"/>
      <c r="R14" s="15"/>
      <c r="S14" s="15"/>
      <c r="T14" s="15"/>
      <c r="U14" s="15"/>
      <c r="V14" s="1755"/>
      <c r="W14" s="21"/>
      <c r="X14" s="382">
        <v>4</v>
      </c>
      <c r="AB14" s="21" t="s">
        <v>16</v>
      </c>
    </row>
    <row r="15" spans="1:33" ht="12.75" x14ac:dyDescent="0.15">
      <c r="A15" s="1790" t="s">
        <v>17</v>
      </c>
      <c r="B15" s="1791"/>
      <c r="L15" s="14"/>
      <c r="M15" s="15"/>
      <c r="N15" s="15"/>
      <c r="O15" s="15"/>
      <c r="P15" s="15"/>
      <c r="Q15" s="15"/>
      <c r="R15" s="15"/>
      <c r="S15" s="15"/>
      <c r="T15" s="15"/>
      <c r="U15" s="15"/>
      <c r="V15" s="1755"/>
      <c r="W15" s="21"/>
      <c r="X15" s="382">
        <v>5</v>
      </c>
      <c r="AB15" s="21" t="s">
        <v>18</v>
      </c>
    </row>
    <row r="16" spans="1:33" ht="21" customHeight="1" x14ac:dyDescent="0.15">
      <c r="L16" s="14"/>
      <c r="M16" s="15"/>
      <c r="N16" s="15"/>
      <c r="O16" s="15"/>
      <c r="P16" s="15"/>
      <c r="Q16" s="15"/>
      <c r="R16" s="15"/>
      <c r="S16" s="15"/>
      <c r="T16" s="15"/>
      <c r="U16" s="15"/>
      <c r="V16" s="1755"/>
      <c r="W16" s="21" t="s">
        <v>7</v>
      </c>
      <c r="X16" s="382">
        <v>6</v>
      </c>
      <c r="AB16" s="21" t="s">
        <v>19</v>
      </c>
    </row>
    <row r="17" spans="2:28" ht="10.5" x14ac:dyDescent="0.15">
      <c r="B17" s="1780" t="s">
        <v>20</v>
      </c>
      <c r="L17" s="14"/>
      <c r="M17" s="15"/>
      <c r="N17" s="15"/>
      <c r="O17" s="15"/>
      <c r="P17" s="15"/>
      <c r="Q17" s="15"/>
      <c r="R17" s="15"/>
      <c r="S17" s="15"/>
      <c r="T17" s="15"/>
      <c r="U17" s="15"/>
      <c r="V17" s="1755"/>
      <c r="W17" s="21"/>
      <c r="X17" s="382">
        <v>7</v>
      </c>
      <c r="AB17" s="21" t="s">
        <v>21</v>
      </c>
    </row>
    <row r="18" spans="2:28" ht="10.5" x14ac:dyDescent="0.15">
      <c r="B18" s="1781"/>
      <c r="I18" s="19"/>
      <c r="J18" s="20"/>
      <c r="L18" s="14"/>
      <c r="M18" s="15"/>
      <c r="N18" s="15"/>
      <c r="O18" s="15"/>
      <c r="P18" s="15"/>
      <c r="Q18" s="15"/>
      <c r="R18" s="15"/>
      <c r="S18" s="15"/>
      <c r="T18" s="15"/>
      <c r="U18" s="15"/>
      <c r="V18" s="1755"/>
      <c r="W18" s="21"/>
      <c r="X18" s="382">
        <v>8</v>
      </c>
      <c r="AB18" s="21" t="s">
        <v>22</v>
      </c>
    </row>
    <row r="19" spans="2:28" ht="10.5" x14ac:dyDescent="0.15">
      <c r="B19" s="1782"/>
      <c r="I19" s="19"/>
      <c r="J19" s="20"/>
      <c r="L19" s="14"/>
      <c r="M19" s="15"/>
      <c r="N19" s="15"/>
      <c r="O19" s="15"/>
      <c r="P19" s="15"/>
      <c r="Q19" s="15"/>
      <c r="R19" s="15"/>
      <c r="S19" s="15"/>
      <c r="T19" s="15"/>
      <c r="U19" s="15"/>
      <c r="V19" s="1755"/>
      <c r="W19" s="21"/>
      <c r="X19" s="382">
        <v>9</v>
      </c>
      <c r="AB19" s="21" t="s">
        <v>23</v>
      </c>
    </row>
    <row r="20" spans="2:28" ht="21" customHeight="1" x14ac:dyDescent="0.15">
      <c r="I20" s="19"/>
      <c r="J20" s="20"/>
      <c r="L20" s="14"/>
      <c r="M20" s="15"/>
      <c r="N20" s="15"/>
      <c r="O20" s="15"/>
      <c r="P20" s="15"/>
      <c r="Q20" s="15"/>
      <c r="R20" s="15"/>
      <c r="S20" s="15"/>
      <c r="T20" s="15"/>
      <c r="U20" s="15"/>
      <c r="V20" s="1755"/>
      <c r="W20" s="21"/>
      <c r="X20" s="382">
        <v>10</v>
      </c>
      <c r="AB20" s="21" t="s">
        <v>24</v>
      </c>
    </row>
    <row r="21" spans="2:28" ht="21" customHeight="1" x14ac:dyDescent="0.15">
      <c r="I21" s="19"/>
      <c r="J21" s="20"/>
      <c r="M21" s="15"/>
      <c r="N21" s="15"/>
      <c r="O21" s="15"/>
      <c r="P21" s="15"/>
      <c r="Q21" s="15"/>
      <c r="R21" s="15"/>
      <c r="S21" s="15"/>
      <c r="T21" s="15"/>
      <c r="U21" s="15"/>
      <c r="V21" s="1755"/>
      <c r="W21" s="21"/>
      <c r="X21" s="382">
        <v>11</v>
      </c>
      <c r="AB21" s="21" t="s">
        <v>25</v>
      </c>
    </row>
    <row r="22" spans="2:28" ht="21" customHeight="1" x14ac:dyDescent="0.15">
      <c r="I22" s="19"/>
      <c r="J22" s="20"/>
      <c r="M22" s="15"/>
      <c r="N22" s="15"/>
      <c r="O22" s="15"/>
      <c r="P22" s="15"/>
      <c r="Q22" s="15"/>
      <c r="R22" s="15"/>
      <c r="S22" s="15"/>
      <c r="T22" s="15"/>
      <c r="U22" s="15"/>
      <c r="V22" s="1755"/>
      <c r="W22" s="21" t="s">
        <v>11</v>
      </c>
      <c r="X22" s="382">
        <v>12</v>
      </c>
      <c r="AB22" s="21" t="s">
        <v>26</v>
      </c>
    </row>
    <row r="23" spans="2:28" ht="17.25" customHeight="1" x14ac:dyDescent="0.15">
      <c r="I23" s="19"/>
      <c r="J23" s="20"/>
      <c r="M23" s="15"/>
      <c r="N23" s="15"/>
      <c r="O23" s="15"/>
      <c r="P23" s="15"/>
      <c r="Q23" s="15"/>
      <c r="R23" s="15"/>
      <c r="S23" s="15"/>
      <c r="T23" s="15"/>
      <c r="U23" s="15"/>
      <c r="V23" s="1755"/>
      <c r="W23" s="1755"/>
      <c r="AB23" s="21" t="s">
        <v>27</v>
      </c>
    </row>
    <row r="24" spans="2:28" ht="18.75" customHeight="1" x14ac:dyDescent="0.15">
      <c r="I24" s="19"/>
      <c r="J24" s="20"/>
      <c r="M24" s="15"/>
      <c r="N24" s="15"/>
      <c r="O24" s="15"/>
      <c r="P24" s="15"/>
      <c r="Q24" s="15"/>
      <c r="R24" s="15"/>
      <c r="S24" s="15"/>
      <c r="T24" s="15"/>
      <c r="U24" s="15"/>
      <c r="V24" s="1755" t="s">
        <v>910</v>
      </c>
      <c r="W24" s="1759">
        <v>123100</v>
      </c>
      <c r="X24" s="382" t="str">
        <f>IF(W24&lt;&gt;"",CONCATENATE("{""EstablecimientoCodigo"":""",W24,"""}"),"")</f>
        <v>{"EstablecimientoCodigo":"123100"}</v>
      </c>
      <c r="AB24" s="21" t="s">
        <v>28</v>
      </c>
    </row>
    <row r="25" spans="2:28" ht="18" customHeight="1" x14ac:dyDescent="0.25">
      <c r="I25" s="19"/>
      <c r="J25" s="20"/>
      <c r="M25" s="15"/>
      <c r="N25" s="15"/>
      <c r="O25" s="15"/>
      <c r="P25" s="15"/>
      <c r="Q25" s="15"/>
      <c r="R25" s="15"/>
      <c r="S25" s="15"/>
      <c r="T25" s="15"/>
      <c r="U25" s="15"/>
      <c r="V25" s="1755" t="s">
        <v>911</v>
      </c>
      <c r="W25" s="1757" t="s">
        <v>912</v>
      </c>
      <c r="X25" s="382" t="str">
        <f>_xlfn.ENCODEURL(X24)</f>
        <v>%7B%22EstablecimientoCodigo%22%3A%22123100%22%7D</v>
      </c>
      <c r="AB25" s="21" t="s">
        <v>29</v>
      </c>
    </row>
    <row r="26" spans="2:28" ht="19.5" customHeight="1" x14ac:dyDescent="0.15">
      <c r="M26" s="15"/>
      <c r="N26" s="15"/>
      <c r="O26" s="15"/>
      <c r="P26" s="15"/>
      <c r="Q26" s="15"/>
      <c r="R26" s="15"/>
      <c r="S26" s="15"/>
      <c r="T26" s="15"/>
      <c r="U26" s="15"/>
      <c r="V26" s="1755" t="s">
        <v>913</v>
      </c>
      <c r="W26" s="1756" t="str">
        <f>IF($W$24&lt;&gt;"",_xlfn.WEBSERVICE(CONCATENATE(W25,X25)),"")</f>
        <v>{"help": "https://datos.gob.cl/api/3/action/help_show?name=datastore_search", "success": true, "result": {"filters": {"EstablecimientoCodigo": "123100"}, "include_total": true, "limit": 1, "records_format": "objects", "resource_id": "2c44d782-3365-44e3-aefb-2c8b8363a1bc", "total_estimation_threshold": null, "records": [{"_id":469,"EstablecimientoCodigo":"123100","EstablecimientoGlosa":"Hospital Base San José de Osorno","EstablecimientoCodigoAntiguo":"23-100","EstablecimientoCodigoMadreAntiguo":null,"EstablecimientoCodigoMadreNuevo":null,"RegionCodigo":"10","RegionGlosa":"Región de Los Lagos","SeremiSaludCodigo_ServicioDeSaludCodigo":"23","SeremiSaludGlosa_ServicioDeSaludGlosa":"Servicio de Salud Osorno","TipoPertenenciaEstabGlosa":"Perteneciente al Sistema Nacional de Servicios de Salud","TipoEstablecimientoGlosa":"Hospital","AmbitoFuncionamiento":"Establecimiento de Salud","Certificacion":"Autogestionado en Red (EAR)","DependenciaAdministrativa":"Servicio de Salud","NivelAtencionEstabglosa":"Terciario","ComunaCodigo":"10301","ComunaGlosa":"Osorno","TipoViaGlosa":"Calle","Numero":"1765","NombreVia":"Guillermo Buhler","TelefonoMovil_TelefonoFijo":"642336200","FechaInicioFuncionamientoEstab":null,"TieneServicioUrgencia":"SI","TipoUrgencia":"Urgencia Hospitalaria (UEH)","ClasificacionTipoSapu":"No Aplica","Latitud":"-40.5883","Longitud":"-73.127785","TipoSistemaSaludGlosa":"Público","EstadoFuncionamiento":"Vigente en Operación Habitual","NivelComplejidadEstabGlosa":"Alta Complejidad","TipoAtencionEstabGlosa":"Atención Cerrada-Hospitalaria","FechaIncorporacion":null}], "fields": [{"id": "_id", "type": "int"}, {"id": "EstablecimientoCodigo", "type": "text"}, {"id": "EstablecimientoGlosa", "type": "text"}, {"id": "EstablecimientoCodigoAntiguo", "type": "text"}, {"id": "EstablecimientoCodigoMadreAntiguo", "type": "text"}, {"id": "EstablecimientoCodigoMadreNuevo", "type": "text"}, {"id": "RegionCodigo", "type": "text"}, {"id": "RegionGlosa", "type": "text"}, {"id": "SeremiSaludCodigo_ServicioDeSaludCodigo", "type": "text"}, {"id": "SeremiSaludGlosa_ServicioDeSaludGlosa", "type": "text"}, {"id": "TipoPertenenciaEstabGlosa", "type": "text"}, {"id": "TipoEstablecimientoGlosa", "type": "text"}, {"id": "AmbitoFuncionamiento", "type": "text"}, {"id": "Certificacion", "type": "text"}, {"id": "DependenciaAdministrativa", "type": "text"}, {"id": "NivelAtencionEstabglosa", "type": "text"}, {"id": "ComunaCodigo", "type": "text"}, {"id": "ComunaGlosa", "type": "text"}, {"id": "TipoViaGlosa", "type": "text"}, {"id": "Numero", "type": "text"}, {"id": "NombreVia", "type": "text"}, {"id": "TelefonoMovil_TelefonoFijo", "type": "text"}, {"id": "FechaInicioFuncionamientoEstab", "type": "text"}, {"id": "TieneServicioUrgencia", "type": "text"}, {"id": "TipoUrgencia", "type": "text"}, {"id": "ClasificacionTipoSapu", "type": "text"}, {"id": "Latitud", "type": "text"}, {"id": "Longitud", "type": "text"}, {"id": "TipoSistemaSaludGlosa", "type": "text"}, {"id": "EstadoFuncionamiento", "type": "text"}, {"id": "NivelComplejidadEstabGlosa", "type": "text"}, {"id": "TipoAtencionEstabGlosa", "type": "text"}, {"id": "FechaIncorporacion", "type": "text"}], "_links": {"start": "/api/3/action/datastore_search?resource_id=2c44d782-3365-44e3-aefb-2c8b8363a1bc&amp;limit=1&amp;filters=%7B%22EstablecimientoCodigo%22%3A%22123100%22%7D", "next": "/api/3/action/datastore_search?resource_id=2c44d782-3365-44e3-aefb-2c8b8363a1bc&amp;limit=1&amp;filters=%7B%22EstablecimientoCodigo%22%3A%22123100%22%7D&amp;offset=1"}, "total": 1, "total_was_estimated": false}}</v>
      </c>
      <c r="AB26" s="21" t="s">
        <v>30</v>
      </c>
    </row>
    <row r="27" spans="2:28" ht="19.5" customHeight="1" x14ac:dyDescent="0.15">
      <c r="M27" s="15"/>
      <c r="N27" s="15"/>
      <c r="O27" s="15"/>
      <c r="P27" s="15"/>
      <c r="Q27" s="15"/>
      <c r="R27" s="15"/>
      <c r="S27" s="15"/>
      <c r="T27" s="15"/>
      <c r="U27" s="15"/>
      <c r="V27" s="1755" t="s">
        <v>914</v>
      </c>
      <c r="W27" s="1756" t="str">
        <f>IFERROR(IF($W$26&lt;&gt;"",MID($W$26,FIND("""total"":",$W$26)+9,1),"0"),"0")</f>
        <v>1</v>
      </c>
      <c r="AB27" s="21" t="s">
        <v>31</v>
      </c>
    </row>
    <row r="28" spans="2:28" ht="21" customHeight="1" x14ac:dyDescent="0.15">
      <c r="M28" s="15"/>
      <c r="N28" s="15"/>
      <c r="O28" s="15"/>
      <c r="P28" s="15"/>
      <c r="Q28" s="15"/>
      <c r="R28" s="15"/>
      <c r="S28" s="15"/>
      <c r="T28" s="15"/>
      <c r="U28" s="15"/>
      <c r="V28" s="1755" t="s">
        <v>915</v>
      </c>
      <c r="W28" s="1756" t="str">
        <f>IF(AND($W$26&lt;&gt;"",$W$27="1"),MID($W$26,FIND("EstablecimientoGlosa",$W$26)+23,(FIND("EstablecimientoCodigoAntiguo",$W$26)-3)-(FIND("EstablecimientoGlosa",$W$26)+23)),"")</f>
        <v>Hospital Base San José de Osorno</v>
      </c>
      <c r="AB28" s="21" t="s">
        <v>32</v>
      </c>
    </row>
    <row r="29" spans="2:28" ht="18" customHeight="1" x14ac:dyDescent="0.15">
      <c r="M29" s="15"/>
      <c r="N29" s="15"/>
      <c r="O29" s="15"/>
      <c r="P29" s="15"/>
      <c r="Q29" s="15"/>
      <c r="R29" s="15"/>
      <c r="S29" s="15"/>
      <c r="T29" s="15"/>
      <c r="U29" s="15"/>
      <c r="V29" s="1755" t="s">
        <v>916</v>
      </c>
      <c r="W29" s="1756" t="str">
        <f>IF(AND($W$26&lt;&gt;"",$W$27="1"),MID($W$26,FIND("ComunaCodigo",$W$26)+15,(FIND("ComunaGlosa",$W$26)-3)-(FIND("ComunaCodigo",$W$26)+15)),"")</f>
        <v>10301</v>
      </c>
      <c r="AB29" s="21" t="s">
        <v>33</v>
      </c>
    </row>
    <row r="30" spans="2:28" ht="18.75" customHeight="1" x14ac:dyDescent="0.15">
      <c r="M30" s="15"/>
      <c r="N30" s="15"/>
      <c r="O30" s="15"/>
      <c r="P30" s="15"/>
      <c r="Q30" s="15"/>
      <c r="R30" s="15"/>
      <c r="S30" s="15"/>
      <c r="T30" s="15"/>
      <c r="U30" s="15"/>
      <c r="V30" s="1755" t="s">
        <v>917</v>
      </c>
      <c r="W30" s="1756" t="str">
        <f>IF(AND($W$26&lt;&gt;"",$W$27="1"),MID($W$26,FIND("ComunaGlosa",$W$26)+14,(FIND("TipoVia",$W$26)-3)-(FIND("ComunaGlosa",$W$26)+14)),"")</f>
        <v>Osorno</v>
      </c>
      <c r="AB30" s="21" t="s">
        <v>34</v>
      </c>
    </row>
    <row r="31" spans="2:28" ht="18" customHeight="1" x14ac:dyDescent="0.15">
      <c r="M31" s="15"/>
      <c r="N31" s="15"/>
      <c r="O31" s="15"/>
      <c r="P31" s="15"/>
      <c r="Q31" s="15"/>
      <c r="R31" s="15"/>
      <c r="S31" s="15"/>
      <c r="T31" s="15"/>
      <c r="U31" s="15"/>
      <c r="V31" s="1755" t="s">
        <v>918</v>
      </c>
      <c r="W31" s="1755"/>
      <c r="AB31" s="21" t="s">
        <v>35</v>
      </c>
    </row>
    <row r="32" spans="2:28" ht="17.25" customHeight="1" x14ac:dyDescent="0.15">
      <c r="M32" s="15"/>
      <c r="N32" s="15"/>
      <c r="O32" s="15"/>
      <c r="P32" s="15"/>
      <c r="Q32" s="15"/>
      <c r="R32" s="15"/>
      <c r="S32" s="15"/>
      <c r="T32" s="15"/>
      <c r="U32" s="15"/>
      <c r="V32" s="1755"/>
      <c r="W32" s="1755"/>
      <c r="AB32" s="21" t="s">
        <v>36</v>
      </c>
    </row>
    <row r="33" spans="13:28" ht="15" customHeight="1" x14ac:dyDescent="0.15">
      <c r="M33" s="15"/>
      <c r="N33" s="15"/>
      <c r="O33" s="15"/>
      <c r="P33" s="15"/>
      <c r="Q33" s="15"/>
      <c r="R33" s="15"/>
      <c r="S33" s="15"/>
      <c r="T33" s="15"/>
      <c r="U33" s="15"/>
      <c r="V33" s="1751" t="str">
        <f>IF($W$29&lt;&gt; "",IF(LEN($W$29)&gt;4,LEFT($W$29,1),"0"),"")</f>
        <v>1</v>
      </c>
      <c r="W33" s="1751" t="str">
        <f>IF($W$29&lt;&gt;"",LEFT(RIGHT($W$29,4),1),"")</f>
        <v>0</v>
      </c>
      <c r="X33" s="1751" t="str">
        <f>IF($W$29&lt;&gt;"",LEFT(RIGHT($W$29,3),1),"")</f>
        <v>3</v>
      </c>
      <c r="Y33" s="1751" t="str">
        <f>IF($W$29&lt;&gt;"",LEFT(RIGHT($W$29,2),1),"")</f>
        <v>0</v>
      </c>
      <c r="Z33" s="1751" t="str">
        <f>IF($W$29&lt;&gt;"",RIGHT($W$29,1),"")</f>
        <v>1</v>
      </c>
      <c r="AB33" s="21" t="s">
        <v>37</v>
      </c>
    </row>
    <row r="34" spans="13:28" ht="15" customHeight="1" x14ac:dyDescent="0.15">
      <c r="M34" s="15"/>
      <c r="N34" s="15"/>
      <c r="O34" s="15"/>
      <c r="P34" s="15"/>
      <c r="Q34" s="15"/>
      <c r="R34" s="15"/>
      <c r="S34" s="15"/>
      <c r="T34" s="15"/>
      <c r="U34" s="15"/>
      <c r="AB34" s="21" t="s">
        <v>38</v>
      </c>
    </row>
    <row r="35" spans="13:28" ht="15" customHeight="1" x14ac:dyDescent="0.15">
      <c r="AB35" s="21" t="s">
        <v>39</v>
      </c>
    </row>
    <row r="36" spans="13:28" ht="15" customHeight="1" x14ac:dyDescent="0.15">
      <c r="AB36" s="21" t="s">
        <v>40</v>
      </c>
    </row>
    <row r="37" spans="13:28" ht="15" customHeight="1" x14ac:dyDescent="0.15">
      <c r="AB37" s="21" t="s">
        <v>41</v>
      </c>
    </row>
    <row r="38" spans="13:28" ht="15" customHeight="1" x14ac:dyDescent="0.15">
      <c r="AB38" s="21" t="s">
        <v>42</v>
      </c>
    </row>
    <row r="39" spans="13:28" ht="15" customHeight="1" x14ac:dyDescent="0.15">
      <c r="AB39" s="21" t="s">
        <v>43</v>
      </c>
    </row>
    <row r="40" spans="13:28" ht="15" customHeight="1" x14ac:dyDescent="0.15">
      <c r="AB40" s="21" t="s">
        <v>44</v>
      </c>
    </row>
  </sheetData>
  <sheetProtection algorithmName="SHA-512" hashValue="rqPyggsLaOjDqUkBsVYmmV+aLRG8V2ptfiikfx1C1VUA/MIoTxQA3jaImpYCHY5greXQv18Iu/ydRmU/l1q97Q==" saltValue="TRtyfkMp2nihlDP3OiXlvw==" spinCount="100000" sheet="1" objects="1" scenarios="1"/>
  <mergeCells count="5">
    <mergeCell ref="B17:B19"/>
    <mergeCell ref="A1:B1"/>
    <mergeCell ref="C1:H1"/>
    <mergeCell ref="A9:B9"/>
    <mergeCell ref="A15:B15"/>
  </mergeCells>
  <phoneticPr fontId="26" type="noConversion"/>
  <dataValidations xWindow="654" yWindow="356" count="13">
    <dataValidation type="whole" allowBlank="1" showInputMessage="1" showErrorMessage="1" promptTitle="DÍGITO REGIÓN:" prompt="Primer: Entre 0 y 1" sqref="C2" xr:uid="{00000000-0002-0000-0000-000002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3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4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05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06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list" allowBlank="1" showInputMessage="1" showErrorMessage="1" sqref="B6" xr:uid="{C768BFEB-C15A-4014-A2DF-F5E5096EB27F}">
      <formula1>$W$11:$W$22</formula1>
    </dataValidation>
    <dataValidation type="whole" allowBlank="1" showInputMessage="1" showErrorMessage="1" errorTitle="Número Inválido" error="Sólo se permite ingresar un dígito entre 0 y 9." sqref="C4:H5" xr:uid="{B1197668-A795-4729-965C-5DEADD353631}">
      <formula1>0</formula1>
      <formula2>9</formula2>
    </dataValidation>
  </dataValidations>
  <hyperlinks>
    <hyperlink ref="W25" r:id="rId1" xr:uid="{17F8DCE2-0A33-4CC9-B3EF-FA0F5C4F2644}"/>
  </hyperlinks>
  <pageMargins left="0.70866141732283472" right="0.70866141732283472" top="0.74803149606299213" bottom="0.74803149606299213" header="0.31496062992125984" footer="0.31496062992125984"/>
  <pageSetup scale="65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 macro="[0]!ActualizaDatosEstablecimiento">
                <anchor moveWithCells="1" sizeWithCells="1">
                  <from>
                    <xdr:col>2</xdr:col>
                    <xdr:colOff>19050</xdr:colOff>
                    <xdr:row>3</xdr:row>
                    <xdr:rowOff>47625</xdr:rowOff>
                  </from>
                  <to>
                    <xdr:col>8</xdr:col>
                    <xdr:colOff>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A173"/>
  <sheetViews>
    <sheetView showGridLines="0" zoomScaleNormal="100" workbookViewId="0"/>
  </sheetViews>
  <sheetFormatPr baseColWidth="10" defaultColWidth="11.42578125" defaultRowHeight="10.5" x14ac:dyDescent="0.15"/>
  <cols>
    <col min="1" max="1" width="45.5703125" style="470" customWidth="1"/>
    <col min="2" max="2" width="25.7109375" style="470" customWidth="1"/>
    <col min="3" max="3" width="22.5703125" style="470" customWidth="1"/>
    <col min="4" max="4" width="18.28515625" style="470" customWidth="1"/>
    <col min="5" max="5" width="16" style="470" customWidth="1"/>
    <col min="6" max="6" width="15.42578125" style="470" customWidth="1"/>
    <col min="7" max="7" width="17.28515625" style="470" customWidth="1"/>
    <col min="8" max="8" width="15.140625" style="470" customWidth="1"/>
    <col min="9" max="9" width="12.7109375" style="470" customWidth="1"/>
    <col min="10" max="10" width="12" style="470" customWidth="1"/>
    <col min="11" max="12" width="11.85546875" style="470" customWidth="1"/>
    <col min="13" max="13" width="12.85546875" style="470" customWidth="1"/>
    <col min="14" max="14" width="12.5703125" style="470" customWidth="1"/>
    <col min="15" max="15" width="10.7109375" style="470" customWidth="1"/>
    <col min="16" max="16" width="11.42578125" style="470"/>
    <col min="17" max="17" width="11.28515625" style="470" customWidth="1"/>
    <col min="18" max="18" width="11.42578125" style="470"/>
    <col min="19" max="19" width="9.7109375" style="470" customWidth="1"/>
    <col min="20" max="20" width="12.5703125" style="470" customWidth="1"/>
    <col min="21" max="22" width="11.42578125" style="470"/>
    <col min="23" max="23" width="11.85546875" style="470" customWidth="1"/>
    <col min="24" max="24" width="11.85546875" style="471" customWidth="1"/>
    <col min="25" max="61" width="11.85546875" style="467" customWidth="1"/>
    <col min="62" max="63" width="11.85546875" style="471" customWidth="1"/>
    <col min="64" max="77" width="11.42578125" style="471" customWidth="1"/>
    <col min="78" max="78" width="11.42578125" style="471" hidden="1" customWidth="1"/>
    <col min="79" max="92" width="11.42578125" style="470" hidden="1" customWidth="1"/>
    <col min="93" max="100" width="10.7109375" style="470" hidden="1" customWidth="1"/>
    <col min="101" max="105" width="11.42578125" style="470" hidden="1" customWidth="1"/>
    <col min="106" max="115" width="11.42578125" style="470" customWidth="1"/>
    <col min="116" max="16384" width="11.42578125" style="470"/>
  </cols>
  <sheetData>
    <row r="1" spans="1:103" s="468" customFormat="1" ht="13.5" customHeight="1" x14ac:dyDescent="0.15">
      <c r="A1" s="466" t="s">
        <v>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466"/>
      <c r="V1" s="466"/>
      <c r="W1" s="466"/>
      <c r="X1" s="467"/>
      <c r="Y1" s="467"/>
      <c r="Z1" s="467"/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  <c r="AV1" s="467"/>
      <c r="AW1" s="467"/>
      <c r="AX1" s="467"/>
      <c r="AY1" s="467"/>
      <c r="AZ1" s="467"/>
      <c r="BA1" s="467"/>
      <c r="BB1" s="467"/>
      <c r="BC1" s="467"/>
      <c r="BD1" s="467"/>
      <c r="BE1" s="467"/>
      <c r="BF1" s="467"/>
      <c r="BG1" s="467"/>
      <c r="BH1" s="467"/>
      <c r="BI1" s="467"/>
      <c r="BJ1" s="467"/>
      <c r="BK1" s="467"/>
      <c r="BL1" s="467"/>
      <c r="BM1" s="467"/>
      <c r="BN1" s="467"/>
      <c r="BO1" s="467"/>
      <c r="BP1" s="467"/>
      <c r="BQ1" s="467"/>
      <c r="BR1" s="467"/>
      <c r="BS1" s="467"/>
      <c r="BT1" s="467"/>
      <c r="BU1" s="467"/>
      <c r="BV1" s="467"/>
      <c r="BW1" s="467"/>
      <c r="BX1" s="467"/>
      <c r="BY1" s="467"/>
      <c r="BZ1" s="467"/>
    </row>
    <row r="2" spans="1:103" s="468" customFormat="1" ht="13.5" customHeight="1" x14ac:dyDescent="0.15">
      <c r="A2" s="466" t="str">
        <f>CONCATENATE("COMUNA: ",NOMBRE!$B$2,"   ","( ",NOMBRE!$C$2,NOMBRE!$D$2,NOMBRE!$E$2,NOMBRE!$F$2,NOMBRE!$G$2," )")</f>
        <v>COMUNA:    (  )</v>
      </c>
      <c r="B2" s="466"/>
      <c r="C2" s="466"/>
      <c r="D2" s="469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  <c r="AO2" s="467"/>
      <c r="AP2" s="467"/>
      <c r="AQ2" s="467"/>
      <c r="AR2" s="467"/>
      <c r="AS2" s="467"/>
      <c r="AT2" s="467"/>
      <c r="AU2" s="467"/>
      <c r="AV2" s="467"/>
      <c r="AW2" s="467"/>
      <c r="AX2" s="467"/>
      <c r="AY2" s="467"/>
      <c r="AZ2" s="467"/>
      <c r="BA2" s="467"/>
      <c r="BB2" s="467"/>
      <c r="BC2" s="467"/>
      <c r="BD2" s="467"/>
      <c r="BE2" s="467"/>
      <c r="BF2" s="467"/>
      <c r="BG2" s="467"/>
      <c r="BH2" s="467"/>
      <c r="BI2" s="467"/>
      <c r="BJ2" s="467"/>
      <c r="BK2" s="467"/>
      <c r="BL2" s="467"/>
      <c r="BM2" s="467"/>
      <c r="BN2" s="467"/>
      <c r="BO2" s="467"/>
      <c r="BP2" s="467"/>
      <c r="BQ2" s="467"/>
      <c r="BR2" s="467"/>
      <c r="BS2" s="467"/>
      <c r="BT2" s="467"/>
      <c r="BU2" s="467"/>
      <c r="BV2" s="467"/>
      <c r="BW2" s="467"/>
      <c r="BX2" s="467"/>
      <c r="BY2" s="467"/>
      <c r="BZ2" s="467"/>
    </row>
    <row r="3" spans="1:103" s="468" customFormat="1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  <c r="AT3" s="467"/>
      <c r="AU3" s="467"/>
      <c r="AV3" s="467"/>
      <c r="AW3" s="467"/>
      <c r="AX3" s="467"/>
      <c r="AY3" s="467"/>
      <c r="AZ3" s="467"/>
      <c r="BA3" s="467"/>
      <c r="BB3" s="467"/>
      <c r="BC3" s="467"/>
      <c r="BD3" s="467"/>
      <c r="BE3" s="467"/>
      <c r="BF3" s="467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67"/>
      <c r="BT3" s="467"/>
      <c r="BU3" s="467"/>
      <c r="BV3" s="467"/>
      <c r="BW3" s="467"/>
      <c r="BX3" s="467"/>
      <c r="BY3" s="467"/>
      <c r="BZ3" s="467"/>
    </row>
    <row r="4" spans="1:103" s="468" customFormat="1" ht="13.5" customHeight="1" x14ac:dyDescent="0.15">
      <c r="A4" s="466" t="str">
        <f>CONCATENATE("MES: ",NOMBRE!$B$6,"   ","( ",NOMBRE!$C$6,NOMBRE!$D$6," )")</f>
        <v>MES:    (  )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467"/>
      <c r="AI4" s="467"/>
      <c r="AJ4" s="467"/>
      <c r="AK4" s="467"/>
      <c r="AL4" s="467"/>
      <c r="AM4" s="467"/>
      <c r="AN4" s="467"/>
      <c r="AO4" s="467"/>
      <c r="AP4" s="467"/>
      <c r="AQ4" s="467"/>
      <c r="AR4" s="467"/>
      <c r="AS4" s="467"/>
      <c r="AT4" s="467"/>
      <c r="AU4" s="467"/>
      <c r="AV4" s="467"/>
      <c r="AW4" s="467"/>
      <c r="AX4" s="467"/>
      <c r="AY4" s="467"/>
      <c r="AZ4" s="467"/>
      <c r="BA4" s="467"/>
      <c r="BB4" s="467"/>
      <c r="BC4" s="467"/>
      <c r="BD4" s="467"/>
      <c r="BE4" s="467"/>
      <c r="BF4" s="467"/>
      <c r="BG4" s="467"/>
      <c r="BH4" s="467"/>
      <c r="BI4" s="467"/>
      <c r="BJ4" s="467"/>
      <c r="BK4" s="467"/>
      <c r="BL4" s="467"/>
      <c r="BM4" s="467"/>
      <c r="BN4" s="467"/>
      <c r="BO4" s="467"/>
      <c r="BP4" s="467"/>
      <c r="BQ4" s="467"/>
      <c r="BR4" s="467"/>
      <c r="BS4" s="467"/>
      <c r="BT4" s="467"/>
      <c r="BU4" s="467"/>
      <c r="BV4" s="467"/>
      <c r="BW4" s="467"/>
      <c r="BX4" s="467"/>
      <c r="BY4" s="467"/>
      <c r="BZ4" s="467"/>
    </row>
    <row r="5" spans="1:103" s="468" customFormat="1" ht="13.5" customHeight="1" x14ac:dyDescent="0.15">
      <c r="A5" s="466" t="str">
        <f>CONCATENATE("AÑO: ",NOMBRE!$B$7)</f>
        <v>AÑO: 2026</v>
      </c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7"/>
      <c r="Y5" s="467"/>
      <c r="Z5" s="467"/>
      <c r="AA5" s="467"/>
      <c r="AB5" s="467"/>
      <c r="AC5" s="467"/>
      <c r="AD5" s="467"/>
      <c r="AE5" s="467"/>
      <c r="AF5" s="467"/>
      <c r="AG5" s="467"/>
      <c r="AH5" s="467"/>
      <c r="AI5" s="467"/>
      <c r="AJ5" s="467"/>
      <c r="AK5" s="467"/>
      <c r="AL5" s="467"/>
      <c r="AM5" s="467"/>
      <c r="AN5" s="467"/>
      <c r="AO5" s="467"/>
      <c r="AP5" s="467"/>
      <c r="AQ5" s="467"/>
      <c r="AR5" s="467"/>
      <c r="AS5" s="467"/>
      <c r="AT5" s="467"/>
      <c r="AU5" s="467"/>
      <c r="AV5" s="467"/>
      <c r="AW5" s="467"/>
      <c r="AX5" s="467"/>
      <c r="AY5" s="467"/>
      <c r="AZ5" s="467"/>
      <c r="BA5" s="467"/>
      <c r="BB5" s="467"/>
      <c r="BC5" s="467"/>
      <c r="BD5" s="467"/>
      <c r="BE5" s="467"/>
      <c r="BF5" s="467"/>
      <c r="BG5" s="467"/>
      <c r="BH5" s="467"/>
      <c r="BI5" s="467"/>
      <c r="BJ5" s="467"/>
      <c r="BK5" s="467"/>
      <c r="BL5" s="467"/>
      <c r="BM5" s="467"/>
      <c r="BN5" s="467"/>
      <c r="BO5" s="467"/>
      <c r="BP5" s="467"/>
      <c r="BQ5" s="467"/>
      <c r="BR5" s="467"/>
      <c r="BS5" s="467"/>
      <c r="BT5" s="467"/>
      <c r="BU5" s="467"/>
      <c r="BV5" s="467"/>
      <c r="BW5" s="467"/>
      <c r="BX5" s="467"/>
      <c r="BY5" s="467"/>
      <c r="BZ5" s="467"/>
    </row>
    <row r="6" spans="1:103" ht="18" customHeight="1" x14ac:dyDescent="0.15">
      <c r="A6" s="1821" t="s">
        <v>45</v>
      </c>
      <c r="B6" s="1821"/>
      <c r="C6" s="1821"/>
      <c r="D6" s="1821"/>
      <c r="E6" s="1821"/>
      <c r="F6" s="1821"/>
      <c r="G6" s="1821"/>
      <c r="H6" s="1821"/>
      <c r="I6" s="1821"/>
      <c r="J6" s="1821"/>
      <c r="K6" s="1821"/>
      <c r="L6" s="1821"/>
      <c r="M6" s="1821"/>
      <c r="N6" s="1821"/>
      <c r="O6" s="1821"/>
      <c r="P6" s="1821"/>
    </row>
    <row r="7" spans="1:103" ht="17.100000000000001" customHeight="1" x14ac:dyDescent="0.15">
      <c r="A7" s="1794" t="s">
        <v>46</v>
      </c>
      <c r="B7" s="1795"/>
      <c r="C7" s="1795"/>
      <c r="D7" s="1795"/>
      <c r="E7" s="1795"/>
      <c r="F7" s="1795"/>
      <c r="G7" s="1795"/>
      <c r="H7" s="472"/>
    </row>
    <row r="8" spans="1:103" ht="17.100000000000001" customHeight="1" x14ac:dyDescent="0.15">
      <c r="A8" s="1798" t="s">
        <v>47</v>
      </c>
      <c r="B8" s="1799"/>
      <c r="C8" s="1799"/>
      <c r="D8" s="1799"/>
      <c r="E8" s="1799"/>
      <c r="F8" s="1799"/>
      <c r="G8" s="1799"/>
      <c r="H8" s="1799"/>
      <c r="I8" s="1799"/>
      <c r="J8" s="1799"/>
      <c r="K8" s="1799"/>
      <c r="L8" s="1799"/>
      <c r="M8" s="1799"/>
      <c r="N8" s="474"/>
    </row>
    <row r="9" spans="1:103" ht="15" customHeight="1" x14ac:dyDescent="0.15">
      <c r="A9" s="1813" t="s">
        <v>48</v>
      </c>
      <c r="B9" s="1814"/>
      <c r="C9" s="1817" t="s">
        <v>49</v>
      </c>
      <c r="D9" s="1865" t="s">
        <v>50</v>
      </c>
      <c r="E9" s="1866"/>
      <c r="F9" s="1866"/>
      <c r="G9" s="1866"/>
      <c r="H9" s="1866"/>
      <c r="I9" s="1866"/>
      <c r="J9" s="1866"/>
      <c r="K9" s="1866"/>
      <c r="L9" s="1866"/>
      <c r="M9" s="1866"/>
      <c r="N9" s="1866"/>
      <c r="O9" s="1866"/>
      <c r="P9" s="1867"/>
      <c r="Q9" s="1819" t="s">
        <v>51</v>
      </c>
      <c r="R9" s="1841" t="s">
        <v>52</v>
      </c>
      <c r="S9" s="1843"/>
      <c r="T9" s="1846" t="s">
        <v>53</v>
      </c>
      <c r="U9" s="1841" t="s">
        <v>54</v>
      </c>
      <c r="V9" s="1842"/>
      <c r="W9" s="1843"/>
      <c r="X9" s="1844" t="s">
        <v>55</v>
      </c>
      <c r="Y9" s="470"/>
      <c r="Z9" s="470"/>
      <c r="AA9" s="470"/>
      <c r="AB9" s="470"/>
      <c r="AC9" s="471"/>
      <c r="BJ9" s="467"/>
      <c r="BK9" s="467"/>
      <c r="BL9" s="467"/>
      <c r="BM9" s="467"/>
      <c r="BN9" s="467"/>
      <c r="CA9" s="471"/>
      <c r="CB9" s="471"/>
      <c r="CC9" s="471"/>
      <c r="CD9" s="471"/>
      <c r="CE9" s="471"/>
    </row>
    <row r="10" spans="1:103" ht="33" customHeight="1" x14ac:dyDescent="0.15">
      <c r="A10" s="1815"/>
      <c r="B10" s="1816"/>
      <c r="C10" s="1818"/>
      <c r="D10" s="476" t="s">
        <v>56</v>
      </c>
      <c r="E10" s="477" t="s">
        <v>57</v>
      </c>
      <c r="F10" s="477" t="s">
        <v>58</v>
      </c>
      <c r="G10" s="478" t="s">
        <v>59</v>
      </c>
      <c r="H10" s="478" t="s">
        <v>60</v>
      </c>
      <c r="I10" s="478" t="s">
        <v>61</v>
      </c>
      <c r="J10" s="478" t="s">
        <v>62</v>
      </c>
      <c r="K10" s="478" t="s">
        <v>63</v>
      </c>
      <c r="L10" s="478" t="s">
        <v>64</v>
      </c>
      <c r="M10" s="479" t="s">
        <v>65</v>
      </c>
      <c r="N10" s="478" t="s">
        <v>66</v>
      </c>
      <c r="O10" s="480" t="s">
        <v>67</v>
      </c>
      <c r="P10" s="481" t="s">
        <v>68</v>
      </c>
      <c r="Q10" s="1820"/>
      <c r="R10" s="482" t="s">
        <v>69</v>
      </c>
      <c r="S10" s="483" t="s">
        <v>70</v>
      </c>
      <c r="T10" s="1847"/>
      <c r="U10" s="484" t="s">
        <v>71</v>
      </c>
      <c r="V10" s="485" t="s">
        <v>72</v>
      </c>
      <c r="W10" s="486" t="s">
        <v>73</v>
      </c>
      <c r="X10" s="1845"/>
      <c r="Y10" s="487"/>
      <c r="Z10" s="487"/>
      <c r="AA10" s="487"/>
      <c r="AB10" s="487"/>
      <c r="AC10" s="488"/>
      <c r="BJ10" s="467"/>
      <c r="BK10" s="467"/>
      <c r="BL10" s="467"/>
      <c r="BM10" s="467"/>
      <c r="BN10" s="467"/>
      <c r="CA10" s="471"/>
      <c r="CB10" s="471"/>
      <c r="CC10" s="471"/>
      <c r="CD10" s="471"/>
      <c r="CE10" s="471"/>
    </row>
    <row r="11" spans="1:103" ht="15" customHeight="1" x14ac:dyDescent="0.15">
      <c r="A11" s="1804" t="s">
        <v>74</v>
      </c>
      <c r="B11" s="1805"/>
      <c r="C11" s="489">
        <f>SUM(D11:M11)</f>
        <v>0</v>
      </c>
      <c r="D11" s="490"/>
      <c r="E11" s="490"/>
      <c r="F11" s="490"/>
      <c r="G11" s="490"/>
      <c r="H11" s="490"/>
      <c r="I11" s="490"/>
      <c r="J11" s="490"/>
      <c r="K11" s="490"/>
      <c r="L11" s="490"/>
      <c r="M11" s="490"/>
      <c r="N11" s="491"/>
      <c r="O11" s="491"/>
      <c r="P11" s="492"/>
      <c r="Q11" s="493"/>
      <c r="R11" s="494"/>
      <c r="S11" s="495"/>
      <c r="T11" s="495"/>
      <c r="U11" s="490"/>
      <c r="V11" s="496"/>
      <c r="W11" s="497"/>
      <c r="X11" s="497"/>
      <c r="Y11" s="498" t="str">
        <f>$CA11&amp;CB11&amp;CC11&amp;CD11&amp;CE11&amp;CF11&amp;CG11&amp;CH11&amp;CI11&amp;CJ11</f>
        <v/>
      </c>
      <c r="Z11" s="470"/>
      <c r="AA11" s="470"/>
      <c r="AB11" s="470"/>
      <c r="AC11" s="471"/>
      <c r="BJ11" s="467"/>
      <c r="BK11" s="467"/>
      <c r="BL11" s="467"/>
      <c r="BM11" s="467"/>
      <c r="BN11" s="467"/>
      <c r="CA11" s="499" t="str">
        <f>IF(AND($C11&lt;&gt;0,Q11=""),"* No olvide ingresar la variable "&amp;Q$9&amp;""&amp;". Digite CERO si no tiene.",IF(Q11&gt;$C11,"* El Número de Pueblos Originarios no puede superar el Total. ",""))</f>
        <v/>
      </c>
      <c r="CB11" s="499" t="str">
        <f>IF(AND($C11&gt;0,R11=""),"* No olvide ingresar la variable "&amp;R$9&amp;""&amp;" Menor de 20 años. Digite CERO si no tiene datos.","")</f>
        <v/>
      </c>
      <c r="CC11" s="499" t="str">
        <f>IF(AND($C11&gt;0,S11=""),"*No olvide ingresar la variable "&amp;R$9&amp;" 20 años y más. Digite CERO si no tiene datos.", "")</f>
        <v/>
      </c>
      <c r="CD11" s="499" t="str">
        <f>IF(($R11)&gt;SUM(D11+E11), "*El total de migrantes menor de 20 años no puede ser mayor a la suma de rangos etarios menor de 20 años.", "")</f>
        <v/>
      </c>
      <c r="CE11" s="499" t="str">
        <f>IF(AND($C11&gt;0,T11=""),"* No olvide ingresar la variable "&amp;T$9&amp;""&amp;". Digite CERO si no tiene","")</f>
        <v/>
      </c>
      <c r="CF11" s="499" t="str">
        <f t="shared" ref="CF11:CF20" si="0">IF(AND($C11&lt;&gt;0,U11=""),"* No olvide ingresar la variable "&amp;U$10&amp;""&amp;". Digite CERO si no tiene.",IF(U11&gt;$C11,"* El Número de Trans masculino no puede superar el Total. ",""))</f>
        <v/>
      </c>
      <c r="CG11" s="500"/>
      <c r="CH11" s="499" t="str">
        <f t="shared" ref="CH11:CH24" si="1">IF(AND($C11&lt;&gt;0,W11=""),"* No olvide ingresar la variable "&amp;W$10&amp;""&amp;". Digite CERO si no tiene.",IF(W11&gt;$C11,"* El Número de No Binarie no puede superar el Total. ",""))</f>
        <v/>
      </c>
      <c r="CI11" s="499" t="str">
        <f t="shared" ref="CI11:CI24" si="2">IF(AND($C11&lt;&gt;0,X11=""),"* No olvide ingresar la variable "&amp;X$9&amp;""&amp;". Digite CERO si no tiene.",IF(X11&gt;$C11,"* El Número de Personas con discapacidad no puede superar el Total. ",""))</f>
        <v/>
      </c>
      <c r="CJ11" s="499" t="str">
        <f>IF(($S11)&gt;SUM(F11:M11), "*El total de migrantes de 20 años y más no puede ser mayor a la suma de rangos etarios de 20 años y más.", "")</f>
        <v/>
      </c>
      <c r="CP11" s="501">
        <f>IF(AND($C11&lt;&gt;0,$Q11=""),1,IF($Q11&gt;$C11,1,0))</f>
        <v>0</v>
      </c>
      <c r="CQ11" s="501">
        <f>IF(AND($C11&lt;&gt;0,ISBLANK($R11)),1,0)</f>
        <v>0</v>
      </c>
      <c r="CR11" s="501">
        <f>IF(AND($C11&lt;&gt;0,ISBLANK($S11)),1,0)</f>
        <v>0</v>
      </c>
      <c r="CS11" s="501">
        <f>IF(($R11)&gt;SUM(D11+E11),1,0)</f>
        <v>0</v>
      </c>
      <c r="CT11" s="501">
        <f>IF(AND($C11&lt;&gt;0,$T11=""),1,IF($T11&gt;$C11,1,0))</f>
        <v>0</v>
      </c>
      <c r="CU11" s="501">
        <f>IF(AND($C11&lt;&gt;0,$U11=""),1,IF($U11&gt;$C11,1,0))</f>
        <v>0</v>
      </c>
      <c r="CV11" s="502"/>
      <c r="CW11" s="501">
        <f t="shared" ref="CW11:CW24" si="3">IF(AND($C11&lt;&gt;0,W11=""),1,IF(W11&gt;$C11,1,0))</f>
        <v>0</v>
      </c>
      <c r="CX11" s="501">
        <f t="shared" ref="CX11:CX24" si="4">IF(AND($C11&lt;&gt;0,X11=""),1,IF(X11&gt;$C11,1,0))</f>
        <v>0</v>
      </c>
      <c r="CY11" s="501">
        <f>IF(($S11)&gt;SUM(F11:M11),1,0)</f>
        <v>0</v>
      </c>
    </row>
    <row r="12" spans="1:103" ht="15" customHeight="1" x14ac:dyDescent="0.15">
      <c r="A12" s="503" t="s">
        <v>75</v>
      </c>
      <c r="B12" s="504"/>
      <c r="C12" s="505">
        <f t="shared" ref="C12:C18" si="5">SUM(D12:M12)</f>
        <v>0</v>
      </c>
      <c r="D12" s="490"/>
      <c r="E12" s="490"/>
      <c r="F12" s="490"/>
      <c r="G12" s="490"/>
      <c r="H12" s="490"/>
      <c r="I12" s="490"/>
      <c r="J12" s="490"/>
      <c r="K12" s="490"/>
      <c r="L12" s="490"/>
      <c r="M12" s="490"/>
      <c r="N12" s="506"/>
      <c r="O12" s="506"/>
      <c r="P12" s="507"/>
      <c r="Q12" s="508"/>
      <c r="R12" s="509"/>
      <c r="S12" s="510"/>
      <c r="T12" s="510"/>
      <c r="U12" s="511"/>
      <c r="V12" s="512"/>
      <c r="W12" s="513"/>
      <c r="X12" s="513"/>
      <c r="Y12" s="498" t="str">
        <f>$CA12&amp;CB12&amp;CC12&amp;CD12&amp;CE12&amp;CF12&amp;CG12&amp;CH12&amp;CI12&amp;CJ12</f>
        <v/>
      </c>
      <c r="Z12" s="470"/>
      <c r="AA12" s="470"/>
      <c r="AB12" s="470"/>
      <c r="AC12" s="471"/>
      <c r="BJ12" s="467"/>
      <c r="BK12" s="467"/>
      <c r="BL12" s="467"/>
      <c r="BM12" s="467"/>
      <c r="BN12" s="467"/>
      <c r="CA12" s="499" t="str">
        <f t="shared" ref="CA12:CA20" si="6">IF(AND($C12&lt;&gt;0,Q12=""),"* No olvide ingresar la variable "&amp;Q$9&amp;""&amp;". Digite CERO si no tiene.",IF(Q12&gt;$C12,"* El Número de Pueblos Originarios no puede superar el Total. ",""))</f>
        <v/>
      </c>
      <c r="CB12" s="499" t="str">
        <f t="shared" ref="CB12:CB24" si="7">IF(AND($C12&gt;0,R12=""),"* No olvide ingresar la variable "&amp;R$9&amp;""&amp;" Menor de 20 años. Digite CERO si no tiene datos.","")</f>
        <v/>
      </c>
      <c r="CC12" s="499" t="str">
        <f t="shared" ref="CC12:CC24" si="8">IF(AND($C12&gt;0,S12=""),"*No olvide ingresar la variable "&amp;R$9&amp;" 20 años y más. Digite CERO si no tiene datos.", "")</f>
        <v/>
      </c>
      <c r="CD12" s="499" t="str">
        <f t="shared" ref="CD12:CD31" si="9">IF(($R12)&gt;SUM(D12+E12), "*El total de migrantes menor de 20 años no puede ser mayor a la suma de rangos etarios menor de 20 años.", "")</f>
        <v/>
      </c>
      <c r="CE12" s="499" t="str">
        <f t="shared" ref="CE12:CE24" si="10">IF(AND($C12&gt;0,T12=""),"* No olvide ingresar la variable "&amp;T$9&amp;""&amp;". Digite CERO si no tiene","")</f>
        <v/>
      </c>
      <c r="CF12" s="499" t="str">
        <f t="shared" si="0"/>
        <v/>
      </c>
      <c r="CG12" s="500"/>
      <c r="CH12" s="499" t="str">
        <f t="shared" si="1"/>
        <v/>
      </c>
      <c r="CI12" s="499" t="str">
        <f t="shared" si="2"/>
        <v/>
      </c>
      <c r="CJ12" s="499" t="str">
        <f t="shared" ref="CJ12:CJ31" si="11">IF(($S12)&gt;SUM(F12:M12), "*El total de migrantes de 20 años y más no puede ser mayor a la suma de rangos etarios de 20 años y más.", "")</f>
        <v/>
      </c>
      <c r="CP12" s="501">
        <f t="shared" ref="CP12:CP31" si="12">IF(AND($C12&lt;&gt;0,$Q12=""),1,IF($Q12&gt;$C12,1,0))</f>
        <v>0</v>
      </c>
      <c r="CQ12" s="501">
        <f t="shared" ref="CQ12:CQ24" si="13">IF(AND($C12&lt;&gt;0,ISBLANK($R12)),1,0)</f>
        <v>0</v>
      </c>
      <c r="CR12" s="501">
        <f t="shared" ref="CR12:CR31" si="14">IF(AND($C12&lt;&gt;0,ISBLANK($S12)),1,0)</f>
        <v>0</v>
      </c>
      <c r="CS12" s="501">
        <f t="shared" ref="CS12:CS31" si="15">IF(($R12)&gt;SUM(D12+E12),1,0)</f>
        <v>0</v>
      </c>
      <c r="CT12" s="501">
        <f t="shared" ref="CT12:CT31" si="16">IF(AND($C12&lt;&gt;0,$T12=""),1,IF($T12&gt;$C12,1,0))</f>
        <v>0</v>
      </c>
      <c r="CU12" s="501">
        <f t="shared" ref="CU12:CU31" si="17">IF(AND($C12&lt;&gt;0,$U12=""),1,IF($U12&gt;$C12,1,0))</f>
        <v>0</v>
      </c>
      <c r="CV12" s="502"/>
      <c r="CW12" s="501">
        <f t="shared" si="3"/>
        <v>0</v>
      </c>
      <c r="CX12" s="501">
        <f t="shared" si="4"/>
        <v>0</v>
      </c>
      <c r="CY12" s="501">
        <f t="shared" ref="CY12:CY31" si="18">IF(($S12)&gt;SUM(F12:M12),1,0)</f>
        <v>0</v>
      </c>
    </row>
    <row r="13" spans="1:103" ht="15" customHeight="1" x14ac:dyDescent="0.15">
      <c r="A13" s="1868" t="s">
        <v>76</v>
      </c>
      <c r="B13" s="514" t="s">
        <v>77</v>
      </c>
      <c r="C13" s="515">
        <f t="shared" si="5"/>
        <v>0</v>
      </c>
      <c r="D13" s="494"/>
      <c r="E13" s="516"/>
      <c r="F13" s="516"/>
      <c r="G13" s="516"/>
      <c r="H13" s="516"/>
      <c r="I13" s="516"/>
      <c r="J13" s="516"/>
      <c r="K13" s="516"/>
      <c r="L13" s="516"/>
      <c r="M13" s="516"/>
      <c r="N13" s="517"/>
      <c r="O13" s="517"/>
      <c r="P13" s="518"/>
      <c r="Q13" s="519"/>
      <c r="R13" s="520"/>
      <c r="S13" s="521"/>
      <c r="T13" s="521"/>
      <c r="U13" s="522"/>
      <c r="V13" s="523"/>
      <c r="W13" s="524"/>
      <c r="X13" s="524"/>
      <c r="Y13" s="498" t="str">
        <f t="shared" ref="Y13:Y31" si="19">$CA13&amp;CB13&amp;CC13&amp;CD13&amp;CE13&amp;CF13&amp;CG13&amp;CH13&amp;CI13&amp;CJ13</f>
        <v/>
      </c>
      <c r="Z13" s="470"/>
      <c r="AA13" s="470"/>
      <c r="AB13" s="470"/>
      <c r="AC13" s="471"/>
      <c r="BJ13" s="467"/>
      <c r="BK13" s="467"/>
      <c r="BL13" s="467"/>
      <c r="BM13" s="467"/>
      <c r="BN13" s="467"/>
      <c r="CA13" s="499" t="str">
        <f t="shared" si="6"/>
        <v/>
      </c>
      <c r="CB13" s="499" t="str">
        <f t="shared" si="7"/>
        <v/>
      </c>
      <c r="CC13" s="499" t="str">
        <f t="shared" si="8"/>
        <v/>
      </c>
      <c r="CD13" s="499" t="str">
        <f t="shared" si="9"/>
        <v/>
      </c>
      <c r="CE13" s="499" t="str">
        <f t="shared" si="10"/>
        <v/>
      </c>
      <c r="CF13" s="499" t="str">
        <f t="shared" si="0"/>
        <v/>
      </c>
      <c r="CG13" s="500"/>
      <c r="CH13" s="499" t="str">
        <f t="shared" si="1"/>
        <v/>
      </c>
      <c r="CI13" s="499" t="str">
        <f t="shared" si="2"/>
        <v/>
      </c>
      <c r="CJ13" s="499" t="str">
        <f t="shared" si="11"/>
        <v/>
      </c>
      <c r="CP13" s="501">
        <f t="shared" si="12"/>
        <v>0</v>
      </c>
      <c r="CQ13" s="501">
        <f t="shared" si="13"/>
        <v>0</v>
      </c>
      <c r="CR13" s="501">
        <f t="shared" si="14"/>
        <v>0</v>
      </c>
      <c r="CS13" s="501">
        <f t="shared" si="15"/>
        <v>0</v>
      </c>
      <c r="CT13" s="501">
        <f t="shared" si="16"/>
        <v>0</v>
      </c>
      <c r="CU13" s="501">
        <f t="shared" si="17"/>
        <v>0</v>
      </c>
      <c r="CV13" s="502"/>
      <c r="CW13" s="501">
        <f t="shared" si="3"/>
        <v>0</v>
      </c>
      <c r="CX13" s="501">
        <f t="shared" si="4"/>
        <v>0</v>
      </c>
      <c r="CY13" s="501">
        <f t="shared" si="18"/>
        <v>0</v>
      </c>
    </row>
    <row r="14" spans="1:103" ht="15" customHeight="1" x14ac:dyDescent="0.15">
      <c r="A14" s="1881"/>
      <c r="B14" s="525" t="s">
        <v>78</v>
      </c>
      <c r="C14" s="515">
        <f t="shared" si="5"/>
        <v>0</v>
      </c>
      <c r="D14" s="520"/>
      <c r="E14" s="526"/>
      <c r="F14" s="527"/>
      <c r="G14" s="528"/>
      <c r="H14" s="528"/>
      <c r="I14" s="528"/>
      <c r="J14" s="528"/>
      <c r="K14" s="528"/>
      <c r="L14" s="528"/>
      <c r="M14" s="528"/>
      <c r="N14" s="529"/>
      <c r="O14" s="529"/>
      <c r="P14" s="530"/>
      <c r="Q14" s="519"/>
      <c r="R14" s="531"/>
      <c r="S14" s="532"/>
      <c r="T14" s="532"/>
      <c r="U14" s="522"/>
      <c r="V14" s="533"/>
      <c r="W14" s="534"/>
      <c r="X14" s="534"/>
      <c r="Y14" s="498" t="str">
        <f t="shared" si="19"/>
        <v/>
      </c>
      <c r="Z14" s="470"/>
      <c r="AA14" s="470"/>
      <c r="AB14" s="470"/>
      <c r="AC14" s="471"/>
      <c r="BJ14" s="467"/>
      <c r="BK14" s="467"/>
      <c r="BL14" s="467"/>
      <c r="BM14" s="467"/>
      <c r="BN14" s="467"/>
      <c r="CA14" s="499" t="str">
        <f t="shared" si="6"/>
        <v/>
      </c>
      <c r="CB14" s="499" t="str">
        <f t="shared" si="7"/>
        <v/>
      </c>
      <c r="CC14" s="499" t="str">
        <f t="shared" si="8"/>
        <v/>
      </c>
      <c r="CD14" s="499" t="str">
        <f t="shared" si="9"/>
        <v/>
      </c>
      <c r="CE14" s="499" t="str">
        <f t="shared" si="10"/>
        <v/>
      </c>
      <c r="CF14" s="499" t="str">
        <f t="shared" si="0"/>
        <v/>
      </c>
      <c r="CG14" s="500"/>
      <c r="CH14" s="499" t="str">
        <f t="shared" si="1"/>
        <v/>
      </c>
      <c r="CI14" s="499" t="str">
        <f t="shared" si="2"/>
        <v/>
      </c>
      <c r="CJ14" s="499" t="str">
        <f t="shared" si="11"/>
        <v/>
      </c>
      <c r="CP14" s="501">
        <f t="shared" si="12"/>
        <v>0</v>
      </c>
      <c r="CQ14" s="501">
        <f t="shared" si="13"/>
        <v>0</v>
      </c>
      <c r="CR14" s="501">
        <f t="shared" si="14"/>
        <v>0</v>
      </c>
      <c r="CS14" s="501">
        <f t="shared" si="15"/>
        <v>0</v>
      </c>
      <c r="CT14" s="501">
        <f t="shared" si="16"/>
        <v>0</v>
      </c>
      <c r="CU14" s="501">
        <f t="shared" si="17"/>
        <v>0</v>
      </c>
      <c r="CV14" s="502"/>
      <c r="CW14" s="501">
        <f t="shared" si="3"/>
        <v>0</v>
      </c>
      <c r="CX14" s="501">
        <f t="shared" si="4"/>
        <v>0</v>
      </c>
      <c r="CY14" s="501">
        <f t="shared" si="18"/>
        <v>0</v>
      </c>
    </row>
    <row r="15" spans="1:103" ht="15" customHeight="1" x14ac:dyDescent="0.15">
      <c r="A15" s="1881"/>
      <c r="B15" s="525" t="s">
        <v>79</v>
      </c>
      <c r="C15" s="515">
        <f t="shared" si="5"/>
        <v>0</v>
      </c>
      <c r="D15" s="531"/>
      <c r="E15" s="1687"/>
      <c r="F15" s="528"/>
      <c r="G15" s="528"/>
      <c r="H15" s="528"/>
      <c r="I15" s="528"/>
      <c r="J15" s="528"/>
      <c r="K15" s="528"/>
      <c r="L15" s="528"/>
      <c r="M15" s="528"/>
      <c r="N15" s="529"/>
      <c r="O15" s="529"/>
      <c r="P15" s="530"/>
      <c r="Q15" s="519"/>
      <c r="R15" s="531"/>
      <c r="S15" s="532"/>
      <c r="T15" s="532"/>
      <c r="U15" s="522"/>
      <c r="V15" s="533"/>
      <c r="W15" s="534"/>
      <c r="X15" s="534"/>
      <c r="Y15" s="498" t="str">
        <f t="shared" si="19"/>
        <v/>
      </c>
      <c r="Z15" s="470"/>
      <c r="AA15" s="470"/>
      <c r="AB15" s="470"/>
      <c r="AC15" s="471"/>
      <c r="BJ15" s="467"/>
      <c r="BK15" s="467"/>
      <c r="BL15" s="467"/>
      <c r="BM15" s="467"/>
      <c r="BN15" s="467"/>
      <c r="CA15" s="499" t="str">
        <f t="shared" si="6"/>
        <v/>
      </c>
      <c r="CB15" s="499" t="str">
        <f t="shared" si="7"/>
        <v/>
      </c>
      <c r="CC15" s="499" t="str">
        <f t="shared" si="8"/>
        <v/>
      </c>
      <c r="CD15" s="499" t="str">
        <f t="shared" si="9"/>
        <v/>
      </c>
      <c r="CE15" s="499" t="str">
        <f t="shared" si="10"/>
        <v/>
      </c>
      <c r="CF15" s="499" t="str">
        <f t="shared" si="0"/>
        <v/>
      </c>
      <c r="CG15" s="500"/>
      <c r="CH15" s="499" t="str">
        <f t="shared" si="1"/>
        <v/>
      </c>
      <c r="CI15" s="499" t="str">
        <f t="shared" si="2"/>
        <v/>
      </c>
      <c r="CJ15" s="499" t="str">
        <f t="shared" si="11"/>
        <v/>
      </c>
      <c r="CP15" s="501">
        <f t="shared" si="12"/>
        <v>0</v>
      </c>
      <c r="CQ15" s="501">
        <f t="shared" si="13"/>
        <v>0</v>
      </c>
      <c r="CR15" s="501">
        <f t="shared" si="14"/>
        <v>0</v>
      </c>
      <c r="CS15" s="501">
        <f t="shared" si="15"/>
        <v>0</v>
      </c>
      <c r="CT15" s="501">
        <f t="shared" si="16"/>
        <v>0</v>
      </c>
      <c r="CU15" s="501">
        <f t="shared" si="17"/>
        <v>0</v>
      </c>
      <c r="CV15" s="502"/>
      <c r="CW15" s="501">
        <f t="shared" si="3"/>
        <v>0</v>
      </c>
      <c r="CX15" s="501">
        <f t="shared" si="4"/>
        <v>0</v>
      </c>
      <c r="CY15" s="501">
        <f t="shared" si="18"/>
        <v>0</v>
      </c>
    </row>
    <row r="16" spans="1:103" ht="15" customHeight="1" x14ac:dyDescent="0.15">
      <c r="A16" s="1881"/>
      <c r="B16" s="525" t="s">
        <v>80</v>
      </c>
      <c r="C16" s="515">
        <f t="shared" si="5"/>
        <v>0</v>
      </c>
      <c r="D16" s="531"/>
      <c r="E16" s="528"/>
      <c r="F16" s="528"/>
      <c r="G16" s="528"/>
      <c r="H16" s="528"/>
      <c r="I16" s="528"/>
      <c r="J16" s="528"/>
      <c r="K16" s="528"/>
      <c r="L16" s="528"/>
      <c r="M16" s="528"/>
      <c r="N16" s="535"/>
      <c r="O16" s="535"/>
      <c r="P16" s="536"/>
      <c r="Q16" s="519"/>
      <c r="R16" s="537"/>
      <c r="S16" s="538"/>
      <c r="T16" s="538"/>
      <c r="U16" s="522"/>
      <c r="V16" s="539"/>
      <c r="W16" s="540"/>
      <c r="X16" s="540"/>
      <c r="Y16" s="498" t="str">
        <f t="shared" si="19"/>
        <v/>
      </c>
      <c r="Z16" s="470"/>
      <c r="AA16" s="470"/>
      <c r="AB16" s="470"/>
      <c r="AC16" s="471"/>
      <c r="BJ16" s="467"/>
      <c r="BK16" s="467"/>
      <c r="BL16" s="467"/>
      <c r="BM16" s="467"/>
      <c r="BN16" s="467"/>
      <c r="CA16" s="499" t="str">
        <f t="shared" si="6"/>
        <v/>
      </c>
      <c r="CB16" s="499" t="str">
        <f t="shared" si="7"/>
        <v/>
      </c>
      <c r="CC16" s="499" t="str">
        <f t="shared" si="8"/>
        <v/>
      </c>
      <c r="CD16" s="499" t="str">
        <f t="shared" si="9"/>
        <v/>
      </c>
      <c r="CE16" s="499" t="str">
        <f t="shared" si="10"/>
        <v/>
      </c>
      <c r="CF16" s="499" t="str">
        <f t="shared" si="0"/>
        <v/>
      </c>
      <c r="CG16" s="500"/>
      <c r="CH16" s="499" t="str">
        <f t="shared" si="1"/>
        <v/>
      </c>
      <c r="CI16" s="499" t="str">
        <f t="shared" si="2"/>
        <v/>
      </c>
      <c r="CJ16" s="499" t="str">
        <f t="shared" si="11"/>
        <v/>
      </c>
      <c r="CP16" s="501">
        <f t="shared" si="12"/>
        <v>0</v>
      </c>
      <c r="CQ16" s="501">
        <f t="shared" si="13"/>
        <v>0</v>
      </c>
      <c r="CR16" s="501">
        <f t="shared" si="14"/>
        <v>0</v>
      </c>
      <c r="CS16" s="501">
        <f t="shared" si="15"/>
        <v>0</v>
      </c>
      <c r="CT16" s="501">
        <f t="shared" si="16"/>
        <v>0</v>
      </c>
      <c r="CU16" s="501">
        <f t="shared" si="17"/>
        <v>0</v>
      </c>
      <c r="CV16" s="502"/>
      <c r="CW16" s="501">
        <f t="shared" si="3"/>
        <v>0</v>
      </c>
      <c r="CX16" s="501">
        <f t="shared" si="4"/>
        <v>0</v>
      </c>
      <c r="CY16" s="501">
        <f t="shared" si="18"/>
        <v>0</v>
      </c>
    </row>
    <row r="17" spans="1:103" ht="21" customHeight="1" x14ac:dyDescent="0.15">
      <c r="A17" s="1881"/>
      <c r="B17" s="525" t="s">
        <v>81</v>
      </c>
      <c r="C17" s="515">
        <f t="shared" si="5"/>
        <v>0</v>
      </c>
      <c r="D17" s="531"/>
      <c r="E17" s="528"/>
      <c r="F17" s="528"/>
      <c r="G17" s="528"/>
      <c r="H17" s="528"/>
      <c r="I17" s="528"/>
      <c r="J17" s="528"/>
      <c r="K17" s="528"/>
      <c r="L17" s="528"/>
      <c r="M17" s="528"/>
      <c r="N17" s="529"/>
      <c r="O17" s="529"/>
      <c r="P17" s="530"/>
      <c r="Q17" s="541"/>
      <c r="R17" s="531"/>
      <c r="S17" s="532"/>
      <c r="T17" s="532"/>
      <c r="U17" s="528"/>
      <c r="V17" s="533"/>
      <c r="W17" s="534"/>
      <c r="X17" s="534"/>
      <c r="Y17" s="498" t="str">
        <f t="shared" si="19"/>
        <v/>
      </c>
      <c r="Z17" s="470"/>
      <c r="AA17" s="470"/>
      <c r="AB17" s="470"/>
      <c r="AC17" s="471"/>
      <c r="BJ17" s="467"/>
      <c r="BK17" s="467"/>
      <c r="BL17" s="467"/>
      <c r="BM17" s="467"/>
      <c r="BN17" s="467"/>
      <c r="CA17" s="499" t="str">
        <f t="shared" si="6"/>
        <v/>
      </c>
      <c r="CB17" s="499" t="str">
        <f t="shared" si="7"/>
        <v/>
      </c>
      <c r="CC17" s="499" t="str">
        <f t="shared" si="8"/>
        <v/>
      </c>
      <c r="CD17" s="499" t="str">
        <f t="shared" si="9"/>
        <v/>
      </c>
      <c r="CE17" s="499" t="str">
        <f t="shared" si="10"/>
        <v/>
      </c>
      <c r="CF17" s="499" t="str">
        <f t="shared" si="0"/>
        <v/>
      </c>
      <c r="CG17" s="500"/>
      <c r="CH17" s="499" t="str">
        <f t="shared" si="1"/>
        <v/>
      </c>
      <c r="CI17" s="499" t="str">
        <f t="shared" si="2"/>
        <v/>
      </c>
      <c r="CJ17" s="499" t="str">
        <f t="shared" si="11"/>
        <v/>
      </c>
      <c r="CP17" s="501">
        <f t="shared" si="12"/>
        <v>0</v>
      </c>
      <c r="CQ17" s="501">
        <f t="shared" si="13"/>
        <v>0</v>
      </c>
      <c r="CR17" s="501">
        <f t="shared" si="14"/>
        <v>0</v>
      </c>
      <c r="CS17" s="501">
        <f t="shared" si="15"/>
        <v>0</v>
      </c>
      <c r="CT17" s="501">
        <f t="shared" si="16"/>
        <v>0</v>
      </c>
      <c r="CU17" s="501">
        <f t="shared" si="17"/>
        <v>0</v>
      </c>
      <c r="CV17" s="502"/>
      <c r="CW17" s="501">
        <f t="shared" si="3"/>
        <v>0</v>
      </c>
      <c r="CX17" s="501">
        <f t="shared" si="4"/>
        <v>0</v>
      </c>
      <c r="CY17" s="501">
        <f t="shared" si="18"/>
        <v>0</v>
      </c>
    </row>
    <row r="18" spans="1:103" ht="21" customHeight="1" x14ac:dyDescent="0.15">
      <c r="A18" s="1881"/>
      <c r="B18" s="525" t="s">
        <v>82</v>
      </c>
      <c r="C18" s="542">
        <f t="shared" si="5"/>
        <v>0</v>
      </c>
      <c r="D18" s="531"/>
      <c r="E18" s="528"/>
      <c r="F18" s="528"/>
      <c r="G18" s="528"/>
      <c r="H18" s="528"/>
      <c r="I18" s="528"/>
      <c r="J18" s="528"/>
      <c r="K18" s="528"/>
      <c r="L18" s="528"/>
      <c r="M18" s="528"/>
      <c r="N18" s="529"/>
      <c r="O18" s="529"/>
      <c r="P18" s="530"/>
      <c r="Q18" s="541"/>
      <c r="R18" s="531"/>
      <c r="S18" s="532"/>
      <c r="T18" s="532"/>
      <c r="U18" s="528"/>
      <c r="V18" s="533"/>
      <c r="W18" s="534"/>
      <c r="X18" s="534"/>
      <c r="Y18" s="498" t="str">
        <f t="shared" si="19"/>
        <v/>
      </c>
      <c r="Z18" s="470"/>
      <c r="AA18" s="470"/>
      <c r="AB18" s="470"/>
      <c r="AC18" s="471"/>
      <c r="BJ18" s="467"/>
      <c r="BK18" s="467"/>
      <c r="BL18" s="467"/>
      <c r="BM18" s="467"/>
      <c r="BN18" s="467"/>
      <c r="CA18" s="499" t="str">
        <f t="shared" si="6"/>
        <v/>
      </c>
      <c r="CB18" s="499" t="str">
        <f t="shared" si="7"/>
        <v/>
      </c>
      <c r="CC18" s="499" t="str">
        <f t="shared" si="8"/>
        <v/>
      </c>
      <c r="CD18" s="499" t="str">
        <f t="shared" si="9"/>
        <v/>
      </c>
      <c r="CE18" s="499" t="str">
        <f t="shared" si="10"/>
        <v/>
      </c>
      <c r="CF18" s="499" t="str">
        <f t="shared" si="0"/>
        <v/>
      </c>
      <c r="CG18" s="500"/>
      <c r="CH18" s="499" t="str">
        <f t="shared" si="1"/>
        <v/>
      </c>
      <c r="CI18" s="499" t="str">
        <f t="shared" si="2"/>
        <v/>
      </c>
      <c r="CJ18" s="499" t="str">
        <f t="shared" si="11"/>
        <v/>
      </c>
      <c r="CP18" s="501">
        <f t="shared" si="12"/>
        <v>0</v>
      </c>
      <c r="CQ18" s="501">
        <f t="shared" si="13"/>
        <v>0</v>
      </c>
      <c r="CR18" s="501">
        <f t="shared" si="14"/>
        <v>0</v>
      </c>
      <c r="CS18" s="501">
        <f t="shared" si="15"/>
        <v>0</v>
      </c>
      <c r="CT18" s="501">
        <f t="shared" si="16"/>
        <v>0</v>
      </c>
      <c r="CU18" s="501">
        <f t="shared" si="17"/>
        <v>0</v>
      </c>
      <c r="CV18" s="502"/>
      <c r="CW18" s="501">
        <f t="shared" si="3"/>
        <v>0</v>
      </c>
      <c r="CX18" s="501">
        <f t="shared" si="4"/>
        <v>0</v>
      </c>
      <c r="CY18" s="501">
        <f t="shared" si="18"/>
        <v>0</v>
      </c>
    </row>
    <row r="19" spans="1:103" ht="15" customHeight="1" x14ac:dyDescent="0.15">
      <c r="A19" s="1869"/>
      <c r="B19" s="543" t="s">
        <v>83</v>
      </c>
      <c r="C19" s="515">
        <f>SUM(D19:M19)</f>
        <v>0</v>
      </c>
      <c r="D19" s="522"/>
      <c r="E19" s="522"/>
      <c r="F19" s="522"/>
      <c r="G19" s="522"/>
      <c r="H19" s="522"/>
      <c r="I19" s="522"/>
      <c r="J19" s="522"/>
      <c r="K19" s="522"/>
      <c r="L19" s="522"/>
      <c r="M19" s="522"/>
      <c r="N19" s="544"/>
      <c r="O19" s="544"/>
      <c r="P19" s="545"/>
      <c r="Q19" s="546"/>
      <c r="R19" s="547"/>
      <c r="S19" s="548"/>
      <c r="T19" s="548"/>
      <c r="U19" s="549"/>
      <c r="V19" s="550"/>
      <c r="W19" s="551"/>
      <c r="X19" s="551"/>
      <c r="Y19" s="498" t="str">
        <f t="shared" si="19"/>
        <v/>
      </c>
      <c r="Z19" s="470"/>
      <c r="AA19" s="470"/>
      <c r="AB19" s="470"/>
      <c r="AC19" s="471"/>
      <c r="BJ19" s="467"/>
      <c r="BK19" s="467"/>
      <c r="BL19" s="467"/>
      <c r="BM19" s="467"/>
      <c r="BN19" s="467"/>
      <c r="CA19" s="499" t="str">
        <f t="shared" si="6"/>
        <v/>
      </c>
      <c r="CB19" s="499" t="str">
        <f t="shared" si="7"/>
        <v/>
      </c>
      <c r="CC19" s="499" t="str">
        <f t="shared" si="8"/>
        <v/>
      </c>
      <c r="CD19" s="499" t="str">
        <f t="shared" si="9"/>
        <v/>
      </c>
      <c r="CE19" s="499" t="str">
        <f t="shared" si="10"/>
        <v/>
      </c>
      <c r="CF19" s="499" t="str">
        <f t="shared" si="0"/>
        <v/>
      </c>
      <c r="CG19" s="500"/>
      <c r="CH19" s="499" t="str">
        <f t="shared" si="1"/>
        <v/>
      </c>
      <c r="CI19" s="499" t="str">
        <f t="shared" si="2"/>
        <v/>
      </c>
      <c r="CJ19" s="499" t="str">
        <f t="shared" si="11"/>
        <v/>
      </c>
      <c r="CP19" s="501">
        <f t="shared" si="12"/>
        <v>0</v>
      </c>
      <c r="CQ19" s="501">
        <f t="shared" si="13"/>
        <v>0</v>
      </c>
      <c r="CR19" s="501">
        <f t="shared" si="14"/>
        <v>0</v>
      </c>
      <c r="CS19" s="501">
        <f t="shared" si="15"/>
        <v>0</v>
      </c>
      <c r="CT19" s="501">
        <f t="shared" si="16"/>
        <v>0</v>
      </c>
      <c r="CU19" s="501">
        <f t="shared" si="17"/>
        <v>0</v>
      </c>
      <c r="CV19" s="502"/>
      <c r="CW19" s="501">
        <f t="shared" si="3"/>
        <v>0</v>
      </c>
      <c r="CX19" s="501">
        <f t="shared" si="4"/>
        <v>0</v>
      </c>
      <c r="CY19" s="501">
        <f t="shared" si="18"/>
        <v>0</v>
      </c>
    </row>
    <row r="20" spans="1:103" ht="15" customHeight="1" x14ac:dyDescent="0.15">
      <c r="A20" s="1848" t="s">
        <v>84</v>
      </c>
      <c r="B20" s="552" t="s">
        <v>85</v>
      </c>
      <c r="C20" s="489">
        <f>SUM(D20:P20)</f>
        <v>0</v>
      </c>
      <c r="D20" s="494"/>
      <c r="E20" s="553"/>
      <c r="F20" s="516"/>
      <c r="G20" s="516"/>
      <c r="H20" s="516"/>
      <c r="I20" s="553"/>
      <c r="J20" s="553"/>
      <c r="K20" s="553"/>
      <c r="L20" s="553"/>
      <c r="M20" s="553"/>
      <c r="N20" s="517"/>
      <c r="O20" s="517"/>
      <c r="P20" s="518"/>
      <c r="Q20" s="493"/>
      <c r="R20" s="494"/>
      <c r="S20" s="495"/>
      <c r="T20" s="495"/>
      <c r="U20" s="490"/>
      <c r="V20" s="496"/>
      <c r="W20" s="497"/>
      <c r="X20" s="497"/>
      <c r="Y20" s="498" t="str">
        <f t="shared" si="19"/>
        <v/>
      </c>
      <c r="Z20" s="470"/>
      <c r="AA20" s="470"/>
      <c r="AB20" s="470"/>
      <c r="AC20" s="471"/>
      <c r="BJ20" s="467"/>
      <c r="BK20" s="467"/>
      <c r="BL20" s="467"/>
      <c r="BM20" s="467"/>
      <c r="BN20" s="467"/>
      <c r="CA20" s="499" t="str">
        <f t="shared" si="6"/>
        <v/>
      </c>
      <c r="CB20" s="499" t="str">
        <f t="shared" si="7"/>
        <v/>
      </c>
      <c r="CC20" s="499" t="str">
        <f t="shared" si="8"/>
        <v/>
      </c>
      <c r="CD20" s="499" t="str">
        <f t="shared" si="9"/>
        <v/>
      </c>
      <c r="CE20" s="499" t="str">
        <f t="shared" si="10"/>
        <v/>
      </c>
      <c r="CF20" s="499" t="str">
        <f t="shared" si="0"/>
        <v/>
      </c>
      <c r="CG20" s="500"/>
      <c r="CH20" s="499" t="str">
        <f t="shared" si="1"/>
        <v/>
      </c>
      <c r="CI20" s="499" t="str">
        <f t="shared" si="2"/>
        <v/>
      </c>
      <c r="CJ20" s="499" t="str">
        <f t="shared" si="11"/>
        <v/>
      </c>
      <c r="CP20" s="501">
        <f t="shared" si="12"/>
        <v>0</v>
      </c>
      <c r="CQ20" s="501">
        <f t="shared" si="13"/>
        <v>0</v>
      </c>
      <c r="CR20" s="501">
        <f t="shared" si="14"/>
        <v>0</v>
      </c>
      <c r="CS20" s="501">
        <f t="shared" si="15"/>
        <v>0</v>
      </c>
      <c r="CT20" s="501">
        <f t="shared" si="16"/>
        <v>0</v>
      </c>
      <c r="CU20" s="501">
        <f t="shared" si="17"/>
        <v>0</v>
      </c>
      <c r="CV20" s="502"/>
      <c r="CW20" s="501">
        <f t="shared" si="3"/>
        <v>0</v>
      </c>
      <c r="CX20" s="501">
        <f t="shared" si="4"/>
        <v>0</v>
      </c>
      <c r="CY20" s="501">
        <f t="shared" si="18"/>
        <v>0</v>
      </c>
    </row>
    <row r="21" spans="1:103" ht="15" customHeight="1" x14ac:dyDescent="0.15">
      <c r="A21" s="1849"/>
      <c r="B21" s="554" t="s">
        <v>86</v>
      </c>
      <c r="C21" s="505">
        <f>SUM(D21:P21)</f>
        <v>0</v>
      </c>
      <c r="D21" s="522"/>
      <c r="E21" s="522"/>
      <c r="F21" s="555"/>
      <c r="G21" s="555"/>
      <c r="H21" s="555"/>
      <c r="I21" s="522"/>
      <c r="J21" s="522"/>
      <c r="K21" s="522"/>
      <c r="L21" s="522"/>
      <c r="M21" s="522"/>
      <c r="N21" s="544"/>
      <c r="O21" s="544"/>
      <c r="P21" s="545"/>
      <c r="Q21" s="508"/>
      <c r="R21" s="509"/>
      <c r="S21" s="510"/>
      <c r="T21" s="510"/>
      <c r="U21" s="512"/>
      <c r="V21" s="511"/>
      <c r="W21" s="513"/>
      <c r="X21" s="513"/>
      <c r="Y21" s="498" t="str">
        <f t="shared" si="19"/>
        <v/>
      </c>
      <c r="Z21" s="470"/>
      <c r="AA21" s="470"/>
      <c r="AB21" s="470"/>
      <c r="AC21" s="471"/>
      <c r="BJ21" s="467"/>
      <c r="BK21" s="467"/>
      <c r="BL21" s="467"/>
      <c r="BM21" s="467"/>
      <c r="BN21" s="467"/>
      <c r="CA21" s="499" t="str">
        <f t="shared" ref="CA21:CA24" si="20">IF(AND($C21&lt;&gt;0,Q21=""),"* No olvide ingresar la variable "&amp;Q$9&amp;""&amp;". Digite CERO si no tiene.",IF(Q21&gt;$C21,"* El Número de Pueblos Originarios no puede superar el Total. ",""))</f>
        <v/>
      </c>
      <c r="CB21" s="499" t="str">
        <f t="shared" si="7"/>
        <v/>
      </c>
      <c r="CC21" s="499" t="str">
        <f t="shared" si="8"/>
        <v/>
      </c>
      <c r="CD21" s="499" t="str">
        <f t="shared" si="9"/>
        <v/>
      </c>
      <c r="CE21" s="499" t="str">
        <f t="shared" si="10"/>
        <v/>
      </c>
      <c r="CF21" s="500"/>
      <c r="CG21" s="499" t="str">
        <f>IF(AND($C21&lt;&gt;0,V21=""),"* No olvide ingresar la variable "&amp;V$10&amp;""&amp;". Digite CERO si no tiene.",IF(V21&gt;$C21,"* El Número de Trans Femenino no puede superar el Total. ",""))</f>
        <v/>
      </c>
      <c r="CH21" s="499" t="str">
        <f t="shared" si="1"/>
        <v/>
      </c>
      <c r="CI21" s="499" t="str">
        <f t="shared" si="2"/>
        <v/>
      </c>
      <c r="CJ21" s="499" t="str">
        <f t="shared" si="11"/>
        <v/>
      </c>
      <c r="CP21" s="501">
        <f t="shared" si="12"/>
        <v>0</v>
      </c>
      <c r="CQ21" s="501">
        <f t="shared" si="13"/>
        <v>0</v>
      </c>
      <c r="CR21" s="501">
        <f t="shared" si="14"/>
        <v>0</v>
      </c>
      <c r="CS21" s="501">
        <f t="shared" si="15"/>
        <v>0</v>
      </c>
      <c r="CT21" s="501">
        <f>IF(AND($C21&lt;&gt;0,$T21=""),1,IF($T21&gt;$C21,1,0))</f>
        <v>0</v>
      </c>
      <c r="CU21" s="502"/>
      <c r="CV21" s="501">
        <f>IF(AND($C21&lt;&gt;0,V21=""),1,IF(V21&gt;$C21,1,0))</f>
        <v>0</v>
      </c>
      <c r="CW21" s="501">
        <f t="shared" si="3"/>
        <v>0</v>
      </c>
      <c r="CX21" s="501">
        <f t="shared" si="4"/>
        <v>0</v>
      </c>
      <c r="CY21" s="501">
        <f t="shared" si="18"/>
        <v>0</v>
      </c>
    </row>
    <row r="22" spans="1:103" ht="15" customHeight="1" x14ac:dyDescent="0.15">
      <c r="A22" s="1874" t="s">
        <v>87</v>
      </c>
      <c r="B22" s="556" t="s">
        <v>85</v>
      </c>
      <c r="C22" s="515">
        <f>SUM(D22:M22)</f>
        <v>0</v>
      </c>
      <c r="D22" s="494"/>
      <c r="E22" s="553"/>
      <c r="F22" s="553"/>
      <c r="G22" s="516"/>
      <c r="H22" s="553"/>
      <c r="I22" s="516"/>
      <c r="J22" s="516"/>
      <c r="K22" s="516"/>
      <c r="L22" s="553"/>
      <c r="M22" s="516"/>
      <c r="N22" s="517"/>
      <c r="O22" s="517"/>
      <c r="P22" s="518"/>
      <c r="Q22" s="519"/>
      <c r="R22" s="520"/>
      <c r="S22" s="521"/>
      <c r="T22" s="521"/>
      <c r="U22" s="522"/>
      <c r="V22" s="523"/>
      <c r="W22" s="524"/>
      <c r="X22" s="524"/>
      <c r="Y22" s="498" t="str">
        <f t="shared" si="19"/>
        <v/>
      </c>
      <c r="Z22" s="470"/>
      <c r="AA22" s="470"/>
      <c r="AB22" s="470"/>
      <c r="AC22" s="471"/>
      <c r="BJ22" s="467"/>
      <c r="BK22" s="467"/>
      <c r="BL22" s="467"/>
      <c r="BM22" s="467"/>
      <c r="BN22" s="467"/>
      <c r="CA22" s="499" t="str">
        <f t="shared" si="20"/>
        <v/>
      </c>
      <c r="CB22" s="499" t="str">
        <f t="shared" si="7"/>
        <v/>
      </c>
      <c r="CC22" s="499" t="str">
        <f t="shared" si="8"/>
        <v/>
      </c>
      <c r="CD22" s="499" t="str">
        <f t="shared" si="9"/>
        <v/>
      </c>
      <c r="CE22" s="499" t="str">
        <f t="shared" si="10"/>
        <v/>
      </c>
      <c r="CF22" s="499" t="str">
        <f>IF(AND($C22&lt;&gt;0,U22=""),"* No olvide ingresar la variable "&amp;U$10&amp;""&amp;". Digite CERO si no tiene.",IF(U22&gt;$C22,"* El Número de Trans masculino no puede superar el Total. ",""))</f>
        <v/>
      </c>
      <c r="CG22" s="500"/>
      <c r="CH22" s="499" t="str">
        <f t="shared" si="1"/>
        <v/>
      </c>
      <c r="CI22" s="499" t="str">
        <f t="shared" si="2"/>
        <v/>
      </c>
      <c r="CJ22" s="499" t="str">
        <f t="shared" si="11"/>
        <v/>
      </c>
      <c r="CP22" s="501">
        <f t="shared" si="12"/>
        <v>0</v>
      </c>
      <c r="CQ22" s="501">
        <f t="shared" si="13"/>
        <v>0</v>
      </c>
      <c r="CR22" s="501">
        <f t="shared" si="14"/>
        <v>0</v>
      </c>
      <c r="CS22" s="501">
        <f t="shared" si="15"/>
        <v>0</v>
      </c>
      <c r="CT22" s="501">
        <f t="shared" si="16"/>
        <v>0</v>
      </c>
      <c r="CU22" s="501">
        <f t="shared" si="17"/>
        <v>0</v>
      </c>
      <c r="CV22" s="502"/>
      <c r="CW22" s="501">
        <f t="shared" si="3"/>
        <v>0</v>
      </c>
      <c r="CX22" s="501">
        <f t="shared" si="4"/>
        <v>0</v>
      </c>
      <c r="CY22" s="501">
        <f t="shared" si="18"/>
        <v>0</v>
      </c>
    </row>
    <row r="23" spans="1:103" ht="15" customHeight="1" x14ac:dyDescent="0.15">
      <c r="A23" s="1875"/>
      <c r="B23" s="557" t="s">
        <v>86</v>
      </c>
      <c r="C23" s="558">
        <f>SUM(D23:M23)</f>
        <v>0</v>
      </c>
      <c r="D23" s="522"/>
      <c r="E23" s="522"/>
      <c r="F23" s="522"/>
      <c r="G23" s="555"/>
      <c r="H23" s="522"/>
      <c r="I23" s="555"/>
      <c r="J23" s="555"/>
      <c r="K23" s="555"/>
      <c r="L23" s="522"/>
      <c r="M23" s="555"/>
      <c r="N23" s="544"/>
      <c r="O23" s="544"/>
      <c r="P23" s="545"/>
      <c r="Q23" s="559"/>
      <c r="R23" s="560"/>
      <c r="S23" s="561"/>
      <c r="T23" s="561"/>
      <c r="U23" s="562"/>
      <c r="V23" s="563"/>
      <c r="W23" s="564"/>
      <c r="X23" s="564"/>
      <c r="Y23" s="498" t="str">
        <f t="shared" si="19"/>
        <v/>
      </c>
      <c r="Z23" s="470"/>
      <c r="AA23" s="470"/>
      <c r="AB23" s="470"/>
      <c r="AC23" s="471"/>
      <c r="BJ23" s="467"/>
      <c r="BK23" s="467"/>
      <c r="BL23" s="467"/>
      <c r="BM23" s="467"/>
      <c r="BN23" s="467"/>
      <c r="CA23" s="499" t="str">
        <f t="shared" si="20"/>
        <v/>
      </c>
      <c r="CB23" s="499" t="str">
        <f t="shared" si="7"/>
        <v/>
      </c>
      <c r="CC23" s="499" t="str">
        <f t="shared" si="8"/>
        <v/>
      </c>
      <c r="CD23" s="499" t="str">
        <f t="shared" si="9"/>
        <v/>
      </c>
      <c r="CE23" s="499" t="str">
        <f t="shared" si="10"/>
        <v/>
      </c>
      <c r="CF23" s="500"/>
      <c r="CG23" s="499" t="str">
        <f>IF(AND($C23&lt;&gt;0,V23=""),"* No olvide ingresar la variable "&amp;V$10&amp;""&amp;". Digite CERO si no tiene.",IF(V23&gt;$C23,"* El Número de Trans femenino no puede superar el Total. ",""))</f>
        <v/>
      </c>
      <c r="CH23" s="499" t="str">
        <f t="shared" si="1"/>
        <v/>
      </c>
      <c r="CI23" s="499" t="str">
        <f t="shared" si="2"/>
        <v/>
      </c>
      <c r="CJ23" s="499" t="str">
        <f t="shared" si="11"/>
        <v/>
      </c>
      <c r="CP23" s="501">
        <f t="shared" si="12"/>
        <v>0</v>
      </c>
      <c r="CQ23" s="501">
        <f t="shared" si="13"/>
        <v>0</v>
      </c>
      <c r="CR23" s="501">
        <f t="shared" si="14"/>
        <v>0</v>
      </c>
      <c r="CS23" s="501">
        <f t="shared" si="15"/>
        <v>0</v>
      </c>
      <c r="CT23" s="501">
        <f t="shared" si="16"/>
        <v>0</v>
      </c>
      <c r="CU23" s="502"/>
      <c r="CV23" s="501">
        <f>IF(AND($C23&lt;&gt;0,V23=""),1,IF(V23&gt;$C23,1,0))</f>
        <v>0</v>
      </c>
      <c r="CW23" s="501">
        <f t="shared" si="3"/>
        <v>0</v>
      </c>
      <c r="CX23" s="501">
        <f t="shared" si="4"/>
        <v>0</v>
      </c>
      <c r="CY23" s="501">
        <f t="shared" si="18"/>
        <v>0</v>
      </c>
    </row>
    <row r="24" spans="1:103" ht="15" customHeight="1" x14ac:dyDescent="0.15">
      <c r="A24" s="1870" t="s">
        <v>88</v>
      </c>
      <c r="B24" s="1871"/>
      <c r="C24" s="565">
        <f>SUM(D24:M24)</f>
        <v>0</v>
      </c>
      <c r="D24" s="490"/>
      <c r="E24" s="490"/>
      <c r="F24" s="490"/>
      <c r="G24" s="490"/>
      <c r="H24" s="490"/>
      <c r="I24" s="490"/>
      <c r="J24" s="490"/>
      <c r="K24" s="490"/>
      <c r="L24" s="490"/>
      <c r="M24" s="490"/>
      <c r="N24" s="566"/>
      <c r="O24" s="550"/>
      <c r="P24" s="567"/>
      <c r="Q24" s="546"/>
      <c r="R24" s="547"/>
      <c r="S24" s="548"/>
      <c r="T24" s="548"/>
      <c r="U24" s="549"/>
      <c r="V24" s="549"/>
      <c r="W24" s="548"/>
      <c r="X24" s="548"/>
      <c r="Y24" s="498" t="str">
        <f t="shared" si="19"/>
        <v/>
      </c>
      <c r="Z24" s="470"/>
      <c r="AA24" s="470"/>
      <c r="AB24" s="470"/>
      <c r="AC24" s="471"/>
      <c r="BJ24" s="467"/>
      <c r="BK24" s="467"/>
      <c r="BL24" s="467"/>
      <c r="BM24" s="467"/>
      <c r="BN24" s="467"/>
      <c r="CA24" s="499" t="str">
        <f t="shared" si="20"/>
        <v/>
      </c>
      <c r="CB24" s="499" t="str">
        <f t="shared" si="7"/>
        <v/>
      </c>
      <c r="CC24" s="499" t="str">
        <f t="shared" si="8"/>
        <v/>
      </c>
      <c r="CD24" s="499" t="str">
        <f t="shared" si="9"/>
        <v/>
      </c>
      <c r="CE24" s="499" t="str">
        <f t="shared" si="10"/>
        <v/>
      </c>
      <c r="CF24" s="499" t="str">
        <f>IF(AND($C24&lt;&gt;0,U24=""),"* No olvide ingresar la variable "&amp;U$10&amp;""&amp;". Digite CERO si no tiene.",IF(U24&gt;$C24,"* El Número de Trans masculino no puede superar el Total. ",""))</f>
        <v/>
      </c>
      <c r="CG24" s="499" t="str">
        <f>IF(AND($C24&lt;&gt;0,V24=""),"* No olvide ingresar la variable "&amp;V$10&amp;""&amp;". Digite CERO si no tiene.",IF(V24&gt;$C24,"* El Número de Trans femenino no puede superar el Total. ",""))</f>
        <v/>
      </c>
      <c r="CH24" s="499" t="str">
        <f t="shared" si="1"/>
        <v/>
      </c>
      <c r="CI24" s="499" t="str">
        <f t="shared" si="2"/>
        <v/>
      </c>
      <c r="CJ24" s="499" t="str">
        <f t="shared" si="11"/>
        <v/>
      </c>
      <c r="CP24" s="501">
        <f t="shared" si="12"/>
        <v>0</v>
      </c>
      <c r="CQ24" s="501">
        <f t="shared" si="13"/>
        <v>0</v>
      </c>
      <c r="CR24" s="501">
        <f t="shared" si="14"/>
        <v>0</v>
      </c>
      <c r="CS24" s="501">
        <f t="shared" si="15"/>
        <v>0</v>
      </c>
      <c r="CT24" s="501">
        <f t="shared" si="16"/>
        <v>0</v>
      </c>
      <c r="CU24" s="501">
        <f t="shared" si="17"/>
        <v>0</v>
      </c>
      <c r="CV24" s="501">
        <f>IF(AND($C24&lt;&gt;0,V24=""),1,IF(V24&gt;$C24,1,0))</f>
        <v>0</v>
      </c>
      <c r="CW24" s="501">
        <f t="shared" si="3"/>
        <v>0</v>
      </c>
      <c r="CX24" s="501">
        <f t="shared" si="4"/>
        <v>0</v>
      </c>
      <c r="CY24" s="501">
        <f t="shared" si="18"/>
        <v>0</v>
      </c>
    </row>
    <row r="25" spans="1:103" ht="15" customHeight="1" thickBot="1" x14ac:dyDescent="0.2">
      <c r="A25" s="1859" t="s">
        <v>89</v>
      </c>
      <c r="B25" s="1860"/>
      <c r="C25" s="568">
        <f>SUM(D25:P25)</f>
        <v>0</v>
      </c>
      <c r="D25" s="569">
        <f>SUM(D11:D24)</f>
        <v>0</v>
      </c>
      <c r="E25" s="570">
        <f t="shared" ref="E25:M25" si="21">SUM(E11:E24)</f>
        <v>0</v>
      </c>
      <c r="F25" s="570">
        <f t="shared" si="21"/>
        <v>0</v>
      </c>
      <c r="G25" s="570">
        <f t="shared" si="21"/>
        <v>0</v>
      </c>
      <c r="H25" s="570">
        <f t="shared" si="21"/>
        <v>0</v>
      </c>
      <c r="I25" s="570">
        <f t="shared" si="21"/>
        <v>0</v>
      </c>
      <c r="J25" s="570">
        <f t="shared" si="21"/>
        <v>0</v>
      </c>
      <c r="K25" s="570">
        <f t="shared" si="21"/>
        <v>0</v>
      </c>
      <c r="L25" s="570">
        <f t="shared" si="21"/>
        <v>0</v>
      </c>
      <c r="M25" s="570">
        <f t="shared" si="21"/>
        <v>0</v>
      </c>
      <c r="N25" s="571"/>
      <c r="O25" s="572"/>
      <c r="P25" s="573"/>
      <c r="Q25" s="574">
        <f t="shared" ref="Q25" si="22">SUM(Q11:Q24)</f>
        <v>0</v>
      </c>
      <c r="R25" s="575">
        <f t="shared" ref="R25:S25" si="23">SUM(R11:R24)</f>
        <v>0</v>
      </c>
      <c r="S25" s="576">
        <f t="shared" si="23"/>
        <v>0</v>
      </c>
      <c r="T25" s="576">
        <f t="shared" ref="T25" si="24">SUM(T11:T24)</f>
        <v>0</v>
      </c>
      <c r="U25" s="577">
        <f t="shared" ref="U25" si="25">SUM(U11:U24)</f>
        <v>0</v>
      </c>
      <c r="V25" s="577">
        <f t="shared" ref="V25" si="26">SUM(V11:V24)</f>
        <v>0</v>
      </c>
      <c r="W25" s="576">
        <f>SUM(W11:W24)</f>
        <v>0</v>
      </c>
      <c r="X25" s="576">
        <f t="shared" ref="X25" si="27">SUM(X11:X24)</f>
        <v>0</v>
      </c>
      <c r="Y25" s="498"/>
      <c r="Z25" s="470"/>
      <c r="AA25" s="470"/>
      <c r="AB25" s="470"/>
      <c r="AC25" s="471"/>
      <c r="BJ25" s="467"/>
      <c r="BK25" s="467"/>
      <c r="BL25" s="467"/>
      <c r="BM25" s="467"/>
      <c r="BN25" s="467"/>
      <c r="CA25" s="578"/>
      <c r="CB25" s="578"/>
      <c r="CC25" s="578"/>
      <c r="CD25" s="578"/>
      <c r="CE25" s="578"/>
      <c r="CF25" s="498"/>
      <c r="CG25" s="498"/>
      <c r="CH25" s="498"/>
    </row>
    <row r="26" spans="1:103" ht="15" customHeight="1" thickTop="1" x14ac:dyDescent="0.15">
      <c r="A26" s="1863" t="s">
        <v>90</v>
      </c>
      <c r="B26" s="1864"/>
      <c r="C26" s="579">
        <f>SUM(D26:P26)</f>
        <v>0</v>
      </c>
      <c r="D26" s="580"/>
      <c r="E26" s="581"/>
      <c r="F26" s="581"/>
      <c r="G26" s="581"/>
      <c r="H26" s="581"/>
      <c r="I26" s="581"/>
      <c r="J26" s="581"/>
      <c r="K26" s="581"/>
      <c r="L26" s="581"/>
      <c r="M26" s="581"/>
      <c r="N26" s="506"/>
      <c r="O26" s="506"/>
      <c r="P26" s="507"/>
      <c r="Q26" s="508"/>
      <c r="R26" s="509"/>
      <c r="S26" s="510"/>
      <c r="T26" s="510"/>
      <c r="U26" s="511"/>
      <c r="V26" s="512"/>
      <c r="W26" s="513"/>
      <c r="X26" s="513"/>
      <c r="Y26" s="498" t="str">
        <f t="shared" si="19"/>
        <v/>
      </c>
      <c r="Z26" s="470"/>
      <c r="AA26" s="470"/>
      <c r="AB26" s="470"/>
      <c r="AC26" s="471"/>
      <c r="BJ26" s="467"/>
      <c r="BK26" s="467"/>
      <c r="BL26" s="467"/>
      <c r="BM26" s="467"/>
      <c r="BN26" s="467"/>
      <c r="CA26" s="499" t="str">
        <f>IF(AND($C26&lt;&gt;0,Q26=""),"* No olvide ingresar la variable "&amp;Q$9&amp;""&amp;". Digite CERO si no tiene.",IF(Q26&gt;$C26,"* El Número de Pueblos Originarios no puede superar el Total. ",""))</f>
        <v/>
      </c>
      <c r="CB26" s="499" t="str">
        <f>IF(AND($C26&gt;0,R26=""),"* No olvide ingresar la variable "&amp;R$9&amp;""&amp;" Menor de 20 años. Digite CERO si no tiene.",IF(R26&gt;$C26,"* El Número de Migrantes Menor de 20 años no puede superar el Total. ",""))</f>
        <v/>
      </c>
      <c r="CC26" s="499" t="str">
        <f>IF(AND($C26&gt;0,S26=""),"* No olvide ingresar la variable "&amp;R$9&amp;""&amp;" 20 años y más. Digite CERO si no tiene.",IF(S26&gt;$C26,"* El Número de Migrantes 20 años y más no puede superar el Total. ",""))</f>
        <v/>
      </c>
      <c r="CD26" s="499" t="str">
        <f t="shared" si="9"/>
        <v/>
      </c>
      <c r="CE26" s="499" t="str">
        <f t="shared" ref="CE26:CE31" si="28">IF(AND($C26&lt;&gt;0,T26=""),"* No olvide ingresar la variable "&amp;T$9&amp;""&amp;". Digite CERO si no tiene.",IF(T26&gt;$C26,"* El Número de PV-VIH (personas viviendo con VIH) no puede superar el Total. ",""))</f>
        <v/>
      </c>
      <c r="CF26" s="499" t="str">
        <f t="shared" ref="CF26:CF31" si="29">IF(AND($C26&lt;&gt;0,U26=""),"* No olvide ingresar la variable "&amp;U$10&amp;""&amp;". Digite CERO si no tiene.",IF(U26&gt;$C26,"* El Número de Trans masculino no puede superar el Total. ",""))</f>
        <v/>
      </c>
      <c r="CG26" s="500"/>
      <c r="CH26" s="499" t="str">
        <f t="shared" ref="CH26:CH31" si="30">IF(AND($C26&lt;&gt;0,W26=""),"* No olvide ingresar la variable "&amp;W$10&amp;""&amp;". Digite CERO si no tiene.",IF(W26&gt;$C26,"* El Número de No Binarie no puede superar el Total. ",""))</f>
        <v/>
      </c>
      <c r="CI26" s="499" t="str">
        <f t="shared" ref="CI26:CI31" si="31">IF(AND($C26&lt;&gt;0,X26=""),"* No olvide ingresar la variable "&amp;X$9&amp;""&amp;". Digite CERO si no tiene.",IF(X26&gt;$C26,"* El Número de Personas con discapacidad no puede superar el Total. ",""))</f>
        <v/>
      </c>
      <c r="CJ26" s="499" t="str">
        <f t="shared" si="11"/>
        <v/>
      </c>
      <c r="CP26" s="501">
        <f t="shared" si="12"/>
        <v>0</v>
      </c>
      <c r="CQ26" s="501">
        <f t="shared" ref="CQ26:CQ30" si="32">IF(AND($C26&lt;&gt;0,$R26=""),1,IF($R26&gt;$C26,1,0))</f>
        <v>0</v>
      </c>
      <c r="CR26" s="501">
        <f t="shared" si="14"/>
        <v>0</v>
      </c>
      <c r="CS26" s="501">
        <f t="shared" si="15"/>
        <v>0</v>
      </c>
      <c r="CT26" s="501">
        <f t="shared" si="16"/>
        <v>0</v>
      </c>
      <c r="CU26" s="501">
        <f t="shared" si="17"/>
        <v>0</v>
      </c>
      <c r="CV26" s="502"/>
      <c r="CW26" s="501">
        <f t="shared" ref="CW26:CX31" si="33">IF(AND($C26&lt;&gt;0,W26=""),1,IF(W26&gt;$C26,1,0))</f>
        <v>0</v>
      </c>
      <c r="CX26" s="501">
        <f t="shared" si="33"/>
        <v>0</v>
      </c>
      <c r="CY26" s="501">
        <f t="shared" si="18"/>
        <v>0</v>
      </c>
    </row>
    <row r="27" spans="1:103" ht="15" customHeight="1" x14ac:dyDescent="0.15">
      <c r="A27" s="1881" t="s">
        <v>91</v>
      </c>
      <c r="B27" s="582" t="s">
        <v>92</v>
      </c>
      <c r="C27" s="515">
        <f>SUM(D27:M27)</f>
        <v>0</v>
      </c>
      <c r="D27" s="528"/>
      <c r="E27" s="528"/>
      <c r="F27" s="528"/>
      <c r="G27" s="528"/>
      <c r="H27" s="528"/>
      <c r="I27" s="528"/>
      <c r="J27" s="528"/>
      <c r="K27" s="528"/>
      <c r="L27" s="528"/>
      <c r="M27" s="528"/>
      <c r="N27" s="517"/>
      <c r="O27" s="517"/>
      <c r="P27" s="518"/>
      <c r="Q27" s="583"/>
      <c r="R27" s="584"/>
      <c r="S27" s="585"/>
      <c r="T27" s="586"/>
      <c r="U27" s="587"/>
      <c r="V27" s="588"/>
      <c r="W27" s="586"/>
      <c r="X27" s="586"/>
      <c r="Y27" s="498" t="str">
        <f t="shared" si="19"/>
        <v/>
      </c>
      <c r="Z27" s="470"/>
      <c r="AA27" s="470"/>
      <c r="AB27" s="470"/>
      <c r="AC27" s="471"/>
      <c r="BJ27" s="467"/>
      <c r="BK27" s="467"/>
      <c r="BL27" s="467"/>
      <c r="BM27" s="467"/>
      <c r="BN27" s="467"/>
      <c r="CA27" s="499" t="str">
        <f t="shared" ref="CA27:CA29" si="34">IF(AND($C27&lt;&gt;0,Q27=""),"* No olvide ingresar la variable "&amp;Q$9&amp;""&amp;". Digite CERO si no tiene.",IF(Q27&gt;$C27,"* El Número de Pueblos Originarios no puede superar el Total. ",""))</f>
        <v/>
      </c>
      <c r="CB27" s="499" t="str">
        <f t="shared" ref="CB27:CB31" si="35">IF(AND($C27&gt;0,R27=""),"* No olvide ingresar la variable "&amp;R$9&amp;""&amp;" Menor de 20 años. Digite CERO si no tiene.",IF(R27&gt;$C27,"* El Número de Migrantes Menor de 20 años no puede superar el Total. ",""))</f>
        <v/>
      </c>
      <c r="CC27" s="499" t="str">
        <f t="shared" ref="CC27:CC31" si="36">IF(AND($C27&gt;0,S27=""),"* No olvide ingresar la variable "&amp;R$9&amp;""&amp;" 20 años y más. Digite CERO si no tiene.",IF(S27&gt;$C27,"* El Número de Migrantes 20 años y más no puede superar el Total. ",""))</f>
        <v/>
      </c>
      <c r="CD27" s="499" t="str">
        <f t="shared" si="9"/>
        <v/>
      </c>
      <c r="CE27" s="499" t="str">
        <f t="shared" si="28"/>
        <v/>
      </c>
      <c r="CF27" s="499" t="str">
        <f t="shared" si="29"/>
        <v/>
      </c>
      <c r="CG27" s="500"/>
      <c r="CH27" s="499" t="str">
        <f t="shared" si="30"/>
        <v/>
      </c>
      <c r="CI27" s="499" t="str">
        <f t="shared" si="31"/>
        <v/>
      </c>
      <c r="CJ27" s="499" t="str">
        <f t="shared" si="11"/>
        <v/>
      </c>
      <c r="CP27" s="501">
        <f t="shared" si="12"/>
        <v>0</v>
      </c>
      <c r="CQ27" s="501">
        <f t="shared" si="32"/>
        <v>0</v>
      </c>
      <c r="CR27" s="501">
        <f t="shared" si="14"/>
        <v>0</v>
      </c>
      <c r="CS27" s="501">
        <f t="shared" si="15"/>
        <v>0</v>
      </c>
      <c r="CT27" s="501">
        <f t="shared" si="16"/>
        <v>0</v>
      </c>
      <c r="CU27" s="501">
        <f>IF(AND($C27&lt;&gt;0,$U27=""),1,IF($U27&gt;$C27,1,0))</f>
        <v>0</v>
      </c>
      <c r="CV27" s="502"/>
      <c r="CW27" s="501">
        <f t="shared" si="33"/>
        <v>0</v>
      </c>
      <c r="CX27" s="501">
        <f t="shared" si="33"/>
        <v>0</v>
      </c>
      <c r="CY27" s="501">
        <f t="shared" si="18"/>
        <v>0</v>
      </c>
    </row>
    <row r="28" spans="1:103" ht="15" customHeight="1" x14ac:dyDescent="0.15">
      <c r="A28" s="1869"/>
      <c r="B28" s="589" t="s">
        <v>93</v>
      </c>
      <c r="C28" s="505">
        <f t="shared" ref="C28:C30" si="37">SUM(D28:M28)</f>
        <v>0</v>
      </c>
      <c r="D28" s="528"/>
      <c r="E28" s="528"/>
      <c r="F28" s="528"/>
      <c r="G28" s="528"/>
      <c r="H28" s="528"/>
      <c r="I28" s="528"/>
      <c r="J28" s="528"/>
      <c r="K28" s="528"/>
      <c r="L28" s="528"/>
      <c r="M28" s="528"/>
      <c r="N28" s="506"/>
      <c r="O28" s="506"/>
      <c r="P28" s="507"/>
      <c r="Q28" s="590"/>
      <c r="R28" s="591"/>
      <c r="S28" s="592"/>
      <c r="T28" s="593"/>
      <c r="U28" s="594"/>
      <c r="V28" s="595"/>
      <c r="W28" s="593"/>
      <c r="X28" s="593"/>
      <c r="Y28" s="498" t="str">
        <f t="shared" si="19"/>
        <v/>
      </c>
      <c r="Z28" s="470"/>
      <c r="AA28" s="470"/>
      <c r="AB28" s="470"/>
      <c r="AC28" s="471"/>
      <c r="BJ28" s="467"/>
      <c r="BK28" s="467"/>
      <c r="BL28" s="467"/>
      <c r="BM28" s="467"/>
      <c r="BN28" s="467"/>
      <c r="CA28" s="499" t="str">
        <f t="shared" si="34"/>
        <v/>
      </c>
      <c r="CB28" s="499" t="str">
        <f t="shared" si="35"/>
        <v/>
      </c>
      <c r="CC28" s="499" t="str">
        <f t="shared" si="36"/>
        <v/>
      </c>
      <c r="CD28" s="499" t="str">
        <f t="shared" si="9"/>
        <v/>
      </c>
      <c r="CE28" s="499" t="str">
        <f t="shared" si="28"/>
        <v/>
      </c>
      <c r="CF28" s="499" t="str">
        <f t="shared" si="29"/>
        <v/>
      </c>
      <c r="CG28" s="500"/>
      <c r="CH28" s="499" t="str">
        <f t="shared" si="30"/>
        <v/>
      </c>
      <c r="CI28" s="499" t="str">
        <f t="shared" si="31"/>
        <v/>
      </c>
      <c r="CJ28" s="499" t="str">
        <f t="shared" si="11"/>
        <v/>
      </c>
      <c r="CP28" s="501">
        <f t="shared" si="12"/>
        <v>0</v>
      </c>
      <c r="CQ28" s="501">
        <f t="shared" si="32"/>
        <v>0</v>
      </c>
      <c r="CR28" s="501">
        <f t="shared" si="14"/>
        <v>0</v>
      </c>
      <c r="CS28" s="501">
        <f t="shared" si="15"/>
        <v>0</v>
      </c>
      <c r="CT28" s="501">
        <f t="shared" si="16"/>
        <v>0</v>
      </c>
      <c r="CU28" s="501">
        <f t="shared" si="17"/>
        <v>0</v>
      </c>
      <c r="CV28" s="502"/>
      <c r="CW28" s="501">
        <f t="shared" si="33"/>
        <v>0</v>
      </c>
      <c r="CX28" s="501">
        <f t="shared" si="33"/>
        <v>0</v>
      </c>
      <c r="CY28" s="501">
        <f t="shared" si="18"/>
        <v>0</v>
      </c>
    </row>
    <row r="29" spans="1:103" ht="15" customHeight="1" x14ac:dyDescent="0.15">
      <c r="A29" s="1868" t="s">
        <v>94</v>
      </c>
      <c r="B29" s="596" t="s">
        <v>92</v>
      </c>
      <c r="C29" s="489">
        <f t="shared" si="37"/>
        <v>0</v>
      </c>
      <c r="D29" s="528"/>
      <c r="E29" s="528"/>
      <c r="F29" s="528"/>
      <c r="G29" s="528"/>
      <c r="H29" s="528"/>
      <c r="I29" s="528"/>
      <c r="J29" s="528"/>
      <c r="K29" s="528"/>
      <c r="L29" s="528"/>
      <c r="M29" s="528"/>
      <c r="N29" s="491"/>
      <c r="O29" s="491"/>
      <c r="P29" s="492"/>
      <c r="Q29" s="597"/>
      <c r="R29" s="598"/>
      <c r="S29" s="599"/>
      <c r="T29" s="600"/>
      <c r="U29" s="601"/>
      <c r="V29" s="602"/>
      <c r="W29" s="600"/>
      <c r="X29" s="600"/>
      <c r="Y29" s="498" t="str">
        <f t="shared" si="19"/>
        <v/>
      </c>
      <c r="Z29" s="470"/>
      <c r="AA29" s="470"/>
      <c r="AB29" s="470"/>
      <c r="AC29" s="471"/>
      <c r="BJ29" s="467"/>
      <c r="BK29" s="467"/>
      <c r="BL29" s="467"/>
      <c r="BM29" s="467"/>
      <c r="BN29" s="467"/>
      <c r="CA29" s="499" t="str">
        <f t="shared" si="34"/>
        <v/>
      </c>
      <c r="CB29" s="499" t="str">
        <f t="shared" si="35"/>
        <v/>
      </c>
      <c r="CC29" s="499" t="str">
        <f t="shared" si="36"/>
        <v/>
      </c>
      <c r="CD29" s="499" t="str">
        <f t="shared" si="9"/>
        <v/>
      </c>
      <c r="CE29" s="499" t="str">
        <f t="shared" si="28"/>
        <v/>
      </c>
      <c r="CF29" s="499" t="str">
        <f t="shared" si="29"/>
        <v/>
      </c>
      <c r="CG29" s="500"/>
      <c r="CH29" s="499" t="str">
        <f t="shared" si="30"/>
        <v/>
      </c>
      <c r="CI29" s="499" t="str">
        <f t="shared" si="31"/>
        <v/>
      </c>
      <c r="CJ29" s="499" t="str">
        <f t="shared" si="11"/>
        <v/>
      </c>
      <c r="CP29" s="501">
        <f t="shared" si="12"/>
        <v>0</v>
      </c>
      <c r="CQ29" s="501">
        <f t="shared" si="32"/>
        <v>0</v>
      </c>
      <c r="CR29" s="501">
        <f t="shared" si="14"/>
        <v>0</v>
      </c>
      <c r="CS29" s="501">
        <f t="shared" si="15"/>
        <v>0</v>
      </c>
      <c r="CT29" s="501">
        <f t="shared" si="16"/>
        <v>0</v>
      </c>
      <c r="CU29" s="501">
        <f t="shared" si="17"/>
        <v>0</v>
      </c>
      <c r="CV29" s="502"/>
      <c r="CW29" s="501">
        <f t="shared" si="33"/>
        <v>0</v>
      </c>
      <c r="CX29" s="501">
        <f t="shared" si="33"/>
        <v>0</v>
      </c>
      <c r="CY29" s="501">
        <f t="shared" si="18"/>
        <v>0</v>
      </c>
    </row>
    <row r="30" spans="1:103" ht="15" customHeight="1" x14ac:dyDescent="0.15">
      <c r="A30" s="1869"/>
      <c r="B30" s="589" t="s">
        <v>93</v>
      </c>
      <c r="C30" s="505">
        <f t="shared" si="37"/>
        <v>0</v>
      </c>
      <c r="D30" s="528"/>
      <c r="E30" s="528"/>
      <c r="F30" s="528"/>
      <c r="G30" s="528"/>
      <c r="H30" s="528"/>
      <c r="I30" s="528"/>
      <c r="J30" s="528"/>
      <c r="K30" s="528"/>
      <c r="L30" s="528"/>
      <c r="M30" s="528"/>
      <c r="N30" s="506"/>
      <c r="O30" s="506"/>
      <c r="P30" s="507"/>
      <c r="Q30" s="590"/>
      <c r="R30" s="591"/>
      <c r="S30" s="592"/>
      <c r="T30" s="593"/>
      <c r="U30" s="594"/>
      <c r="V30" s="595"/>
      <c r="W30" s="593"/>
      <c r="X30" s="593"/>
      <c r="Y30" s="498" t="str">
        <f t="shared" si="19"/>
        <v/>
      </c>
      <c r="Z30" s="470"/>
      <c r="AA30" s="470"/>
      <c r="AB30" s="470"/>
      <c r="AC30" s="471"/>
      <c r="BJ30" s="467"/>
      <c r="BK30" s="467"/>
      <c r="BL30" s="467"/>
      <c r="BM30" s="467"/>
      <c r="BN30" s="467"/>
      <c r="CA30" s="499" t="str">
        <f>IF(AND($C30&lt;&gt;0,Q30=""),"* No olvide ingresar la variable "&amp;Q$9&amp;""&amp;". Digite CERO si no tiene.",IF(Q30&gt;$C30,"* El Número de Pueblos Originarios no puede superar el Total. ",""))</f>
        <v/>
      </c>
      <c r="CB30" s="499" t="str">
        <f t="shared" si="35"/>
        <v/>
      </c>
      <c r="CC30" s="499" t="str">
        <f t="shared" si="36"/>
        <v/>
      </c>
      <c r="CD30" s="499" t="str">
        <f t="shared" si="9"/>
        <v/>
      </c>
      <c r="CE30" s="499" t="str">
        <f t="shared" si="28"/>
        <v/>
      </c>
      <c r="CF30" s="499" t="str">
        <f t="shared" si="29"/>
        <v/>
      </c>
      <c r="CG30" s="500"/>
      <c r="CH30" s="499" t="str">
        <f t="shared" si="30"/>
        <v/>
      </c>
      <c r="CI30" s="499" t="str">
        <f t="shared" si="31"/>
        <v/>
      </c>
      <c r="CJ30" s="499" t="str">
        <f t="shared" si="11"/>
        <v/>
      </c>
      <c r="CP30" s="501">
        <f t="shared" si="12"/>
        <v>0</v>
      </c>
      <c r="CQ30" s="501">
        <f t="shared" si="32"/>
        <v>0</v>
      </c>
      <c r="CR30" s="501">
        <f t="shared" si="14"/>
        <v>0</v>
      </c>
      <c r="CS30" s="501">
        <f t="shared" si="15"/>
        <v>0</v>
      </c>
      <c r="CT30" s="501">
        <f t="shared" si="16"/>
        <v>0</v>
      </c>
      <c r="CU30" s="501">
        <f t="shared" si="17"/>
        <v>0</v>
      </c>
      <c r="CV30" s="502"/>
      <c r="CW30" s="501">
        <f t="shared" si="33"/>
        <v>0</v>
      </c>
      <c r="CX30" s="501">
        <f t="shared" si="33"/>
        <v>0</v>
      </c>
      <c r="CY30" s="501">
        <f t="shared" si="18"/>
        <v>0</v>
      </c>
    </row>
    <row r="31" spans="1:103" ht="15" customHeight="1" x14ac:dyDescent="0.15">
      <c r="A31" s="1861" t="s">
        <v>95</v>
      </c>
      <c r="B31" s="1862"/>
      <c r="C31" s="603">
        <f>SUM(D31:M31)</f>
        <v>0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604"/>
      <c r="O31" s="604"/>
      <c r="P31" s="605"/>
      <c r="Q31" s="606"/>
      <c r="R31" s="607"/>
      <c r="S31" s="608"/>
      <c r="T31" s="608"/>
      <c r="U31" s="609"/>
      <c r="V31" s="610"/>
      <c r="W31" s="611"/>
      <c r="X31" s="611"/>
      <c r="Y31" s="498" t="str">
        <f t="shared" si="19"/>
        <v/>
      </c>
      <c r="Z31" s="470"/>
      <c r="AA31" s="470"/>
      <c r="AB31" s="470"/>
      <c r="AC31" s="471"/>
      <c r="BJ31" s="467"/>
      <c r="BK31" s="467"/>
      <c r="BL31" s="467"/>
      <c r="BM31" s="467"/>
      <c r="BN31" s="467"/>
      <c r="CA31" s="499" t="str">
        <f>IF(AND($C31&lt;&gt;0,Q31=""),"* No olvide ingresar la variable "&amp;Q$9&amp;""&amp;". Digite CERO si no tiene.",IF(Q31&gt;$C31,"* El Número de Pueblos Originarios no puede superar el Total. ",""))</f>
        <v/>
      </c>
      <c r="CB31" s="499" t="str">
        <f t="shared" si="35"/>
        <v/>
      </c>
      <c r="CC31" s="499" t="str">
        <f t="shared" si="36"/>
        <v/>
      </c>
      <c r="CD31" s="499" t="str">
        <f t="shared" si="9"/>
        <v/>
      </c>
      <c r="CE31" s="499" t="str">
        <f t="shared" si="28"/>
        <v/>
      </c>
      <c r="CF31" s="499" t="str">
        <f t="shared" si="29"/>
        <v/>
      </c>
      <c r="CG31" s="500"/>
      <c r="CH31" s="499" t="str">
        <f t="shared" si="30"/>
        <v/>
      </c>
      <c r="CI31" s="499" t="str">
        <f t="shared" si="31"/>
        <v/>
      </c>
      <c r="CJ31" s="499" t="str">
        <f t="shared" si="11"/>
        <v/>
      </c>
      <c r="CP31" s="501">
        <f t="shared" si="12"/>
        <v>0</v>
      </c>
      <c r="CQ31" s="501">
        <f>IF(AND($C31&lt;&gt;0,$R31=""),1,IF($R31&gt;$C31,1,0))</f>
        <v>0</v>
      </c>
      <c r="CR31" s="501">
        <f t="shared" si="14"/>
        <v>0</v>
      </c>
      <c r="CS31" s="501">
        <f t="shared" si="15"/>
        <v>0</v>
      </c>
      <c r="CT31" s="470">
        <f t="shared" si="16"/>
        <v>0</v>
      </c>
      <c r="CU31" s="470">
        <f t="shared" si="17"/>
        <v>0</v>
      </c>
      <c r="CW31" s="470">
        <f t="shared" si="33"/>
        <v>0</v>
      </c>
      <c r="CX31" s="470">
        <f t="shared" si="33"/>
        <v>0</v>
      </c>
      <c r="CY31" s="501">
        <f t="shared" si="18"/>
        <v>0</v>
      </c>
    </row>
    <row r="32" spans="1:103" ht="17.100000000000001" customHeight="1" x14ac:dyDescent="0.15">
      <c r="A32" s="1800" t="s">
        <v>96</v>
      </c>
      <c r="B32" s="1801"/>
      <c r="C32" s="1801"/>
      <c r="D32" s="1801"/>
      <c r="E32" s="1801"/>
      <c r="F32" s="1801"/>
      <c r="G32" s="1801"/>
      <c r="H32" s="1801"/>
      <c r="I32" s="1801"/>
      <c r="J32" s="1801"/>
      <c r="K32" s="1801"/>
      <c r="L32" s="1801"/>
      <c r="M32" s="1801"/>
      <c r="N32" s="614"/>
      <c r="O32" s="614"/>
      <c r="P32" s="614"/>
      <c r="Q32" s="614"/>
      <c r="R32" s="614"/>
      <c r="S32" s="614"/>
      <c r="Y32" s="470"/>
    </row>
    <row r="33" spans="1:100" ht="15" customHeight="1" x14ac:dyDescent="0.15">
      <c r="A33" s="1813" t="s">
        <v>48</v>
      </c>
      <c r="B33" s="1814"/>
      <c r="C33" s="1882" t="s">
        <v>49</v>
      </c>
      <c r="D33" s="1865" t="s">
        <v>50</v>
      </c>
      <c r="E33" s="1866"/>
      <c r="F33" s="1866"/>
      <c r="G33" s="1866"/>
      <c r="H33" s="1866"/>
      <c r="I33" s="1866"/>
      <c r="J33" s="1866"/>
      <c r="K33" s="1866"/>
      <c r="L33" s="1866"/>
      <c r="M33" s="1866"/>
      <c r="N33" s="1866"/>
      <c r="O33" s="1866"/>
      <c r="P33" s="1867"/>
      <c r="Q33" s="1819" t="s">
        <v>51</v>
      </c>
      <c r="R33" s="1841" t="s">
        <v>52</v>
      </c>
      <c r="S33" s="1843"/>
      <c r="T33" s="1846" t="s">
        <v>53</v>
      </c>
      <c r="U33" s="1841" t="s">
        <v>54</v>
      </c>
      <c r="V33" s="1842"/>
      <c r="W33" s="1843"/>
      <c r="X33" s="1848" t="s">
        <v>55</v>
      </c>
      <c r="Y33" s="470"/>
      <c r="BJ33" s="467"/>
    </row>
    <row r="34" spans="1:100" ht="24" customHeight="1" x14ac:dyDescent="0.15">
      <c r="A34" s="1815"/>
      <c r="B34" s="1816"/>
      <c r="C34" s="1883"/>
      <c r="D34" s="476" t="s">
        <v>56</v>
      </c>
      <c r="E34" s="477" t="s">
        <v>57</v>
      </c>
      <c r="F34" s="477" t="s">
        <v>58</v>
      </c>
      <c r="G34" s="478" t="s">
        <v>59</v>
      </c>
      <c r="H34" s="478" t="s">
        <v>60</v>
      </c>
      <c r="I34" s="478" t="s">
        <v>61</v>
      </c>
      <c r="J34" s="478" t="s">
        <v>62</v>
      </c>
      <c r="K34" s="478" t="s">
        <v>63</v>
      </c>
      <c r="L34" s="478" t="s">
        <v>64</v>
      </c>
      <c r="M34" s="615" t="s">
        <v>65</v>
      </c>
      <c r="N34" s="478" t="s">
        <v>66</v>
      </c>
      <c r="O34" s="478" t="s">
        <v>67</v>
      </c>
      <c r="P34" s="616" t="s">
        <v>68</v>
      </c>
      <c r="Q34" s="1820"/>
      <c r="R34" s="482" t="s">
        <v>69</v>
      </c>
      <c r="S34" s="483" t="s">
        <v>70</v>
      </c>
      <c r="T34" s="1847"/>
      <c r="U34" s="484" t="s">
        <v>71</v>
      </c>
      <c r="V34" s="485" t="s">
        <v>72</v>
      </c>
      <c r="W34" s="617" t="s">
        <v>73</v>
      </c>
      <c r="X34" s="1849"/>
      <c r="Y34" s="470"/>
      <c r="BJ34" s="467"/>
    </row>
    <row r="35" spans="1:100" ht="15" customHeight="1" x14ac:dyDescent="0.15">
      <c r="A35" s="1809" t="s">
        <v>97</v>
      </c>
      <c r="B35" s="514" t="s">
        <v>85</v>
      </c>
      <c r="C35" s="489">
        <f>SUM(D35:P35)</f>
        <v>0</v>
      </c>
      <c r="D35" s="494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618"/>
      <c r="Q35" s="493"/>
      <c r="R35" s="494"/>
      <c r="S35" s="497"/>
      <c r="T35" s="495"/>
      <c r="U35" s="494"/>
      <c r="V35" s="491"/>
      <c r="W35" s="497"/>
      <c r="X35" s="619"/>
      <c r="Y35" s="470" t="str">
        <f>$CA35&amp;CB35&amp;CC35&amp;CD35&amp;CE35&amp;CF35&amp;CG35&amp;CH35</f>
        <v/>
      </c>
      <c r="BJ35" s="467"/>
      <c r="CA35" s="620" t="str">
        <f>IF(AND($C35&lt;&gt;0,Q35=""),"* No olvide ingresar la variable "&amp;Q$33&amp;""&amp;". Digite CERO si no tiene.",IF(Q35&gt;$C35,"* El Número de Pueblos Originarios no puede superar el Total. ",""))</f>
        <v/>
      </c>
      <c r="CB35" s="620" t="str">
        <f>IF(AND($D35+$E35&gt;0,R35=""),"* No olvide ingresar la variable "&amp;R$33&amp;""&amp;" Menor de 20 años. Digite CERO si no tiene.",IF(R35&gt;$D35+E35,"* El Número de Migrantes Menor de 20 años. no puede superar la suma de los rangos etarios menor de 20 años. ",""))</f>
        <v/>
      </c>
      <c r="CC35" s="620" t="str">
        <f>IF(AND($F35+G35+H35+I35+J35+K35+L35+M35+N35+O35+P35&lt;&gt;0,S35=""),"* No olvide ingresar la variable "&amp;R$33&amp;""&amp;" 20 años y más. Digite CERO si no tiene.",IF(S35&gt;$F35+G35+H35+I35+J35+K35+L35+M35+N35+O35+P35,"* El Número de Migrantes 20 años y más. no puede superar la suma de los rangos de 20 años y más. ",""))</f>
        <v/>
      </c>
      <c r="CD35" s="620" t="str">
        <f t="shared" ref="CD35:CD40" si="38">IF(AND($C35&lt;&gt;0,T35=""),"* No olvide ingresar la variable "&amp;T$33&amp;""&amp;". Digite CERO si no tiene.",IF(T35&gt;$C35,"* El Número de PV-VIH (personas viviendo con VIH) no puede superar el Total. ",""))</f>
        <v/>
      </c>
      <c r="CE35" s="620" t="str">
        <f>IF(AND($C35&lt;&gt;0,U35=""),"* No olvide ingresar la variable "&amp;U$34&amp;""&amp;". Digite CERO si no tiene.",IF(U35&gt;$C35,"* El Número de Trans masculino no puede superar el Total. ",""))</f>
        <v/>
      </c>
      <c r="CF35" s="502"/>
      <c r="CG35" s="620" t="str">
        <f t="shared" ref="CG35:CG40" si="39">IF(AND($C35&lt;&gt;0,W35=""),"* No olvide ingresar la variable "&amp;W$10&amp;""&amp;". Digite CERO si no tiene.",IF(W35&gt;$C35,"* El Número de No Binarie no puede superar el Total. ",""))</f>
        <v/>
      </c>
      <c r="CH35" s="620" t="str">
        <f t="shared" ref="CH35:CH40" si="40">IF(AND($C35&lt;&gt;0,X35=""),"* No olvide ingresar la variable "&amp;X$33&amp;""&amp;". Digite CERO si no tiene.",IF(X35&gt;$C35,"* El Número de Personas con discapacidad no puede superar el Total. ",""))</f>
        <v/>
      </c>
      <c r="CO35" s="501">
        <f>IF(AND($C35&lt;&gt;0,$Q35=""),1,IF($Q35&gt;$C35,1,0))</f>
        <v>0</v>
      </c>
      <c r="CP35" s="501">
        <f>IF(AND($C35&lt;&gt;0,$R35=""),1,IF($R35&gt;SUM(D35+E35),1,0))</f>
        <v>0</v>
      </c>
      <c r="CQ35" s="501">
        <f>IF(AND($C35&lt;&gt;0,$S35=""),1,IF($S35&gt;SUM(F35:P35),1,0))</f>
        <v>0</v>
      </c>
      <c r="CR35" s="501">
        <f>IF(AND($C35&lt;&gt;0,$T35=""),1,IF($T35&gt;$C35,1,0))</f>
        <v>0</v>
      </c>
      <c r="CS35" s="501">
        <f>IF(AND($C35&lt;&gt;0,$U35=""),1,IF($U35&gt;$C35,1,0))</f>
        <v>0</v>
      </c>
      <c r="CT35" s="502"/>
      <c r="CU35" s="501">
        <f t="shared" ref="CU35:CV40" si="41">IF(AND($C35&lt;&gt;0,W35=""),1,IF(W35&gt;$C35,1,0))</f>
        <v>0</v>
      </c>
      <c r="CV35" s="501">
        <f t="shared" si="41"/>
        <v>0</v>
      </c>
    </row>
    <row r="36" spans="1:100" ht="15" customHeight="1" x14ac:dyDescent="0.15">
      <c r="A36" s="1810"/>
      <c r="B36" s="621" t="s">
        <v>86</v>
      </c>
      <c r="C36" s="565">
        <f>SUM(D36:P36)</f>
        <v>0</v>
      </c>
      <c r="D36" s="547"/>
      <c r="E36" s="622"/>
      <c r="F36" s="622"/>
      <c r="G36" s="622"/>
      <c r="H36" s="622"/>
      <c r="I36" s="622"/>
      <c r="J36" s="623"/>
      <c r="K36" s="623"/>
      <c r="L36" s="623"/>
      <c r="M36" s="623"/>
      <c r="N36" s="623"/>
      <c r="O36" s="623"/>
      <c r="P36" s="623"/>
      <c r="Q36" s="546"/>
      <c r="R36" s="547"/>
      <c r="S36" s="551"/>
      <c r="T36" s="548"/>
      <c r="U36" s="624"/>
      <c r="V36" s="622"/>
      <c r="W36" s="551"/>
      <c r="X36" s="625"/>
      <c r="Y36" s="470" t="str">
        <f t="shared" ref="Y36:Y40" si="42">$CA36&amp;CB36&amp;CC36&amp;CD36&amp;CE36&amp;CF36&amp;CG36&amp;CH36</f>
        <v/>
      </c>
      <c r="BJ36" s="467"/>
      <c r="CA36" s="620" t="str">
        <f t="shared" ref="CA36:CA40" si="43">IF(AND($C36&lt;&gt;0,Q36=""),"* No olvide ingresar la variable "&amp;Q$33&amp;""&amp;". Digite CERO si no tiene.",IF(Q36&gt;$C36,"* El Número de Pueblos Originarios no puede superar el Total. ",""))</f>
        <v/>
      </c>
      <c r="CB36" s="620" t="str">
        <f>IF(AND($D36+$E36&gt;0,R36=""),"* No olvide ingresar la variable "&amp;R$33&amp;""&amp;" Menor de 20 años. Digite CERO si no tiene.",IF(R36&gt;$D36+E36,"* El Número de Migrantes Menor de 20 años. no puede superar la suma de los rangos etarios menor de 20 años. ",""))</f>
        <v/>
      </c>
      <c r="CC36" s="620" t="str">
        <f t="shared" ref="CC36:CC40" si="44">IF(AND($F36+G36+H36+I36+J36+K36+L36+M36+N36+O36+P36&lt;&gt;0,S36=""),"* No olvide ingresar la variable "&amp;R$33&amp;""&amp;" 20 años y más. Digite CERO si no tiene.",IF(S36&gt;$F36+G36+H36+I36+J36+K36+L36+M36+N36+O36+P36,"* El Número de Migrantes 20 años y más. no puede superar la suma de los rangos de 20 años y más. ",""))</f>
        <v/>
      </c>
      <c r="CD36" s="620" t="str">
        <f t="shared" si="38"/>
        <v/>
      </c>
      <c r="CE36" s="502"/>
      <c r="CF36" s="620" t="str">
        <f>IF(AND($C36&lt;&gt;0,V36=""),"* No olvide ingresar la variable "&amp;V$34&amp;""&amp;". Digite CERO si no tiene.",IF(V36&gt;$C36,"* El Número de Trans femenino no puede superar el Total. ",""))</f>
        <v/>
      </c>
      <c r="CG36" s="620" t="str">
        <f t="shared" si="39"/>
        <v/>
      </c>
      <c r="CH36" s="620" t="str">
        <f t="shared" si="40"/>
        <v/>
      </c>
      <c r="CO36" s="501">
        <f t="shared" ref="CO36:CO40" si="45">IF(AND($C36&lt;&gt;0,$Q36=""),1,IF($Q36&gt;$C36,1,0))</f>
        <v>0</v>
      </c>
      <c r="CP36" s="501">
        <f t="shared" ref="CP36:CP40" si="46">IF(AND($C36&lt;&gt;0,$R36=""),1,IF($R36&gt;SUM(D36+E36),1,0))</f>
        <v>0</v>
      </c>
      <c r="CQ36" s="501">
        <f t="shared" ref="CQ36:CQ40" si="47">IF(AND($C36&lt;&gt;0,$S36=""),1,IF($S36&gt;SUM(F36:P36),1,0))</f>
        <v>0</v>
      </c>
      <c r="CR36" s="501">
        <f t="shared" ref="CR36:CR40" si="48">IF(AND($C36&lt;&gt;0,$T36=""),1,IF($T36&gt;$C36,1,0))</f>
        <v>0</v>
      </c>
      <c r="CS36" s="502"/>
      <c r="CT36" s="501">
        <f>IF(AND($C36&lt;&gt;0,V36=""),1,IF(V36&gt;$C36,1,0))</f>
        <v>0</v>
      </c>
      <c r="CU36" s="501">
        <f t="shared" si="41"/>
        <v>0</v>
      </c>
      <c r="CV36" s="501">
        <f t="shared" si="41"/>
        <v>0</v>
      </c>
    </row>
    <row r="37" spans="1:100" ht="15" customHeight="1" x14ac:dyDescent="0.15">
      <c r="A37" s="1809" t="s">
        <v>98</v>
      </c>
      <c r="B37" s="514" t="s">
        <v>85</v>
      </c>
      <c r="C37" s="489">
        <f>SUM(D37:P37)</f>
        <v>0</v>
      </c>
      <c r="D37" s="494"/>
      <c r="E37" s="553"/>
      <c r="F37" s="553"/>
      <c r="G37" s="553"/>
      <c r="H37" s="553"/>
      <c r="I37" s="553"/>
      <c r="J37" s="553"/>
      <c r="K37" s="553"/>
      <c r="L37" s="553"/>
      <c r="M37" s="553"/>
      <c r="N37" s="553"/>
      <c r="O37" s="553"/>
      <c r="P37" s="553"/>
      <c r="Q37" s="493"/>
      <c r="R37" s="494"/>
      <c r="S37" s="497"/>
      <c r="T37" s="495"/>
      <c r="U37" s="494"/>
      <c r="V37" s="491"/>
      <c r="W37" s="497"/>
      <c r="X37" s="619"/>
      <c r="Y37" s="470" t="str">
        <f t="shared" si="42"/>
        <v/>
      </c>
      <c r="BJ37" s="467"/>
      <c r="CA37" s="620" t="str">
        <f t="shared" si="43"/>
        <v/>
      </c>
      <c r="CB37" s="620" t="str">
        <f t="shared" ref="CB37:CB40" si="49">IF(AND($D37+$E37&gt;0,R37=""),"* No olvide ingresar la variable "&amp;R$33&amp;""&amp;" Menor de 20 años. Digite CERO si no tiene.",IF(R37&gt;$D37+E37,"* El Número de Migrantes Menor de 20 años. no puede superar la suma de los rangos etarios menor de 20 años. ",""))</f>
        <v/>
      </c>
      <c r="CC37" s="620" t="str">
        <f t="shared" si="44"/>
        <v/>
      </c>
      <c r="CD37" s="620" t="str">
        <f t="shared" si="38"/>
        <v/>
      </c>
      <c r="CE37" s="620" t="str">
        <f>IF(AND($C37&lt;&gt;0,U37=""),"* No olvide ingresar la variable "&amp;U$34&amp;""&amp;". Digite CERO si no tiene.",IF(U37&gt;$C37,"* El Número de Trans masculino no puede superar el Total. ",""))</f>
        <v/>
      </c>
      <c r="CF37" s="502"/>
      <c r="CG37" s="620" t="str">
        <f t="shared" si="39"/>
        <v/>
      </c>
      <c r="CH37" s="620" t="str">
        <f t="shared" si="40"/>
        <v/>
      </c>
      <c r="CO37" s="501">
        <f t="shared" si="45"/>
        <v>0</v>
      </c>
      <c r="CP37" s="501">
        <f t="shared" si="46"/>
        <v>0</v>
      </c>
      <c r="CQ37" s="501">
        <f t="shared" si="47"/>
        <v>0</v>
      </c>
      <c r="CR37" s="501">
        <f t="shared" si="48"/>
        <v>0</v>
      </c>
      <c r="CS37" s="501">
        <f t="shared" ref="CS37:CS40" si="50">IF(AND($C37&lt;&gt;0,$U37=""),1,IF($U37&gt;$C37,1,0))</f>
        <v>0</v>
      </c>
      <c r="CT37" s="502"/>
      <c r="CU37" s="501">
        <f t="shared" si="41"/>
        <v>0</v>
      </c>
      <c r="CV37" s="501">
        <f t="shared" si="41"/>
        <v>0</v>
      </c>
    </row>
    <row r="38" spans="1:100" ht="15" customHeight="1" x14ac:dyDescent="0.15">
      <c r="A38" s="1810"/>
      <c r="B38" s="626" t="s">
        <v>86</v>
      </c>
      <c r="C38" s="505">
        <f>SUM(D38:P38)</f>
        <v>0</v>
      </c>
      <c r="D38" s="509"/>
      <c r="E38" s="627"/>
      <c r="F38" s="627"/>
      <c r="G38" s="627"/>
      <c r="H38" s="627"/>
      <c r="I38" s="627"/>
      <c r="J38" s="627"/>
      <c r="K38" s="627"/>
      <c r="L38" s="627"/>
      <c r="M38" s="627"/>
      <c r="N38" s="627"/>
      <c r="O38" s="627"/>
      <c r="P38" s="627"/>
      <c r="Q38" s="508"/>
      <c r="R38" s="509"/>
      <c r="S38" s="513"/>
      <c r="T38" s="510"/>
      <c r="U38" s="628"/>
      <c r="V38" s="627"/>
      <c r="W38" s="513"/>
      <c r="X38" s="629"/>
      <c r="Y38" s="470" t="str">
        <f t="shared" si="42"/>
        <v/>
      </c>
      <c r="BJ38" s="467"/>
      <c r="CA38" s="620" t="str">
        <f t="shared" si="43"/>
        <v/>
      </c>
      <c r="CB38" s="620" t="str">
        <f t="shared" si="49"/>
        <v/>
      </c>
      <c r="CC38" s="620" t="str">
        <f t="shared" si="44"/>
        <v/>
      </c>
      <c r="CD38" s="620" t="str">
        <f t="shared" si="38"/>
        <v/>
      </c>
      <c r="CE38" s="502"/>
      <c r="CF38" s="620" t="str">
        <f>IF(AND($C38&lt;&gt;0,V38=""),"* No olvide ingresar la variable "&amp;V$34&amp;""&amp;". Digite CERO si no tiene.",IF(V38&gt;$C38,"* El Número de Trans femenino no puede superar el Total. ",""))</f>
        <v/>
      </c>
      <c r="CG38" s="620" t="str">
        <f t="shared" si="39"/>
        <v/>
      </c>
      <c r="CH38" s="620" t="str">
        <f t="shared" si="40"/>
        <v/>
      </c>
      <c r="CO38" s="501">
        <f t="shared" si="45"/>
        <v>0</v>
      </c>
      <c r="CP38" s="501">
        <f t="shared" si="46"/>
        <v>0</v>
      </c>
      <c r="CQ38" s="501">
        <f t="shared" si="47"/>
        <v>0</v>
      </c>
      <c r="CR38" s="501">
        <f t="shared" si="48"/>
        <v>0</v>
      </c>
      <c r="CS38" s="502"/>
      <c r="CT38" s="501">
        <f>IF(AND($C38&lt;&gt;0,V38=""),1,IF(V38&gt;$C38,1,0))</f>
        <v>0</v>
      </c>
      <c r="CU38" s="501">
        <f t="shared" si="41"/>
        <v>0</v>
      </c>
      <c r="CV38" s="501">
        <f t="shared" si="41"/>
        <v>0</v>
      </c>
    </row>
    <row r="39" spans="1:100" ht="15" customHeight="1" x14ac:dyDescent="0.15">
      <c r="A39" s="1879" t="s">
        <v>99</v>
      </c>
      <c r="B39" s="1880"/>
      <c r="C39" s="505">
        <f>SUM(D39:P39)</f>
        <v>0</v>
      </c>
      <c r="D39" s="509"/>
      <c r="E39" s="627"/>
      <c r="F39" s="627"/>
      <c r="G39" s="627"/>
      <c r="H39" s="627"/>
      <c r="I39" s="627"/>
      <c r="J39" s="627"/>
      <c r="K39" s="627"/>
      <c r="L39" s="627"/>
      <c r="M39" s="627"/>
      <c r="N39" s="627"/>
      <c r="O39" s="627"/>
      <c r="P39" s="630"/>
      <c r="Q39" s="508"/>
      <c r="R39" s="509"/>
      <c r="S39" s="513"/>
      <c r="T39" s="510"/>
      <c r="U39" s="509"/>
      <c r="V39" s="506"/>
      <c r="W39" s="513"/>
      <c r="X39" s="629"/>
      <c r="Y39" s="470" t="str">
        <f t="shared" si="42"/>
        <v/>
      </c>
      <c r="BJ39" s="467"/>
      <c r="CA39" s="620" t="str">
        <f t="shared" si="43"/>
        <v/>
      </c>
      <c r="CB39" s="620" t="str">
        <f t="shared" si="49"/>
        <v/>
      </c>
      <c r="CC39" s="620" t="str">
        <f t="shared" si="44"/>
        <v/>
      </c>
      <c r="CD39" s="620" t="str">
        <f t="shared" si="38"/>
        <v/>
      </c>
      <c r="CE39" s="620" t="str">
        <f>IF(AND($C39&lt;&gt;0,U39=""),"* No olvide ingresar la variable "&amp;U$34&amp;""&amp;". Digite CERO si no tiene.",IF(U39&gt;$C39,"* El Número de Trans masculino no puede superar el Total. ",""))</f>
        <v/>
      </c>
      <c r="CF39" s="502"/>
      <c r="CG39" s="620" t="str">
        <f t="shared" si="39"/>
        <v/>
      </c>
      <c r="CH39" s="620" t="str">
        <f t="shared" si="40"/>
        <v/>
      </c>
      <c r="CO39" s="501">
        <f t="shared" si="45"/>
        <v>0</v>
      </c>
      <c r="CP39" s="501">
        <f t="shared" si="46"/>
        <v>0</v>
      </c>
      <c r="CQ39" s="501">
        <f t="shared" si="47"/>
        <v>0</v>
      </c>
      <c r="CR39" s="501">
        <f t="shared" si="48"/>
        <v>0</v>
      </c>
      <c r="CS39" s="501">
        <f t="shared" si="50"/>
        <v>0</v>
      </c>
      <c r="CT39" s="502"/>
      <c r="CU39" s="501">
        <f t="shared" si="41"/>
        <v>0</v>
      </c>
      <c r="CV39" s="501">
        <f t="shared" si="41"/>
        <v>0</v>
      </c>
    </row>
    <row r="40" spans="1:100" ht="15" customHeight="1" x14ac:dyDescent="0.15">
      <c r="A40" s="1872" t="s">
        <v>100</v>
      </c>
      <c r="B40" s="1873"/>
      <c r="C40" s="505">
        <f>SUM(D40:M40)</f>
        <v>0</v>
      </c>
      <c r="D40" s="509"/>
      <c r="E40" s="627"/>
      <c r="F40" s="627"/>
      <c r="G40" s="627"/>
      <c r="H40" s="627"/>
      <c r="I40" s="627"/>
      <c r="J40" s="627"/>
      <c r="K40" s="627"/>
      <c r="L40" s="627"/>
      <c r="M40" s="627"/>
      <c r="N40" s="506"/>
      <c r="O40" s="506"/>
      <c r="P40" s="631"/>
      <c r="Q40" s="590"/>
      <c r="R40" s="509"/>
      <c r="S40" s="513"/>
      <c r="T40" s="510"/>
      <c r="U40" s="591"/>
      <c r="V40" s="506"/>
      <c r="W40" s="513"/>
      <c r="X40" s="629"/>
      <c r="Y40" s="470" t="str">
        <f t="shared" si="42"/>
        <v/>
      </c>
      <c r="BJ40" s="467"/>
      <c r="CA40" s="620" t="str">
        <f t="shared" si="43"/>
        <v/>
      </c>
      <c r="CB40" s="620" t="str">
        <f t="shared" si="49"/>
        <v/>
      </c>
      <c r="CC40" s="620" t="str">
        <f t="shared" si="44"/>
        <v/>
      </c>
      <c r="CD40" s="620" t="str">
        <f t="shared" si="38"/>
        <v/>
      </c>
      <c r="CE40" s="620" t="str">
        <f>IF(AND($C40&lt;&gt;0,U40=""),"* No olvide ingresar la variable "&amp;U$34&amp;""&amp;". Digite CERO si no tiene.",IF(U40&gt;$C40,"* El Número de Trans masculino no puede superar el Total. ",""))</f>
        <v/>
      </c>
      <c r="CF40" s="502"/>
      <c r="CG40" s="620" t="str">
        <f t="shared" si="39"/>
        <v/>
      </c>
      <c r="CH40" s="620" t="str">
        <f t="shared" si="40"/>
        <v/>
      </c>
      <c r="CO40" s="501">
        <f t="shared" si="45"/>
        <v>0</v>
      </c>
      <c r="CP40" s="501">
        <f t="shared" si="46"/>
        <v>0</v>
      </c>
      <c r="CQ40" s="501">
        <f t="shared" si="47"/>
        <v>0</v>
      </c>
      <c r="CR40" s="501">
        <f t="shared" si="48"/>
        <v>0</v>
      </c>
      <c r="CS40" s="501">
        <f t="shared" si="50"/>
        <v>0</v>
      </c>
      <c r="CT40" s="502"/>
      <c r="CU40" s="501">
        <f t="shared" si="41"/>
        <v>0</v>
      </c>
      <c r="CV40" s="501">
        <f t="shared" si="41"/>
        <v>0</v>
      </c>
    </row>
    <row r="41" spans="1:100" ht="17.100000000000001" customHeight="1" x14ac:dyDescent="0.15">
      <c r="A41" s="612" t="s">
        <v>101</v>
      </c>
      <c r="B41" s="613"/>
      <c r="C41" s="613"/>
      <c r="D41" s="473"/>
      <c r="E41" s="473"/>
      <c r="F41" s="473"/>
      <c r="G41" s="472"/>
      <c r="H41" s="472"/>
    </row>
    <row r="42" spans="1:100" ht="15" customHeight="1" x14ac:dyDescent="0.15">
      <c r="A42" s="1855" t="s">
        <v>102</v>
      </c>
      <c r="B42" s="1878" t="s">
        <v>103</v>
      </c>
      <c r="C42" s="1858" t="s">
        <v>104</v>
      </c>
      <c r="D42" s="1856" t="s">
        <v>105</v>
      </c>
      <c r="E42" s="1856" t="s">
        <v>106</v>
      </c>
      <c r="F42" s="1876" t="s">
        <v>107</v>
      </c>
      <c r="G42" s="1850" t="s">
        <v>51</v>
      </c>
      <c r="H42" s="1876" t="s">
        <v>108</v>
      </c>
      <c r="I42" s="1852" t="s">
        <v>54</v>
      </c>
      <c r="J42" s="1812"/>
      <c r="K42" s="1853" t="s">
        <v>55</v>
      </c>
      <c r="X42" s="470"/>
      <c r="Y42" s="470"/>
      <c r="Z42" s="470"/>
      <c r="AA42" s="470"/>
      <c r="AB42" s="470"/>
      <c r="AC42" s="471"/>
      <c r="BJ42" s="467"/>
      <c r="BK42" s="467"/>
      <c r="BL42" s="467"/>
      <c r="BM42" s="467"/>
      <c r="BN42" s="467"/>
      <c r="CA42" s="471"/>
      <c r="CB42" s="471"/>
      <c r="CC42" s="471"/>
      <c r="CD42" s="471"/>
      <c r="CE42" s="471"/>
    </row>
    <row r="43" spans="1:100" ht="21.75" customHeight="1" x14ac:dyDescent="0.15">
      <c r="A43" s="1855"/>
      <c r="B43" s="1878"/>
      <c r="C43" s="1858"/>
      <c r="D43" s="1857"/>
      <c r="E43" s="1857"/>
      <c r="F43" s="1877"/>
      <c r="G43" s="1851"/>
      <c r="H43" s="1877"/>
      <c r="I43" s="633" t="s">
        <v>71</v>
      </c>
      <c r="J43" s="635" t="s">
        <v>73</v>
      </c>
      <c r="K43" s="1854"/>
      <c r="X43" s="470"/>
      <c r="Y43" s="470"/>
      <c r="Z43" s="470"/>
      <c r="AA43" s="470"/>
      <c r="AB43" s="470"/>
      <c r="AC43" s="471"/>
      <c r="BJ43" s="467"/>
      <c r="BK43" s="467"/>
      <c r="BL43" s="467"/>
      <c r="BM43" s="467"/>
      <c r="BN43" s="467"/>
      <c r="CA43" s="471"/>
      <c r="CB43" s="471"/>
      <c r="CC43" s="471"/>
      <c r="CD43" s="471"/>
      <c r="CE43" s="471"/>
    </row>
    <row r="44" spans="1:100" ht="15" customHeight="1" x14ac:dyDescent="0.15">
      <c r="A44" s="636" t="s">
        <v>109</v>
      </c>
      <c r="B44" s="637"/>
      <c r="C44" s="638"/>
      <c r="D44" s="553"/>
      <c r="E44" s="553"/>
      <c r="F44" s="639"/>
      <c r="G44" s="638"/>
      <c r="H44" s="639"/>
      <c r="I44" s="638"/>
      <c r="J44" s="495"/>
      <c r="K44" s="495"/>
      <c r="L44" s="470" t="str">
        <f>($CA44&amp;$CB44&amp;$CC44&amp;$CD44&amp;$CE44&amp;$CF44&amp;CG44&amp;CH44&amp;CI44)</f>
        <v/>
      </c>
      <c r="X44" s="470"/>
      <c r="Y44" s="470"/>
      <c r="Z44" s="470"/>
      <c r="AA44" s="470"/>
      <c r="AB44" s="470"/>
      <c r="AC44" s="471"/>
      <c r="BJ44" s="467"/>
      <c r="BK44" s="467"/>
      <c r="BL44" s="467"/>
      <c r="BM44" s="467"/>
      <c r="BN44" s="467"/>
      <c r="CA44" s="620" t="str">
        <f>IF($B44&lt;$C44,"* Las Gestantes Menores de 15 años con Riesgo Psicosocial deben estar incluidas en el Total de Gestantes en Control misma edad. ","")</f>
        <v/>
      </c>
      <c r="CB44" s="620" t="str">
        <f>IF($C44&lt;$E44,"* Las Gestantes Menores de 15 años Que presentan Violencia de género deben estar incluidas en el grupo En Riesgo Psicosocial. ","")</f>
        <v/>
      </c>
      <c r="CC44" s="620" t="str">
        <f>IF($B44&lt;$D44,"* Las Gestantes Menores de 15 años Con 3  o más Riesgos Psicosocial deben estar incluidas en el Total de Gestantes en Control misma edad. ","")</f>
        <v/>
      </c>
      <c r="CD44" s="620" t="str">
        <f>IF($B44&lt;$F44,"* Las Gestantes que presentan ARO Menos de 15 años deben estar incluidas en el Total de Gestantes en Control mismo grupo de edad. ","")</f>
        <v/>
      </c>
      <c r="CE44" s="620" t="str">
        <f>IF(AND($B44&lt;&gt;0,G44=""),"* No olvide ingresar la variable "&amp;G$42&amp;""&amp;". Digite CERO si no tiene.",IF(G44&gt;$B44,"* La variable Pueblos originario no puede superar el Total de Gestantes en Control mismo grupo de edad. ",""))</f>
        <v/>
      </c>
      <c r="CF44" s="620" t="str">
        <f>IF(AND($B44&lt;&gt;0,H44=""),"* No olvide ingresar la variable "&amp;H$42&amp;""&amp;". Digite CERO si no tiene.",IF(H44&gt;$B44,"* La variable Migrantes no puede superar el Total de Gestantes en Control mismo grupo de edad. ",""))</f>
        <v/>
      </c>
      <c r="CG44" s="620" t="str">
        <f>IF(AND($B44&lt;&gt;0,I44=""),"* No olvide ingresar la variable "&amp;I$43&amp;""&amp;". Digite CERO si no tiene.",IF(I44&gt;$B44,"* La variable Trans masculino no puede superar el Total de Gestantes en Control mismo grupo de edad. ",""))</f>
        <v/>
      </c>
      <c r="CH44" s="620" t="str">
        <f t="shared" ref="CH44:CH52" si="51">IF(AND($B44&lt;&gt;0,J44=""),"* No olvide ingresar la variable "&amp;J$43&amp;""&amp;". Digite CERO si no tiene.",IF(J44&gt;$B44,"* La variable No Binarie no puede superar el Total de Gestantes en Control mismo grupo de edad. ",""))</f>
        <v/>
      </c>
      <c r="CI44" s="620" t="str">
        <f>IF(AND($B44&lt;&gt;0,K44=""),"* No olvide ingresar la variable "&amp;K$42&amp;""&amp;". Digite CERO si no tiene.",IF(K44&gt;$B44,"* La variable Personas con Discapacidad no puede superar el Total de Gestantes en Control mismo grupo de edad. ",""))</f>
        <v/>
      </c>
      <c r="CJ44" s="470" t="str">
        <f t="shared" ref="CJ44" si="52">IF(AND(B44&lt;&gt;0,H44=""),"* No olvide escribir en la celda de 'Población Migrantes' (Digite CERO si no tiene). ","")</f>
        <v/>
      </c>
      <c r="CN44" s="501">
        <f>IF($B44&lt;$C44,1,0)</f>
        <v>0</v>
      </c>
      <c r="CO44" s="501">
        <f>IF($C44&lt;$E44,1,0)</f>
        <v>0</v>
      </c>
      <c r="CP44" s="501">
        <f>IF($B44&lt;$D44,1,0)</f>
        <v>0</v>
      </c>
      <c r="CQ44" s="501">
        <f>IF($B44&lt;$F44,1,0)</f>
        <v>0</v>
      </c>
      <c r="CR44" s="501">
        <f>IF(AND($B44&lt;&gt;0,G44=""),1,IF(G44&gt;$B44,1,0))</f>
        <v>0</v>
      </c>
      <c r="CS44" s="501">
        <f>IF(AND($B44&lt;&gt;0,$H44=""),1,IF($H44&gt;$B44,1,0))</f>
        <v>0</v>
      </c>
      <c r="CT44" s="501">
        <f>IF(AND($B44&lt;&gt;0,$I44=""),1,IF($I44&gt;$B44,1,0))</f>
        <v>0</v>
      </c>
      <c r="CU44" s="501">
        <f>IF(AND($B44&lt;&gt;0,$J44=""),1,IF($J44&gt;$B44,1,0))</f>
        <v>0</v>
      </c>
      <c r="CV44" s="501">
        <f>IF(AND($B44&lt;&gt;0,$K44=""),1,IF($K44&gt;$B44,1,0))</f>
        <v>0</v>
      </c>
    </row>
    <row r="45" spans="1:100" ht="15" customHeight="1" x14ac:dyDescent="0.15">
      <c r="A45" s="640" t="s">
        <v>57</v>
      </c>
      <c r="B45" s="641"/>
      <c r="C45" s="642"/>
      <c r="D45" s="527"/>
      <c r="E45" s="527"/>
      <c r="F45" s="643"/>
      <c r="G45" s="642"/>
      <c r="H45" s="643"/>
      <c r="I45" s="642"/>
      <c r="J45" s="532"/>
      <c r="K45" s="532"/>
      <c r="L45" s="470" t="str">
        <f t="shared" ref="L45:L51" si="53">($CA45&amp;$CB45&amp;$CC45&amp;$CD45&amp;$CE45&amp;$CF45&amp;CG45&amp;CH45&amp;CI45)</f>
        <v/>
      </c>
      <c r="X45" s="470"/>
      <c r="Y45" s="470"/>
      <c r="Z45" s="470"/>
      <c r="AA45" s="470"/>
      <c r="AB45" s="470"/>
      <c r="AC45" s="471"/>
      <c r="BJ45" s="467"/>
      <c r="BK45" s="467"/>
      <c r="BL45" s="467"/>
      <c r="BM45" s="467"/>
      <c r="BN45" s="467"/>
      <c r="CA45" s="620" t="str">
        <f>IF($B45&lt;$C45,"* Las Gestantes de 15 a 19 años En Riesgo Psicosocial deben estar incluidas en el Total de Gestantes en Control misma edad. ","")</f>
        <v/>
      </c>
      <c r="CB45" s="620" t="str">
        <f>IF($C45&lt;$E45,"* Las Gestantes de 15 a 19 años Que presentan Violencia de género deben estar incluidas en el grupo En Riesgo Psicosocial. ","")</f>
        <v/>
      </c>
      <c r="CC45" s="620" t="str">
        <f>IF($B45&lt;$D45,"* Las Gestantes de 15 a 19 años con 3 o más Riesgos Psicosocial deben estar incluidas en el Total de Gestantes en Control misma edad. ","")</f>
        <v/>
      </c>
      <c r="CD45" s="620" t="str">
        <f>IF($B45&lt;$F45,"* Las Gestantes que presentan ARO de 15 a 19 años deben estar incluidas en el Total de Gestantes en Control mismo grupo de edad. ","")</f>
        <v/>
      </c>
      <c r="CE45" s="620" t="str">
        <f t="shared" ref="CE45:CE52" si="54">IF(AND($B45&lt;&gt;0,G45=""),"* No olvide ingresar la variable "&amp;G$42&amp;""&amp;". Digite CERO si no tiene.",IF(G45&gt;$B45,"* La variable Pueblos originario no puede superar el Total de Gestantes en Control mismo grupo de edad. ",""))</f>
        <v/>
      </c>
      <c r="CF45" s="620" t="str">
        <f t="shared" ref="CF45:CF52" si="55">IF(AND($B45&lt;&gt;0,H45=""),"* No olvide ingresar la variable "&amp;H$42&amp;""&amp;". Digite CERO si no tiene.",IF(H45&gt;$B45,"* La variable Migrantes no puede superar el Total de Gestantes en Control mismo grupo de edad. ",""))</f>
        <v/>
      </c>
      <c r="CG45" s="620" t="str">
        <f t="shared" ref="CG45:CG52" si="56">IF(AND($B45&lt;&gt;0,I45=""),"* No olvide ingresar la variable "&amp;I$43&amp;""&amp;". Digite CERO si no tiene.",IF(I45&gt;$B45,"* La variable Trans masculino no puede superar el Total de Gestantes en Control mismo grupo de edad. ",""))</f>
        <v/>
      </c>
      <c r="CH45" s="620" t="str">
        <f t="shared" si="51"/>
        <v/>
      </c>
      <c r="CI45" s="620" t="str">
        <f t="shared" ref="CI45:CI52" si="57">IF(AND($B45&lt;&gt;0,K45=""),"* No olvide ingresar la variable "&amp;K$42&amp;""&amp;". Digite CERO si no tiene.",IF(K45&gt;$B45,"* La variable Personas con Discapacidad no puede superar el Total de Gestantes en Control mismo grupo de edad. ",""))</f>
        <v/>
      </c>
      <c r="CN45" s="501">
        <f t="shared" ref="CN45:CN52" si="58">IF($B45&lt;$C45,1,0)</f>
        <v>0</v>
      </c>
      <c r="CO45" s="501">
        <f t="shared" ref="CO45:CO52" si="59">IF($C45&lt;$E45,1,0)</f>
        <v>0</v>
      </c>
      <c r="CP45" s="501">
        <f t="shared" ref="CP45:CP52" si="60">IF($B45&lt;$D45,1,0)</f>
        <v>0</v>
      </c>
      <c r="CQ45" s="501">
        <f t="shared" ref="CQ45:CQ52" si="61">IF($B45&lt;$F45,1,0)</f>
        <v>0</v>
      </c>
      <c r="CR45" s="501">
        <f t="shared" ref="CR45:CR52" si="62">IF(AND($B45&lt;&gt;0,G45=""),1,IF(G45&gt;$B45,1,0))</f>
        <v>0</v>
      </c>
      <c r="CS45" s="501">
        <f t="shared" ref="CS45:CS52" si="63">IF(AND($B45&lt;&gt;0,$H45=""),1,IF($H45&gt;$B45,1,0))</f>
        <v>0</v>
      </c>
      <c r="CT45" s="501">
        <f t="shared" ref="CT45:CT52" si="64">IF(AND($B45&lt;&gt;0,$I45=""),1,IF($I45&gt;$B45,1,0))</f>
        <v>0</v>
      </c>
      <c r="CU45" s="501">
        <f t="shared" ref="CU45:CU52" si="65">IF(AND($B45&lt;&gt;0,$J45=""),1,IF($J45&gt;$B45,1,0))</f>
        <v>0</v>
      </c>
      <c r="CV45" s="501">
        <f t="shared" ref="CV45:CV52" si="66">IF(AND($B45&lt;&gt;0,$K45=""),1,IF($K45&gt;$B45,1,0))</f>
        <v>0</v>
      </c>
    </row>
    <row r="46" spans="1:100" ht="15" customHeight="1" x14ac:dyDescent="0.15">
      <c r="A46" s="640" t="s">
        <v>58</v>
      </c>
      <c r="B46" s="641"/>
      <c r="C46" s="642"/>
      <c r="D46" s="527"/>
      <c r="E46" s="527"/>
      <c r="F46" s="643"/>
      <c r="G46" s="642"/>
      <c r="H46" s="643"/>
      <c r="I46" s="642"/>
      <c r="J46" s="532"/>
      <c r="K46" s="532"/>
      <c r="L46" s="470" t="str">
        <f t="shared" si="53"/>
        <v/>
      </c>
      <c r="X46" s="470"/>
      <c r="Y46" s="470"/>
      <c r="Z46" s="470"/>
      <c r="AA46" s="470"/>
      <c r="AB46" s="470"/>
      <c r="AC46" s="471"/>
      <c r="BJ46" s="467"/>
      <c r="BK46" s="467"/>
      <c r="BL46" s="467"/>
      <c r="BM46" s="467"/>
      <c r="BN46" s="467"/>
      <c r="CA46" s="620" t="str">
        <f>IF($B46&lt;$C46,"* Las Gestantes de 20 a 24 años con Riesgo Psicosocial deben estar incluidas en el Total de Gestantes en Control misma edad. ","")</f>
        <v/>
      </c>
      <c r="CB46" s="620" t="str">
        <f>IF($C46&lt;$E46,"* Las Gestantes de 20 a 24 años Que presentan Violencia de género deben estar incluidas en el grupo En Riesgo Psicosocial. ","")</f>
        <v/>
      </c>
      <c r="CC46" s="620" t="str">
        <f>IF($B46&lt;$D46,"* Las Gestantes de 20 a 24 años con 3 o más Riesgos Psicosocial deben estar incluidas en el Total de Gestantes en Control misma edad. ","")</f>
        <v/>
      </c>
      <c r="CD46" s="620" t="str">
        <f>IF($B46&lt;$F46,"* Las Gestantes que presentan ARO de 20 a 24 años deben estar incluidas en el Total de Gestantes en Control misma edad. ","")</f>
        <v/>
      </c>
      <c r="CE46" s="620" t="str">
        <f t="shared" si="54"/>
        <v/>
      </c>
      <c r="CF46" s="620" t="str">
        <f t="shared" si="55"/>
        <v/>
      </c>
      <c r="CG46" s="620" t="str">
        <f t="shared" si="56"/>
        <v/>
      </c>
      <c r="CH46" s="620" t="str">
        <f t="shared" si="51"/>
        <v/>
      </c>
      <c r="CI46" s="620" t="str">
        <f t="shared" si="57"/>
        <v/>
      </c>
      <c r="CN46" s="501">
        <f t="shared" si="58"/>
        <v>0</v>
      </c>
      <c r="CO46" s="501">
        <f t="shared" si="59"/>
        <v>0</v>
      </c>
      <c r="CP46" s="501">
        <f t="shared" si="60"/>
        <v>0</v>
      </c>
      <c r="CQ46" s="501">
        <f t="shared" si="61"/>
        <v>0</v>
      </c>
      <c r="CR46" s="501">
        <f t="shared" si="62"/>
        <v>0</v>
      </c>
      <c r="CS46" s="501">
        <f t="shared" si="63"/>
        <v>0</v>
      </c>
      <c r="CT46" s="501">
        <f t="shared" si="64"/>
        <v>0</v>
      </c>
      <c r="CU46" s="501">
        <f t="shared" si="65"/>
        <v>0</v>
      </c>
      <c r="CV46" s="501">
        <f t="shared" si="66"/>
        <v>0</v>
      </c>
    </row>
    <row r="47" spans="1:100" ht="15" customHeight="1" x14ac:dyDescent="0.15">
      <c r="A47" s="640" t="s">
        <v>59</v>
      </c>
      <c r="B47" s="644"/>
      <c r="C47" s="645"/>
      <c r="D47" s="526"/>
      <c r="E47" s="526"/>
      <c r="F47" s="646"/>
      <c r="G47" s="645"/>
      <c r="H47" s="646"/>
      <c r="I47" s="645"/>
      <c r="J47" s="538"/>
      <c r="K47" s="538"/>
      <c r="L47" s="470" t="str">
        <f t="shared" si="53"/>
        <v/>
      </c>
      <c r="X47" s="470"/>
      <c r="Y47" s="470"/>
      <c r="Z47" s="470"/>
      <c r="AA47" s="470"/>
      <c r="AB47" s="470"/>
      <c r="AC47" s="471"/>
      <c r="BJ47" s="467"/>
      <c r="BK47" s="467"/>
      <c r="BL47" s="467"/>
      <c r="BM47" s="467"/>
      <c r="BN47" s="467"/>
      <c r="CA47" s="620" t="str">
        <f>IF($B47&lt;$C47,"* Las Gestantes de25 a 29 años con Riesgo Psicosocial deben estar incluidas en el Total de Gestantes en Control misma edad. ","")</f>
        <v/>
      </c>
      <c r="CB47" s="620" t="str">
        <f>IF($C47&lt;$E47,"* Las Gestantes de 25 a 29 años Que presentan Violencia de género deben estar incluidas en el grupo En Riesgo Psicosocial. ","")</f>
        <v/>
      </c>
      <c r="CC47" s="620" t="str">
        <f>IF($B47&lt;$D47,"* Las Gestantes de 25 a 29 años con 3 o más Riesgos Psicosocial deben estar incluidas en el Total de Gestantes en Control misma edad. ","")</f>
        <v/>
      </c>
      <c r="CD47" s="620" t="str">
        <f>IF($B47&lt;$F47,"* Las Gestantes que presentan ARO de 25 a 29 años deben estar incluidas en el Total de Gestantes en Control misma edad. ","")</f>
        <v/>
      </c>
      <c r="CE47" s="620" t="str">
        <f t="shared" si="54"/>
        <v/>
      </c>
      <c r="CF47" s="620" t="str">
        <f t="shared" si="55"/>
        <v/>
      </c>
      <c r="CG47" s="620" t="str">
        <f t="shared" si="56"/>
        <v/>
      </c>
      <c r="CH47" s="620" t="str">
        <f t="shared" si="51"/>
        <v/>
      </c>
      <c r="CI47" s="620" t="str">
        <f t="shared" si="57"/>
        <v/>
      </c>
      <c r="CN47" s="501">
        <f t="shared" si="58"/>
        <v>0</v>
      </c>
      <c r="CO47" s="501">
        <f t="shared" si="59"/>
        <v>0</v>
      </c>
      <c r="CP47" s="501">
        <f t="shared" si="60"/>
        <v>0</v>
      </c>
      <c r="CQ47" s="501">
        <f t="shared" si="61"/>
        <v>0</v>
      </c>
      <c r="CR47" s="501">
        <f t="shared" si="62"/>
        <v>0</v>
      </c>
      <c r="CS47" s="501">
        <f t="shared" si="63"/>
        <v>0</v>
      </c>
      <c r="CT47" s="501">
        <f t="shared" si="64"/>
        <v>0</v>
      </c>
      <c r="CU47" s="501">
        <f t="shared" si="65"/>
        <v>0</v>
      </c>
      <c r="CV47" s="501">
        <f t="shared" si="66"/>
        <v>0</v>
      </c>
    </row>
    <row r="48" spans="1:100" ht="15" customHeight="1" x14ac:dyDescent="0.15">
      <c r="A48" s="640" t="s">
        <v>60</v>
      </c>
      <c r="B48" s="644"/>
      <c r="C48" s="645"/>
      <c r="D48" s="526"/>
      <c r="E48" s="526"/>
      <c r="F48" s="646"/>
      <c r="G48" s="645"/>
      <c r="H48" s="646"/>
      <c r="I48" s="645"/>
      <c r="J48" s="538"/>
      <c r="K48" s="538"/>
      <c r="L48" s="470" t="str">
        <f t="shared" si="53"/>
        <v/>
      </c>
      <c r="X48" s="470"/>
      <c r="Y48" s="470"/>
      <c r="Z48" s="470"/>
      <c r="AA48" s="470"/>
      <c r="AB48" s="470"/>
      <c r="AC48" s="471"/>
      <c r="BJ48" s="467"/>
      <c r="BK48" s="467"/>
      <c r="BL48" s="467"/>
      <c r="BM48" s="467"/>
      <c r="BN48" s="467"/>
      <c r="CA48" s="620" t="str">
        <f>IF($B48&lt;$C48,"* Las Gestantes de 30 a 34 años con Riesgo Psicosocial deben estar incluidas en el Total de Gestantes en Control misma edad. ","")</f>
        <v/>
      </c>
      <c r="CB48" s="620" t="str">
        <f>IF($C48&lt;$E48,"* Las Gestantes de 30 a 34 años Que presentan Violencia de género deben estar incluidas en el grupo En Riesgo Psicosocial. ","")</f>
        <v/>
      </c>
      <c r="CC48" s="620" t="str">
        <f>IF($B48&lt;$D48,"* Las Gestantes de 30 a 34 años con 3 o más Riesgos Psicosocial deben estar incluidas en el Total de Gestantes en Control misma edad. ","")</f>
        <v/>
      </c>
      <c r="CD48" s="620" t="str">
        <f>IF($B48&lt;$F48,"* Las Gestantes que presentan ARO de 30 a 34 años deben estar incluidas en el Total de Gestantes en Control misma edad. ","")</f>
        <v/>
      </c>
      <c r="CE48" s="620" t="str">
        <f t="shared" si="54"/>
        <v/>
      </c>
      <c r="CF48" s="620" t="str">
        <f t="shared" si="55"/>
        <v/>
      </c>
      <c r="CG48" s="620" t="str">
        <f t="shared" si="56"/>
        <v/>
      </c>
      <c r="CH48" s="620" t="str">
        <f t="shared" si="51"/>
        <v/>
      </c>
      <c r="CI48" s="620" t="str">
        <f t="shared" si="57"/>
        <v/>
      </c>
      <c r="CN48" s="501">
        <f t="shared" si="58"/>
        <v>0</v>
      </c>
      <c r="CO48" s="501">
        <f t="shared" si="59"/>
        <v>0</v>
      </c>
      <c r="CP48" s="501">
        <f t="shared" si="60"/>
        <v>0</v>
      </c>
      <c r="CQ48" s="501">
        <f t="shared" si="61"/>
        <v>0</v>
      </c>
      <c r="CR48" s="501">
        <f t="shared" si="62"/>
        <v>0</v>
      </c>
      <c r="CS48" s="501">
        <f t="shared" si="63"/>
        <v>0</v>
      </c>
      <c r="CT48" s="501">
        <f t="shared" si="64"/>
        <v>0</v>
      </c>
      <c r="CU48" s="501">
        <f t="shared" si="65"/>
        <v>0</v>
      </c>
      <c r="CV48" s="501">
        <f t="shared" si="66"/>
        <v>0</v>
      </c>
    </row>
    <row r="49" spans="1:100" ht="15" customHeight="1" x14ac:dyDescent="0.15">
      <c r="A49" s="640" t="s">
        <v>61</v>
      </c>
      <c r="B49" s="644"/>
      <c r="C49" s="645"/>
      <c r="D49" s="526"/>
      <c r="E49" s="526"/>
      <c r="F49" s="646"/>
      <c r="G49" s="645"/>
      <c r="H49" s="646"/>
      <c r="I49" s="645"/>
      <c r="J49" s="538"/>
      <c r="K49" s="538"/>
      <c r="L49" s="470" t="str">
        <f t="shared" si="53"/>
        <v/>
      </c>
      <c r="X49" s="470"/>
      <c r="Y49" s="470"/>
      <c r="Z49" s="470"/>
      <c r="AA49" s="470"/>
      <c r="AB49" s="470"/>
      <c r="AC49" s="471"/>
      <c r="BJ49" s="467"/>
      <c r="BK49" s="467"/>
      <c r="BL49" s="467"/>
      <c r="BM49" s="467"/>
      <c r="BN49" s="467"/>
      <c r="CA49" s="620" t="str">
        <f>IF($B49&lt;$C49,"* Las Gestantes de 35 a 39 años con Riesgo Psicosocial deben estar incluidas en el Total de Gestantes en Control misma edad. ","")</f>
        <v/>
      </c>
      <c r="CB49" s="620" t="str">
        <f>IF($C49&lt;$E49,"* Las Gestantes de 35 a 39 años Que presentan Violencia de género deben estar incluidas en el grupo En Riesgo Psicosocial. ","")</f>
        <v/>
      </c>
      <c r="CC49" s="620" t="str">
        <f>IF($B49&lt;$D49,"* Las Gestantes de 35 a 39 años con 3 o más Riesgos Psicosocial deben estar incluidas en el Total de Gestantes en Control misma edad. ","")</f>
        <v/>
      </c>
      <c r="CD49" s="620" t="str">
        <f>IF($B49&lt;$F49,"* Las Gestantes que presentan ARO de 35 a 39 años deben estar incluidas en el Total de Gestantes en Control misma edad. ","")</f>
        <v/>
      </c>
      <c r="CE49" s="620" t="str">
        <f t="shared" si="54"/>
        <v/>
      </c>
      <c r="CF49" s="620" t="str">
        <f t="shared" si="55"/>
        <v/>
      </c>
      <c r="CG49" s="620" t="str">
        <f t="shared" si="56"/>
        <v/>
      </c>
      <c r="CH49" s="620" t="str">
        <f t="shared" si="51"/>
        <v/>
      </c>
      <c r="CI49" s="620" t="str">
        <f t="shared" si="57"/>
        <v/>
      </c>
      <c r="CN49" s="501">
        <f t="shared" si="58"/>
        <v>0</v>
      </c>
      <c r="CO49" s="501">
        <f t="shared" si="59"/>
        <v>0</v>
      </c>
      <c r="CP49" s="501">
        <f t="shared" si="60"/>
        <v>0</v>
      </c>
      <c r="CQ49" s="501">
        <f t="shared" si="61"/>
        <v>0</v>
      </c>
      <c r="CR49" s="501">
        <f t="shared" si="62"/>
        <v>0</v>
      </c>
      <c r="CS49" s="501">
        <f t="shared" si="63"/>
        <v>0</v>
      </c>
      <c r="CT49" s="501">
        <f t="shared" si="64"/>
        <v>0</v>
      </c>
      <c r="CU49" s="501">
        <f t="shared" si="65"/>
        <v>0</v>
      </c>
      <c r="CV49" s="501">
        <f t="shared" si="66"/>
        <v>0</v>
      </c>
    </row>
    <row r="50" spans="1:100" ht="15" customHeight="1" x14ac:dyDescent="0.15">
      <c r="A50" s="640" t="s">
        <v>62</v>
      </c>
      <c r="B50" s="644"/>
      <c r="C50" s="645"/>
      <c r="D50" s="526"/>
      <c r="E50" s="526"/>
      <c r="F50" s="646"/>
      <c r="G50" s="645"/>
      <c r="H50" s="646"/>
      <c r="I50" s="645"/>
      <c r="J50" s="538"/>
      <c r="K50" s="538"/>
      <c r="L50" s="470" t="str">
        <f t="shared" si="53"/>
        <v/>
      </c>
      <c r="X50" s="470"/>
      <c r="Y50" s="470"/>
      <c r="Z50" s="470"/>
      <c r="AA50" s="470"/>
      <c r="AB50" s="470"/>
      <c r="AC50" s="471"/>
      <c r="BJ50" s="467"/>
      <c r="BK50" s="467"/>
      <c r="BL50" s="467"/>
      <c r="BM50" s="467"/>
      <c r="BN50" s="467"/>
      <c r="CA50" s="620" t="str">
        <f>IF($B50&lt;$C50,"* Las Gestantes 40 a 44 años con Riesgo Psicosocial deben estar incluidas en el Total de Gestantes en Control misma edad. ","")</f>
        <v/>
      </c>
      <c r="CB50" s="620" t="str">
        <f>IF($C50&lt;$E50,"* Las Gestantes de 40 a 44 años Que presentan Violencia de género deben estar incluidas en el grupo En Riesgo Psicosocial. ","")</f>
        <v/>
      </c>
      <c r="CC50" s="620" t="str">
        <f>IF($B50&lt;$D50,"* Las Gestantes de 40 a 44 años con 3 o más Riesgos Psicosocial deben estar incluidas en el Total de Gestantes en Control misma edad. ","")</f>
        <v/>
      </c>
      <c r="CD50" s="620" t="str">
        <f>IF($B50&lt;$F50,"* Las Gestantes que presentan ARO de 40 a 44 años deben estar incluidas en el Total de Gestantes en Control misma edad. ","")</f>
        <v/>
      </c>
      <c r="CE50" s="620" t="str">
        <f t="shared" si="54"/>
        <v/>
      </c>
      <c r="CF50" s="620" t="str">
        <f t="shared" si="55"/>
        <v/>
      </c>
      <c r="CG50" s="620" t="str">
        <f t="shared" si="56"/>
        <v/>
      </c>
      <c r="CH50" s="620" t="str">
        <f t="shared" si="51"/>
        <v/>
      </c>
      <c r="CI50" s="620" t="str">
        <f t="shared" si="57"/>
        <v/>
      </c>
      <c r="CN50" s="501">
        <f t="shared" si="58"/>
        <v>0</v>
      </c>
      <c r="CO50" s="501">
        <f t="shared" si="59"/>
        <v>0</v>
      </c>
      <c r="CP50" s="501">
        <f t="shared" si="60"/>
        <v>0</v>
      </c>
      <c r="CQ50" s="501">
        <f t="shared" si="61"/>
        <v>0</v>
      </c>
      <c r="CR50" s="501">
        <f t="shared" si="62"/>
        <v>0</v>
      </c>
      <c r="CS50" s="501">
        <f t="shared" si="63"/>
        <v>0</v>
      </c>
      <c r="CT50" s="501">
        <f t="shared" si="64"/>
        <v>0</v>
      </c>
      <c r="CU50" s="501">
        <f t="shared" si="65"/>
        <v>0</v>
      </c>
      <c r="CV50" s="501">
        <f t="shared" si="66"/>
        <v>0</v>
      </c>
    </row>
    <row r="51" spans="1:100" ht="15" customHeight="1" x14ac:dyDescent="0.15">
      <c r="A51" s="640" t="s">
        <v>63</v>
      </c>
      <c r="B51" s="644"/>
      <c r="C51" s="645"/>
      <c r="D51" s="526"/>
      <c r="E51" s="526"/>
      <c r="F51" s="646"/>
      <c r="G51" s="645"/>
      <c r="H51" s="646"/>
      <c r="I51" s="645"/>
      <c r="J51" s="538"/>
      <c r="K51" s="538"/>
      <c r="L51" s="470" t="str">
        <f t="shared" si="53"/>
        <v/>
      </c>
      <c r="X51" s="470"/>
      <c r="Y51" s="470"/>
      <c r="Z51" s="470"/>
      <c r="AA51" s="470"/>
      <c r="AB51" s="470"/>
      <c r="AC51" s="471"/>
      <c r="BJ51" s="467"/>
      <c r="BK51" s="467"/>
      <c r="BL51" s="467"/>
      <c r="BM51" s="467"/>
      <c r="BN51" s="467"/>
      <c r="CA51" s="620" t="str">
        <f>IF($B51&lt;$C51,"* Las Gestantes de 45 a 49 años con Riesgo Psicosocial deben estar incluidas en el Total de Gestantes en Control misma edad. ","")</f>
        <v/>
      </c>
      <c r="CB51" s="620" t="str">
        <f>IF($C51&lt;$E51,"* Las Gestantes de 45 a 49 años Que presentan Violencia de género deben estar incluidas en el grupo En Riesgo Psicosocial. ","")</f>
        <v/>
      </c>
      <c r="CC51" s="620" t="str">
        <f>IF($B51&lt;$D51,"* Las Gestantes 45 a 49 años con 3 o más Riesgos Psicosocial deben estar incluidas en el Total de Gestantes en Control misma edad. ","")</f>
        <v/>
      </c>
      <c r="CD51" s="620" t="str">
        <f>IF($B51&lt;$F51,"* Las Gestantes que presentan ARO de 45 a 49 años deben estar incluidas en el Total de Gestantes en Control misma edad. ","")</f>
        <v/>
      </c>
      <c r="CE51" s="620" t="str">
        <f t="shared" si="54"/>
        <v/>
      </c>
      <c r="CF51" s="620" t="str">
        <f t="shared" si="55"/>
        <v/>
      </c>
      <c r="CG51" s="620" t="str">
        <f t="shared" si="56"/>
        <v/>
      </c>
      <c r="CH51" s="620" t="str">
        <f t="shared" si="51"/>
        <v/>
      </c>
      <c r="CI51" s="620" t="str">
        <f t="shared" si="57"/>
        <v/>
      </c>
      <c r="CN51" s="501">
        <f t="shared" si="58"/>
        <v>0</v>
      </c>
      <c r="CO51" s="501">
        <f t="shared" si="59"/>
        <v>0</v>
      </c>
      <c r="CP51" s="501">
        <f t="shared" si="60"/>
        <v>0</v>
      </c>
      <c r="CQ51" s="501">
        <f t="shared" si="61"/>
        <v>0</v>
      </c>
      <c r="CR51" s="501">
        <f t="shared" si="62"/>
        <v>0</v>
      </c>
      <c r="CS51" s="501">
        <f t="shared" si="63"/>
        <v>0</v>
      </c>
      <c r="CT51" s="501">
        <f t="shared" si="64"/>
        <v>0</v>
      </c>
      <c r="CU51" s="501">
        <f t="shared" si="65"/>
        <v>0</v>
      </c>
      <c r="CV51" s="501">
        <f t="shared" si="66"/>
        <v>0</v>
      </c>
    </row>
    <row r="52" spans="1:100" ht="15" customHeight="1" x14ac:dyDescent="0.15">
      <c r="A52" s="640" t="s">
        <v>64</v>
      </c>
      <c r="B52" s="644"/>
      <c r="C52" s="645"/>
      <c r="D52" s="526"/>
      <c r="E52" s="526"/>
      <c r="F52" s="646"/>
      <c r="G52" s="645"/>
      <c r="H52" s="646"/>
      <c r="I52" s="645"/>
      <c r="J52" s="538"/>
      <c r="K52" s="538"/>
      <c r="L52" s="470" t="str">
        <f>($CA52&amp;$CB52&amp;$CC52&amp;$CD52&amp;$CE52&amp;$CF52&amp;CG52&amp;CH52&amp;CI52)</f>
        <v/>
      </c>
      <c r="X52" s="470"/>
      <c r="Y52" s="470"/>
      <c r="Z52" s="470"/>
      <c r="AA52" s="470"/>
      <c r="AB52" s="470"/>
      <c r="AC52" s="471"/>
      <c r="BJ52" s="467"/>
      <c r="BK52" s="467"/>
      <c r="BL52" s="467"/>
      <c r="BM52" s="467"/>
      <c r="BN52" s="467"/>
      <c r="CA52" s="620" t="str">
        <f>IF($B52&lt;$C52,"* Las Gestantes de 50 a 54 años con Riesgo Psicosocial deben estar incluidas en el Total de Gestantes en Control misma edad. ","")</f>
        <v/>
      </c>
      <c r="CB52" s="620" t="str">
        <f>IF($C52&lt;$E52,"* Las Gestantes de 50 a 54 años Que presentan Violencia de género deben estar incluidas en el grupo En Riesgo Psicosocial. ","")</f>
        <v/>
      </c>
      <c r="CC52" s="620" t="str">
        <f>IF($B52&lt;$D52,"* Las Gestantes de 50 a 54 años con 3 o más Riesgos Psicosocial deben estar incluidas en el Total de Gestantes en Control misma edad. ","")</f>
        <v/>
      </c>
      <c r="CD52" s="620" t="str">
        <f>IF($B52&lt;$F52,"* Las Gestantes que presentan ARO de 50 a 54 años deben estar incluidas en el Total de Gestantes en Control misma edad. ","")</f>
        <v/>
      </c>
      <c r="CE52" s="620" t="str">
        <f t="shared" si="54"/>
        <v/>
      </c>
      <c r="CF52" s="620" t="str">
        <f t="shared" si="55"/>
        <v/>
      </c>
      <c r="CG52" s="620" t="str">
        <f t="shared" si="56"/>
        <v/>
      </c>
      <c r="CH52" s="620" t="str">
        <f t="shared" si="51"/>
        <v/>
      </c>
      <c r="CI52" s="620" t="str">
        <f t="shared" si="57"/>
        <v/>
      </c>
      <c r="CN52" s="501">
        <f t="shared" si="58"/>
        <v>0</v>
      </c>
      <c r="CO52" s="501">
        <f t="shared" si="59"/>
        <v>0</v>
      </c>
      <c r="CP52" s="501">
        <f t="shared" si="60"/>
        <v>0</v>
      </c>
      <c r="CQ52" s="501">
        <f t="shared" si="61"/>
        <v>0</v>
      </c>
      <c r="CR52" s="501">
        <f t="shared" si="62"/>
        <v>0</v>
      </c>
      <c r="CS52" s="501">
        <f t="shared" si="63"/>
        <v>0</v>
      </c>
      <c r="CT52" s="501">
        <f t="shared" si="64"/>
        <v>0</v>
      </c>
      <c r="CU52" s="501">
        <f t="shared" si="65"/>
        <v>0</v>
      </c>
      <c r="CV52" s="501">
        <f t="shared" si="66"/>
        <v>0</v>
      </c>
    </row>
    <row r="53" spans="1:100" ht="15" customHeight="1" x14ac:dyDescent="0.15">
      <c r="A53" s="647" t="s">
        <v>89</v>
      </c>
      <c r="B53" s="648">
        <f t="shared" ref="B53:K53" si="67">SUM(B44:B52)</f>
        <v>0</v>
      </c>
      <c r="C53" s="649">
        <f t="shared" si="67"/>
        <v>0</v>
      </c>
      <c r="D53" s="650">
        <f>SUM(D44:D52)</f>
        <v>0</v>
      </c>
      <c r="E53" s="650">
        <f t="shared" si="67"/>
        <v>0</v>
      </c>
      <c r="F53" s="651">
        <f t="shared" si="67"/>
        <v>0</v>
      </c>
      <c r="G53" s="649">
        <f t="shared" si="67"/>
        <v>0</v>
      </c>
      <c r="H53" s="651">
        <f t="shared" si="67"/>
        <v>0</v>
      </c>
      <c r="I53" s="649">
        <f t="shared" si="67"/>
        <v>0</v>
      </c>
      <c r="J53" s="648">
        <f t="shared" si="67"/>
        <v>0</v>
      </c>
      <c r="K53" s="648">
        <f t="shared" si="67"/>
        <v>0</v>
      </c>
      <c r="L53" s="472"/>
      <c r="X53" s="470"/>
      <c r="Y53" s="470"/>
      <c r="Z53" s="470"/>
      <c r="AA53" s="470"/>
      <c r="AB53" s="470"/>
      <c r="AC53" s="471"/>
      <c r="BJ53" s="467"/>
      <c r="BK53" s="467"/>
      <c r="BL53" s="467"/>
      <c r="BM53" s="467"/>
      <c r="BN53" s="467"/>
    </row>
    <row r="54" spans="1:100" ht="17.100000000000001" customHeight="1" x14ac:dyDescent="0.15">
      <c r="A54" s="1796" t="s">
        <v>110</v>
      </c>
      <c r="B54" s="1797"/>
      <c r="C54" s="1797"/>
      <c r="D54" s="1797"/>
      <c r="E54" s="1797"/>
      <c r="F54" s="652"/>
      <c r="G54" s="652"/>
      <c r="H54" s="652"/>
      <c r="I54" s="652"/>
      <c r="J54" s="652"/>
      <c r="K54" s="652"/>
    </row>
    <row r="55" spans="1:100" ht="18" customHeight="1" x14ac:dyDescent="0.15">
      <c r="A55" s="1855" t="s">
        <v>111</v>
      </c>
      <c r="B55" s="1855" t="s">
        <v>112</v>
      </c>
      <c r="C55" s="1855" t="s">
        <v>113</v>
      </c>
      <c r="D55" s="1855" t="s">
        <v>894</v>
      </c>
      <c r="E55" s="468"/>
    </row>
    <row r="56" spans="1:100" ht="18" customHeight="1" x14ac:dyDescent="0.15">
      <c r="A56" s="1855"/>
      <c r="B56" s="1855"/>
      <c r="C56" s="1855"/>
      <c r="D56" s="1855"/>
      <c r="E56" s="468"/>
    </row>
    <row r="57" spans="1:100" ht="15" customHeight="1" x14ac:dyDescent="0.15">
      <c r="A57" s="636" t="s">
        <v>114</v>
      </c>
      <c r="B57" s="619"/>
      <c r="C57" s="489">
        <f>B57*1</f>
        <v>0</v>
      </c>
      <c r="D57" s="619"/>
      <c r="E57" s="470" t="str">
        <f>($CA57&amp;$CB57)</f>
        <v/>
      </c>
      <c r="CA57" s="620" t="str">
        <f>IF($C$57&lt;&gt;$B$57*1,"*el Total de Visitas equivale a 1 visita por gestante. ","")</f>
        <v/>
      </c>
      <c r="CB57" s="620" t="str">
        <f>IF(AND($B57&lt;&gt;0,D57=""),"* No olvide ingresar la variable "&amp;D$55&amp;""&amp;". Digite CERO si no tiene. ","")</f>
        <v/>
      </c>
      <c r="CN57" s="501">
        <f>IF($C$57&lt;&gt;$B$57*1,1,0)</f>
        <v>0</v>
      </c>
      <c r="CO57" s="501">
        <f>IF(AND($B57&lt;&gt;0,$D57=""),1,0)</f>
        <v>0</v>
      </c>
    </row>
    <row r="58" spans="1:100" ht="15" customHeight="1" x14ac:dyDescent="0.15">
      <c r="A58" s="640" t="s">
        <v>115</v>
      </c>
      <c r="B58" s="653"/>
      <c r="C58" s="542">
        <f>B58*2</f>
        <v>0</v>
      </c>
      <c r="D58" s="653"/>
      <c r="E58" s="470" t="str">
        <f t="shared" ref="E58:E59" si="68">($CA58&amp;$CB58)</f>
        <v/>
      </c>
      <c r="CA58" s="620" t="str">
        <f>IF($C$58&lt;&gt;$B$58*2,"*el Total de Visitas equivale a 2 visita por gestante. ","")</f>
        <v/>
      </c>
      <c r="CB58" s="620" t="str">
        <f t="shared" ref="CB58:CB59" si="69">IF(AND($B58&lt;&gt;0,D58=""),"* No olvide ingresar la variable "&amp;D$55&amp;""&amp;". Digite CERO si no tiene. ","")</f>
        <v/>
      </c>
      <c r="CN58" s="501">
        <f>IF($C$58&lt;&gt;$B$58*2,1,0)</f>
        <v>0</v>
      </c>
      <c r="CO58" s="501">
        <f t="shared" ref="CO58:CO59" si="70">IF(AND($B58&lt;&gt;0,$D58=""),1,0)</f>
        <v>0</v>
      </c>
    </row>
    <row r="59" spans="1:100" ht="15" customHeight="1" x14ac:dyDescent="0.15">
      <c r="A59" s="640" t="s">
        <v>116</v>
      </c>
      <c r="B59" s="653"/>
      <c r="C59" s="654">
        <f>B59*3</f>
        <v>0</v>
      </c>
      <c r="D59" s="653"/>
      <c r="E59" s="470" t="str">
        <f t="shared" si="68"/>
        <v/>
      </c>
      <c r="CA59" s="620" t="str">
        <f>IF($C$59&lt;&gt;$B$59*3,"*el Total de Visitas equivale a 3 visita por gestante. ","")</f>
        <v/>
      </c>
      <c r="CB59" s="620" t="str">
        <f t="shared" si="69"/>
        <v/>
      </c>
      <c r="CN59" s="501">
        <f>IF($C$59&lt;&gt;$B$59*3,1,0)</f>
        <v>0</v>
      </c>
      <c r="CO59" s="501">
        <f t="shared" si="70"/>
        <v>0</v>
      </c>
    </row>
    <row r="60" spans="1:100" ht="15" customHeight="1" x14ac:dyDescent="0.15">
      <c r="A60" s="655" t="s">
        <v>117</v>
      </c>
      <c r="B60" s="656"/>
      <c r="C60" s="656"/>
      <c r="D60" s="656"/>
      <c r="E60" s="470" t="str">
        <f>($CA60&amp;$CB60)</f>
        <v/>
      </c>
      <c r="CA60" s="620"/>
      <c r="CB60" s="620" t="str">
        <f>IF(AND($B60&lt;&gt;0,D60=""),"* No olvide ingresar la variable "&amp;D$55&amp;""&amp;". Digite CERO si no tiene. ","")</f>
        <v/>
      </c>
      <c r="CN60" s="501"/>
      <c r="CO60" s="501">
        <f>IF(AND($B60&lt;&gt;0,$D60=""),1,0)</f>
        <v>0</v>
      </c>
    </row>
    <row r="61" spans="1:100" ht="15" customHeight="1" x14ac:dyDescent="0.15">
      <c r="A61" s="647" t="s">
        <v>89</v>
      </c>
      <c r="B61" s="603">
        <f>SUM(B57:B60)</f>
        <v>0</v>
      </c>
      <c r="C61" s="603">
        <f>SUM(C57:C60)</f>
        <v>0</v>
      </c>
      <c r="D61" s="603">
        <f>SUM(D57:D60)</f>
        <v>0</v>
      </c>
      <c r="E61" s="468"/>
    </row>
    <row r="62" spans="1:100" ht="17.100000000000001" customHeight="1" x14ac:dyDescent="0.15">
      <c r="A62" s="1798" t="s">
        <v>118</v>
      </c>
      <c r="B62" s="1799"/>
      <c r="C62" s="1799"/>
      <c r="D62" s="1799"/>
      <c r="E62" s="1799"/>
      <c r="F62" s="1799"/>
      <c r="G62" s="1799"/>
      <c r="H62" s="1799"/>
      <c r="I62" s="1799"/>
      <c r="J62" s="1799"/>
      <c r="K62" s="1799"/>
      <c r="L62" s="1799"/>
    </row>
    <row r="63" spans="1:100" ht="15" customHeight="1" x14ac:dyDescent="0.15">
      <c r="A63" s="1882" t="s">
        <v>119</v>
      </c>
      <c r="B63" s="1809" t="s">
        <v>120</v>
      </c>
      <c r="C63" s="1809" t="s">
        <v>49</v>
      </c>
      <c r="D63" s="1811" t="s">
        <v>50</v>
      </c>
      <c r="E63" s="1852"/>
      <c r="F63" s="1852"/>
      <c r="G63" s="1852"/>
      <c r="H63" s="1852"/>
      <c r="I63" s="1852"/>
      <c r="J63" s="1852"/>
      <c r="K63" s="1852"/>
      <c r="L63" s="1812"/>
    </row>
    <row r="64" spans="1:100" ht="15" customHeight="1" x14ac:dyDescent="0.15">
      <c r="A64" s="1883"/>
      <c r="B64" s="1810"/>
      <c r="C64" s="1810"/>
      <c r="D64" s="658" t="s">
        <v>121</v>
      </c>
      <c r="E64" s="659" t="s">
        <v>57</v>
      </c>
      <c r="F64" s="659" t="s">
        <v>58</v>
      </c>
      <c r="G64" s="478" t="s">
        <v>59</v>
      </c>
      <c r="H64" s="478" t="s">
        <v>60</v>
      </c>
      <c r="I64" s="478" t="s">
        <v>61</v>
      </c>
      <c r="J64" s="478" t="s">
        <v>62</v>
      </c>
      <c r="K64" s="478" t="s">
        <v>63</v>
      </c>
      <c r="L64" s="660" t="s">
        <v>64</v>
      </c>
      <c r="M64" s="468"/>
    </row>
    <row r="65" spans="1:100" ht="15" customHeight="1" x14ac:dyDescent="0.15">
      <c r="A65" s="1809" t="s">
        <v>122</v>
      </c>
      <c r="B65" s="661" t="s">
        <v>123</v>
      </c>
      <c r="C65" s="662">
        <f>SUM(D65:L65)</f>
        <v>0</v>
      </c>
      <c r="D65" s="494"/>
      <c r="E65" s="553"/>
      <c r="F65" s="553"/>
      <c r="G65" s="553"/>
      <c r="H65" s="553"/>
      <c r="I65" s="553"/>
      <c r="J65" s="553"/>
      <c r="K65" s="553"/>
      <c r="L65" s="495"/>
    </row>
    <row r="66" spans="1:100" ht="15" customHeight="1" x14ac:dyDescent="0.15">
      <c r="A66" s="1888"/>
      <c r="B66" s="663" t="s">
        <v>124</v>
      </c>
      <c r="C66" s="664">
        <f>SUM(D66:L66)</f>
        <v>0</v>
      </c>
      <c r="D66" s="531"/>
      <c r="E66" s="527"/>
      <c r="F66" s="527"/>
      <c r="G66" s="527"/>
      <c r="H66" s="527"/>
      <c r="I66" s="527"/>
      <c r="J66" s="527"/>
      <c r="K66" s="527"/>
      <c r="L66" s="532"/>
    </row>
    <row r="67" spans="1:100" ht="15" customHeight="1" x14ac:dyDescent="0.15">
      <c r="A67" s="1888"/>
      <c r="B67" s="663" t="s">
        <v>125</v>
      </c>
      <c r="C67" s="664">
        <f t="shared" ref="C67:C73" si="71">SUM(D67:L67)</f>
        <v>0</v>
      </c>
      <c r="D67" s="531"/>
      <c r="E67" s="527"/>
      <c r="F67" s="527"/>
      <c r="G67" s="527"/>
      <c r="H67" s="527"/>
      <c r="I67" s="527"/>
      <c r="J67" s="527"/>
      <c r="K67" s="527"/>
      <c r="L67" s="532"/>
    </row>
    <row r="68" spans="1:100" ht="15" customHeight="1" x14ac:dyDescent="0.15">
      <c r="A68" s="1888"/>
      <c r="B68" s="665" t="s">
        <v>126</v>
      </c>
      <c r="C68" s="666">
        <f>SUM(D68:L68)</f>
        <v>0</v>
      </c>
      <c r="D68" s="537"/>
      <c r="E68" s="526"/>
      <c r="F68" s="526"/>
      <c r="G68" s="526"/>
      <c r="H68" s="526"/>
      <c r="I68" s="526"/>
      <c r="J68" s="526"/>
      <c r="K68" s="526"/>
      <c r="L68" s="538"/>
    </row>
    <row r="69" spans="1:100" ht="15" customHeight="1" x14ac:dyDescent="0.15">
      <c r="A69" s="1810"/>
      <c r="B69" s="647" t="s">
        <v>89</v>
      </c>
      <c r="C69" s="603">
        <f>SUM(D69:L69)</f>
        <v>0</v>
      </c>
      <c r="D69" s="667">
        <f>SUM(D65:D68)</f>
        <v>0</v>
      </c>
      <c r="E69" s="650">
        <f t="shared" ref="E69:L69" si="72">SUM(E65:E68)</f>
        <v>0</v>
      </c>
      <c r="F69" s="650">
        <f t="shared" si="72"/>
        <v>0</v>
      </c>
      <c r="G69" s="650">
        <f t="shared" si="72"/>
        <v>0</v>
      </c>
      <c r="H69" s="650">
        <f t="shared" si="72"/>
        <v>0</v>
      </c>
      <c r="I69" s="650">
        <f t="shared" si="72"/>
        <v>0</v>
      </c>
      <c r="J69" s="650">
        <f t="shared" si="72"/>
        <v>0</v>
      </c>
      <c r="K69" s="650">
        <f t="shared" si="72"/>
        <v>0</v>
      </c>
      <c r="L69" s="648">
        <f t="shared" si="72"/>
        <v>0</v>
      </c>
      <c r="M69" s="470" t="str">
        <f xml:space="preserve"> CA69 &amp; CB69 &amp; CC69 &amp; CD69 &amp; CE69 &amp; CF69 &amp; CG69 &amp;CH69&amp;CI69</f>
        <v/>
      </c>
      <c r="CA69" s="620" t="str">
        <f>IF($B$44&lt;&gt;$D69,"* El Total de Gestantes Menos de 15 años, según Estado Nutricional, debe ser igual al Total de Gestantes en Control de esa edad, de la Sección B. ","")</f>
        <v/>
      </c>
      <c r="CB69" s="620" t="str">
        <f>IF($B$45&lt;&gt;$E69,"* El Total de Gestantes 15-19 años, según Estado Nutricional debe ser igual al Total de gestantes en Control de esa edad, de la Sección B. ","")</f>
        <v/>
      </c>
      <c r="CC69" s="620" t="str">
        <f>IF($B$46&lt;&gt;$F69,"* El Total de Gestantes 20-24 años, según Estado Nutricional debe ser igual al Total de gestantes en Control de esa edad, de la Sección B. ","")</f>
        <v/>
      </c>
      <c r="CD69" s="620" t="str">
        <f>IF($B$47&lt;&gt;$G69,"* El Total de Gestantes 25-29 años, según Estado Nutricional debe ser igual al Total de gestantes en Control de esa edad, de la Sección B. ","")</f>
        <v/>
      </c>
      <c r="CE69" s="620" t="str">
        <f>IF($B$48&lt;&gt;$H69,"* El Total de Gestantes 30-34 años, según Estado Nutricional debe ser igual al Total de gestantes en Control de esa edad, de la Sección B. ","")</f>
        <v/>
      </c>
      <c r="CF69" s="620" t="str">
        <f>IF($B$49&lt;&gt;$I69,"* El Total de Gestantes 35-39 años, según Estado Nutricional debe ser igual al Total de gestantes en Control de esa edad, de la Sección B. ","")</f>
        <v/>
      </c>
      <c r="CG69" s="620" t="str">
        <f>IF($B$50&lt;&gt;$J69,"* El Total de Gestantes 40-44 años, según Estado Nutricional debe ser igual al Total de gestantes en Control de esa edad, de la Sección B. ","")</f>
        <v/>
      </c>
      <c r="CH69" s="620" t="str">
        <f>IF($B$51&lt;&gt;$K69,"* El Total de Gestantes 45-49 años, según Estado Nutricional debe ser igual al Total de gestantes en Control de esa edad, de la Sección B. ","")</f>
        <v/>
      </c>
      <c r="CI69" s="620" t="str">
        <f>IF($B$52&lt;&gt;$L69,"* El Total de Gestantes 50-54 años, según Estado Nutricional debe ser igual al Total de gestantes en Control de esa edad, de la Sección B. ","")</f>
        <v/>
      </c>
      <c r="CN69" s="501">
        <f>IF($B$44&lt;&gt;$D69,1,0)</f>
        <v>0</v>
      </c>
      <c r="CO69" s="501">
        <f>IF($B$45&lt;&gt;$E69,1,0)</f>
        <v>0</v>
      </c>
      <c r="CP69" s="501">
        <f>IF($B$46&lt;&gt;$F69,1,0)</f>
        <v>0</v>
      </c>
      <c r="CQ69" s="501">
        <f>IF($B$47&lt;&gt;$G69,1,0)</f>
        <v>0</v>
      </c>
      <c r="CR69" s="501">
        <f>IF($B$48&lt;&gt;$H69,1,0)</f>
        <v>0</v>
      </c>
      <c r="CS69" s="501">
        <f>IF($B$49&lt;&gt;$I69,1,0)</f>
        <v>0</v>
      </c>
      <c r="CT69" s="501">
        <f>IF($B$50&lt;&gt;$J69,1,0)</f>
        <v>0</v>
      </c>
      <c r="CU69" s="501">
        <f>IF($B$51&lt;&gt;$K69,1,0)</f>
        <v>0</v>
      </c>
      <c r="CV69" s="501">
        <f>IF($B$52&lt;&gt;$L69,1,0)</f>
        <v>0</v>
      </c>
    </row>
    <row r="70" spans="1:100" ht="15" customHeight="1" x14ac:dyDescent="0.15">
      <c r="A70" s="1809" t="s">
        <v>127</v>
      </c>
      <c r="B70" s="661" t="s">
        <v>123</v>
      </c>
      <c r="C70" s="662">
        <f>SUM(D70:L70)</f>
        <v>0</v>
      </c>
      <c r="D70" s="494"/>
      <c r="E70" s="553"/>
      <c r="F70" s="553"/>
      <c r="G70" s="553"/>
      <c r="H70" s="553"/>
      <c r="I70" s="553"/>
      <c r="J70" s="553"/>
      <c r="K70" s="553"/>
      <c r="L70" s="495"/>
    </row>
    <row r="71" spans="1:100" ht="15" customHeight="1" x14ac:dyDescent="0.15">
      <c r="A71" s="1888"/>
      <c r="B71" s="663" t="s">
        <v>124</v>
      </c>
      <c r="C71" s="664">
        <f t="shared" si="71"/>
        <v>0</v>
      </c>
      <c r="D71" s="531"/>
      <c r="E71" s="527"/>
      <c r="F71" s="527"/>
      <c r="G71" s="527"/>
      <c r="H71" s="527"/>
      <c r="I71" s="527"/>
      <c r="J71" s="527"/>
      <c r="K71" s="527"/>
      <c r="L71" s="532"/>
    </row>
    <row r="72" spans="1:100" ht="15" customHeight="1" x14ac:dyDescent="0.15">
      <c r="A72" s="1888"/>
      <c r="B72" s="663" t="s">
        <v>125</v>
      </c>
      <c r="C72" s="664">
        <f t="shared" si="71"/>
        <v>0</v>
      </c>
      <c r="D72" s="531"/>
      <c r="E72" s="527"/>
      <c r="F72" s="527"/>
      <c r="G72" s="527"/>
      <c r="H72" s="527"/>
      <c r="I72" s="527"/>
      <c r="J72" s="527"/>
      <c r="K72" s="527"/>
      <c r="L72" s="532"/>
    </row>
    <row r="73" spans="1:100" ht="15" customHeight="1" x14ac:dyDescent="0.15">
      <c r="A73" s="1888"/>
      <c r="B73" s="665" t="s">
        <v>126</v>
      </c>
      <c r="C73" s="666">
        <f t="shared" si="71"/>
        <v>0</v>
      </c>
      <c r="D73" s="560"/>
      <c r="E73" s="555"/>
      <c r="F73" s="555"/>
      <c r="G73" s="555"/>
      <c r="H73" s="555"/>
      <c r="I73" s="555"/>
      <c r="J73" s="555"/>
      <c r="K73" s="555"/>
      <c r="L73" s="561"/>
    </row>
    <row r="74" spans="1:100" ht="15" customHeight="1" x14ac:dyDescent="0.15">
      <c r="A74" s="1810"/>
      <c r="B74" s="647" t="s">
        <v>89</v>
      </c>
      <c r="C74" s="668">
        <f>SUM(D74:L74)</f>
        <v>0</v>
      </c>
      <c r="D74" s="669">
        <f>SUM(D70:D73)</f>
        <v>0</v>
      </c>
      <c r="E74" s="670">
        <f>SUM(E70:E73)</f>
        <v>0</v>
      </c>
      <c r="F74" s="670">
        <f t="shared" ref="F74:L74" si="73">SUM(F70:F73)</f>
        <v>0</v>
      </c>
      <c r="G74" s="670">
        <f>SUM(G70:G73)</f>
        <v>0</v>
      </c>
      <c r="H74" s="670">
        <f t="shared" si="73"/>
        <v>0</v>
      </c>
      <c r="I74" s="670">
        <f t="shared" si="73"/>
        <v>0</v>
      </c>
      <c r="J74" s="670">
        <f>SUM(J70:J73)</f>
        <v>0</v>
      </c>
      <c r="K74" s="670">
        <f t="shared" si="73"/>
        <v>0</v>
      </c>
      <c r="L74" s="671">
        <f t="shared" si="73"/>
        <v>0</v>
      </c>
    </row>
    <row r="75" spans="1:100" ht="17.100000000000001" customHeight="1" x14ac:dyDescent="0.15">
      <c r="A75" s="1796" t="s">
        <v>128</v>
      </c>
      <c r="B75" s="1797"/>
      <c r="C75" s="1797"/>
      <c r="D75" s="672"/>
      <c r="E75" s="672"/>
      <c r="F75" s="672"/>
      <c r="G75" s="672"/>
      <c r="H75" s="672"/>
      <c r="I75" s="672"/>
      <c r="J75" s="672"/>
      <c r="K75" s="672"/>
      <c r="L75" s="672"/>
    </row>
    <row r="76" spans="1:100" ht="15" customHeight="1" x14ac:dyDescent="0.15">
      <c r="A76" s="657" t="s">
        <v>129</v>
      </c>
      <c r="B76" s="632" t="s">
        <v>49</v>
      </c>
      <c r="C76" s="673"/>
      <c r="D76" s="674"/>
      <c r="E76" s="674"/>
      <c r="F76" s="674"/>
      <c r="G76" s="472"/>
      <c r="H76" s="472"/>
    </row>
    <row r="77" spans="1:100" ht="15" customHeight="1" x14ac:dyDescent="0.15">
      <c r="A77" s="675" t="s">
        <v>130</v>
      </c>
      <c r="B77" s="619"/>
      <c r="D77" s="472"/>
      <c r="E77" s="472"/>
      <c r="F77" s="472"/>
      <c r="G77" s="472"/>
      <c r="H77" s="472"/>
      <c r="CA77" s="620" t="str">
        <f>IF($B$77&lt;=$C$68,"","* Gestantes con malnutricion por déficit (bajo peso) no debe ser mayor que Gestantes en Control Bajo Peso (Seccion D). ")</f>
        <v/>
      </c>
      <c r="CN77" s="501">
        <f>IF($B$77&lt;=$C$68,0,1)</f>
        <v>0</v>
      </c>
    </row>
    <row r="78" spans="1:100" ht="15" customHeight="1" x14ac:dyDescent="0.15">
      <c r="A78" s="676" t="s">
        <v>131</v>
      </c>
      <c r="B78" s="653"/>
      <c r="D78" s="472"/>
      <c r="E78" s="472"/>
      <c r="F78" s="472"/>
      <c r="G78" s="472"/>
      <c r="H78" s="472"/>
      <c r="CA78" s="620" t="str">
        <f>IF($B$78&lt;=$C$65,"","* Gestantes malnutricion  por exceso - Obesa no debe ser mayor que Gestantes en Control Obesa (Seccion D). ")</f>
        <v/>
      </c>
      <c r="CN78" s="501">
        <f>IF($B$78&lt;=$C$65,0,1)</f>
        <v>0</v>
      </c>
    </row>
    <row r="79" spans="1:100" ht="15" customHeight="1" x14ac:dyDescent="0.15">
      <c r="A79" s="676" t="s">
        <v>132</v>
      </c>
      <c r="B79" s="653"/>
      <c r="D79" s="472"/>
      <c r="E79" s="472"/>
      <c r="F79" s="472"/>
      <c r="G79" s="472"/>
      <c r="H79" s="472"/>
      <c r="CA79" s="620" t="str">
        <f>IF($B$79&lt;=$C$66,"","* Gestantes malnutricion por exceso - Sobrepeso no debe ser mayor que Gestantes en Control Sobrepeso (Seccion D). ")</f>
        <v/>
      </c>
      <c r="CN79" s="501">
        <f>IF($B$79&lt;=$C$66,0,1)</f>
        <v>0</v>
      </c>
    </row>
    <row r="80" spans="1:100" ht="15" customHeight="1" x14ac:dyDescent="0.15">
      <c r="A80" s="676" t="s">
        <v>133</v>
      </c>
      <c r="B80" s="653"/>
      <c r="D80" s="472"/>
      <c r="E80" s="472"/>
      <c r="F80" s="472"/>
      <c r="G80" s="472"/>
      <c r="H80" s="472"/>
    </row>
    <row r="81" spans="1:96" ht="15" customHeight="1" x14ac:dyDescent="0.15">
      <c r="A81" s="677" t="s">
        <v>134</v>
      </c>
      <c r="B81" s="656"/>
      <c r="D81" s="472"/>
      <c r="E81" s="472"/>
      <c r="F81" s="472"/>
      <c r="G81" s="472"/>
      <c r="H81" s="472"/>
    </row>
    <row r="82" spans="1:96" ht="17.100000000000001" customHeight="1" x14ac:dyDescent="0.15">
      <c r="A82" s="1798" t="s">
        <v>135</v>
      </c>
      <c r="B82" s="1799"/>
      <c r="C82" s="1799"/>
      <c r="D82" s="678"/>
      <c r="E82" s="678"/>
      <c r="F82" s="472"/>
      <c r="G82" s="472"/>
      <c r="H82" s="472"/>
    </row>
    <row r="83" spans="1:96" ht="26.25" customHeight="1" x14ac:dyDescent="0.15">
      <c r="A83" s="632" t="s">
        <v>119</v>
      </c>
      <c r="B83" s="658" t="s">
        <v>136</v>
      </c>
      <c r="C83" s="679" t="s">
        <v>137</v>
      </c>
      <c r="D83" s="633" t="s">
        <v>71</v>
      </c>
      <c r="E83" s="659" t="s">
        <v>51</v>
      </c>
      <c r="F83" s="634" t="s">
        <v>108</v>
      </c>
      <c r="G83" s="674"/>
      <c r="H83" s="680"/>
      <c r="I83" s="674"/>
      <c r="J83" s="674"/>
      <c r="K83" s="472"/>
      <c r="L83" s="472"/>
      <c r="X83" s="470"/>
      <c r="Y83" s="470"/>
      <c r="Z83" s="470"/>
      <c r="AA83" s="470"/>
      <c r="AB83" s="471"/>
      <c r="BJ83" s="467"/>
      <c r="BK83" s="467"/>
      <c r="BL83" s="467"/>
      <c r="BM83" s="467"/>
    </row>
    <row r="84" spans="1:96" ht="15" customHeight="1" x14ac:dyDescent="0.15">
      <c r="A84" s="681" t="s">
        <v>138</v>
      </c>
      <c r="B84" s="607"/>
      <c r="C84" s="682"/>
      <c r="D84" s="683"/>
      <c r="E84" s="684"/>
      <c r="F84" s="608"/>
      <c r="G84" s="470" t="str">
        <f>($CA84&amp;$CB84&amp;CC84&amp;CD84&amp;CE84)</f>
        <v/>
      </c>
      <c r="H84" s="472"/>
      <c r="I84" s="472"/>
      <c r="J84" s="472"/>
      <c r="K84" s="472"/>
      <c r="L84" s="472"/>
      <c r="X84" s="470"/>
      <c r="Y84" s="470"/>
      <c r="Z84" s="470"/>
      <c r="AA84" s="470"/>
      <c r="AB84" s="471"/>
      <c r="BJ84" s="467"/>
      <c r="BK84" s="467"/>
      <c r="BL84" s="467"/>
      <c r="BM84" s="467"/>
      <c r="CC84" s="620" t="str">
        <f>IF(AND($B84+C84&lt;&gt;0,D84=""),"* No olvide ingresar la variable "&amp;D$83&amp;""&amp;". Digite Cero si no tiene.",IF(D84&gt;$B84+$C84,"* La variable Trans Masculino no puede superar a la Población en Control. ",""))</f>
        <v/>
      </c>
      <c r="CD84" s="620" t="str">
        <f>IF(AND($B84+$C84&lt;&gt;0,E84=""),"* No olvide ingresar la variable "&amp;E$83&amp;""&amp;". Digite Cero si no tiene.",IF(E84&gt;$B84+$C84,"* La variable Pueblos Originarios no puede superar a la Población en Control. ",""))</f>
        <v/>
      </c>
      <c r="CE84" s="620" t="str">
        <f>IF(AND($B84+$C84&lt;&gt;0,F84=""),"* No olvide ingresar la variable "&amp;F$83&amp;""&amp;". Digite Cero si no tiene.",IF(F84&gt;$B84+$C84,"* La variable Migrantes no puede superar a la Población en Control. ",""))</f>
        <v/>
      </c>
      <c r="CP84" s="501">
        <f t="shared" ref="CP84:CP88" si="74">IF(AND($B84+C84&lt;&gt;0,D84=""),1,IF(D84&gt;$B84+$C84,1,0))</f>
        <v>0</v>
      </c>
      <c r="CQ84" s="501">
        <f t="shared" ref="CQ84:CQ89" si="75">IF(AND($B84+$C84&lt;&gt;0,E84=""),1,IF(E84&gt;$B84+$C84,1,0))</f>
        <v>0</v>
      </c>
      <c r="CR84" s="501">
        <f t="shared" ref="CR84:CR89" si="76">IF(AND($B84+C84&lt;&gt;0,F84=""),1,IF(F84&gt;$B84+$C84,1,0))</f>
        <v>0</v>
      </c>
    </row>
    <row r="85" spans="1:96" ht="15" customHeight="1" x14ac:dyDescent="0.15">
      <c r="A85" s="685" t="s">
        <v>139</v>
      </c>
      <c r="B85" s="520"/>
      <c r="C85" s="686"/>
      <c r="D85" s="687"/>
      <c r="E85" s="623"/>
      <c r="F85" s="521"/>
      <c r="G85" s="470" t="str">
        <f t="shared" ref="G85:G90" si="77">($CA85&amp;$CB85&amp;CC85&amp;CD85&amp;CE85)</f>
        <v/>
      </c>
      <c r="H85" s="472"/>
      <c r="I85" s="472"/>
      <c r="J85" s="472"/>
      <c r="K85" s="472"/>
      <c r="L85" s="472"/>
      <c r="X85" s="470"/>
      <c r="Y85" s="470"/>
      <c r="Z85" s="470"/>
      <c r="AA85" s="470"/>
      <c r="AB85" s="471"/>
      <c r="BJ85" s="467"/>
      <c r="BK85" s="467"/>
      <c r="BL85" s="467"/>
      <c r="BM85" s="467"/>
      <c r="CA85" s="620" t="str">
        <f>IF(B85&gt;B84,"* El Nº de Mujeres con pauta aplicada MRS* no debe ser mayor a la población en control del grupo"&amp;B$83&amp;""&amp;". ","")</f>
        <v/>
      </c>
      <c r="CB85" s="620" t="str">
        <f>IF(C85&gt;C84,"* El Nº de mujeres con pauta aplicada MRS* no debe ser mayor a la Población en control del grupo"&amp;C$83&amp;""&amp;". ","")</f>
        <v/>
      </c>
      <c r="CC85" s="620" t="str">
        <f>IF(AND($B85+C85&lt;&gt;0,D85=""),"* No olvide ingresar la variable "&amp;D$83&amp;""&amp;". Digite Cero si no tiene.",IF(D85&gt;$B85+$C85,"* La variable Trans Masculino no puede superar a Mujeres con pauta aplicada MRS*. ",""))</f>
        <v/>
      </c>
      <c r="CD85" s="620" t="str">
        <f>IF(AND($B85+$C85&lt;&gt;0,E85=""),"* No olvide ingresar la variable "&amp;E$83&amp;""&amp;". Digite Cero si no tiene.",IF(E85&gt;$B85+$C85,"* La variable Pueblos Originarios no puede superar a Mujeres con pauta aplicada MRS*. ",""))</f>
        <v/>
      </c>
      <c r="CE85" s="620" t="str">
        <f>IF(AND($B85+$C85&lt;&gt;0,F85=""),"* No olvide ingresar la variable "&amp;F$83&amp;""&amp;". Digite Cero si no tiene.",IF(F85&gt;$B85+$C85,"* La variable Migrantes no puede superar a Mujeres con pauta aplicada MRS*. ",""))</f>
        <v/>
      </c>
      <c r="CN85" s="501">
        <f>IF($B85&gt;$B84,1,0)</f>
        <v>0</v>
      </c>
      <c r="CO85" s="501">
        <f>IF($C85&gt;$C84,1,0)</f>
        <v>0</v>
      </c>
      <c r="CP85" s="501">
        <f t="shared" si="74"/>
        <v>0</v>
      </c>
      <c r="CQ85" s="501">
        <f t="shared" si="75"/>
        <v>0</v>
      </c>
      <c r="CR85" s="501">
        <f t="shared" si="76"/>
        <v>0</v>
      </c>
    </row>
    <row r="86" spans="1:96" ht="15" customHeight="1" x14ac:dyDescent="0.15">
      <c r="A86" s="688" t="s">
        <v>140</v>
      </c>
      <c r="B86" s="531"/>
      <c r="C86" s="643"/>
      <c r="D86" s="642"/>
      <c r="E86" s="527"/>
      <c r="F86" s="532"/>
      <c r="G86" s="470" t="str">
        <f t="shared" si="77"/>
        <v/>
      </c>
      <c r="H86" s="472"/>
      <c r="I86" s="472"/>
      <c r="J86" s="472"/>
      <c r="K86" s="472"/>
      <c r="L86" s="472"/>
      <c r="X86" s="470"/>
      <c r="Y86" s="470"/>
      <c r="Z86" s="470"/>
      <c r="AA86" s="470"/>
      <c r="AB86" s="471"/>
      <c r="BJ86" s="467"/>
      <c r="BK86" s="467"/>
      <c r="BL86" s="467"/>
      <c r="BM86" s="467"/>
      <c r="CA86" s="471"/>
      <c r="CB86" s="471"/>
      <c r="CC86" s="620" t="str">
        <f>IF(AND($B86+C86&lt;&gt;0,D86=""),"* No olvide ingresar la variable "&amp;D$83&amp;""&amp;". Digite Cero si no tiene.",IF(D86&gt;$B86+$C86,"* La variable Trans Masculino no puede superar a Mujeres con MRS al ingreso. ",""))</f>
        <v/>
      </c>
      <c r="CD86" s="620" t="str">
        <f>IF(AND($B86+$C86&lt;&gt;0,E86=""),"* No olvide ingresar la variable "&amp;E$83&amp;""&amp;". Digite Cero si no tiene.",IF(E86&gt;$B86+$C86,"* La variable Pueblos Originarios no puede superar a Mujeres con MRS al ingreso. ",""))</f>
        <v/>
      </c>
      <c r="CE86" s="620" t="str">
        <f>IF(AND($B86+$C86&lt;&gt;0,F86=""),"* No olvide ingresar la variable "&amp;F$83&amp;""&amp;". Digite Cero si no tiene.",IF(F86&gt;$B86+$C86,"* La variable Migrantes no puede superar a Mujeres con MRS al ingreso. ",""))</f>
        <v/>
      </c>
      <c r="CN86" s="501"/>
      <c r="CO86" s="501"/>
      <c r="CP86" s="501">
        <f t="shared" si="74"/>
        <v>0</v>
      </c>
      <c r="CQ86" s="501">
        <f t="shared" si="75"/>
        <v>0</v>
      </c>
      <c r="CR86" s="501">
        <f t="shared" si="76"/>
        <v>0</v>
      </c>
    </row>
    <row r="87" spans="1:96" ht="15" customHeight="1" x14ac:dyDescent="0.15">
      <c r="A87" s="688" t="s">
        <v>141</v>
      </c>
      <c r="B87" s="531"/>
      <c r="C87" s="643"/>
      <c r="D87" s="642"/>
      <c r="E87" s="527"/>
      <c r="F87" s="532"/>
      <c r="G87" s="470" t="str">
        <f t="shared" si="77"/>
        <v/>
      </c>
      <c r="H87" s="472"/>
      <c r="I87" s="472"/>
      <c r="J87" s="472"/>
      <c r="K87" s="472"/>
      <c r="L87" s="472"/>
      <c r="X87" s="470"/>
      <c r="Y87" s="470"/>
      <c r="Z87" s="470"/>
      <c r="AA87" s="470"/>
      <c r="AB87" s="471"/>
      <c r="BJ87" s="467"/>
      <c r="BK87" s="467"/>
      <c r="BL87" s="467"/>
      <c r="BM87" s="467"/>
      <c r="CA87" s="471"/>
      <c r="CB87" s="471"/>
      <c r="CC87" s="620" t="str">
        <f>IF(AND($B87+C87&lt;&gt;0,D87=""),"* No olvide ingresar la variable "&amp;D$83&amp;""&amp;". Digite Cero si no tiene.",IF(D87&gt;$B87+$C87,"* La variable Trans Masculino no puede superar a Mujeres con MRS en control. ",""))</f>
        <v/>
      </c>
      <c r="CD87" s="620" t="str">
        <f>IF(AND($B87+$C87&lt;&gt;0,E87=""),"* No olvide ingresar la variable "&amp;E$83&amp;""&amp;". Digite Cero si no tiene.",IF(E87&gt;$B87+$C87,"* La variable Pueblos Originarios no puede superar a Mujeres con MRS en control. ",""))</f>
        <v/>
      </c>
      <c r="CE87" s="620" t="str">
        <f>IF(AND($B87+$C87&lt;&gt;0,F87=""),"* No olvide ingresar la variable "&amp;F$83&amp;""&amp;". Digite Cero si no tiene.",IF(F87&gt;$B87+$C87,"* La variable Migrantes no puede superar a Mujeres con MRS en control. ",""))</f>
        <v/>
      </c>
      <c r="CN87" s="501"/>
      <c r="CO87" s="501"/>
      <c r="CP87" s="501">
        <f t="shared" si="74"/>
        <v>0</v>
      </c>
      <c r="CQ87" s="501">
        <f t="shared" si="75"/>
        <v>0</v>
      </c>
      <c r="CR87" s="501">
        <f t="shared" si="76"/>
        <v>0</v>
      </c>
    </row>
    <row r="88" spans="1:96" ht="15" customHeight="1" x14ac:dyDescent="0.15">
      <c r="A88" s="689" t="s">
        <v>142</v>
      </c>
      <c r="B88" s="547"/>
      <c r="C88" s="690"/>
      <c r="D88" s="691"/>
      <c r="E88" s="622"/>
      <c r="F88" s="548"/>
      <c r="G88" s="470" t="str">
        <f t="shared" si="77"/>
        <v/>
      </c>
      <c r="H88" s="472"/>
      <c r="I88" s="472"/>
      <c r="J88" s="472"/>
      <c r="K88" s="472"/>
      <c r="L88" s="472"/>
      <c r="X88" s="470"/>
      <c r="Y88" s="470"/>
      <c r="Z88" s="470"/>
      <c r="AA88" s="470"/>
      <c r="AB88" s="471"/>
      <c r="BJ88" s="467"/>
      <c r="BK88" s="467"/>
      <c r="BL88" s="467"/>
      <c r="BM88" s="467"/>
      <c r="CA88" s="620" t="str">
        <f>IF(B88&gt;B85,"* El Nº de Mujeres con MRS elevado* no debe ser mayor al Nº de Mujeres con pauta aplicada MRS Población "&amp;B$83&amp;""&amp;". ","")</f>
        <v/>
      </c>
      <c r="CB88" s="620" t="str">
        <f>IF(C88&gt;C85,"* El Nº de Mujeres con MRS elevado* no debe ser mayor al Nº de Mujeres con pauta aplicada MRS del grupo"&amp;C$83&amp;""&amp;". ","")</f>
        <v/>
      </c>
      <c r="CC88" s="620" t="str">
        <f>IF(AND($B88+C88&lt;&gt;0,D88=""),"* No olvide ingresar la variable "&amp;D$83&amp;""&amp;". Digite Cero si no tiene.",IF(D88&gt;$B88+$C88,"* La variable Trans Masculino no puede superar a Mujeres con MRS elevado*. ",""))</f>
        <v/>
      </c>
      <c r="CD88" s="620" t="str">
        <f>IF(AND($B88+$C88&lt;&gt;0,E88=""),"* No olvide ingresar la variable "&amp;E$83&amp;""&amp;". Digite Cero si no tiene.",IF(E88&gt;$B88+$C88,"* La variable Pueblos Originarios no puede superar a Mujeres con MRS elevado*. ",""))</f>
        <v/>
      </c>
      <c r="CE88" s="620" t="str">
        <f>IF(AND($B88+$C88&lt;&gt;0,F88=""),"* No olvide ingresar la variable "&amp;F$83&amp;""&amp;". Digite Cero si no tiene.",IF(F88&gt;$B88+$C88,"* La variable Migrantes no puede superar a Mujeres con MRS elevado*. ",""))</f>
        <v/>
      </c>
      <c r="CN88" s="501">
        <f>IF($B88&gt;$B85,1,0)</f>
        <v>0</v>
      </c>
      <c r="CO88" s="501">
        <f>IF($C88&gt;$C85,1,0)</f>
        <v>0</v>
      </c>
      <c r="CP88" s="501">
        <f t="shared" si="74"/>
        <v>0</v>
      </c>
      <c r="CQ88" s="501">
        <f t="shared" si="75"/>
        <v>0</v>
      </c>
      <c r="CR88" s="501">
        <f t="shared" si="76"/>
        <v>0</v>
      </c>
    </row>
    <row r="89" spans="1:96" ht="21.75" customHeight="1" x14ac:dyDescent="0.15">
      <c r="A89" s="688" t="s">
        <v>143</v>
      </c>
      <c r="B89" s="531"/>
      <c r="C89" s="643"/>
      <c r="D89" s="692"/>
      <c r="E89" s="527"/>
      <c r="F89" s="532"/>
      <c r="G89" s="470" t="str">
        <f t="shared" si="77"/>
        <v/>
      </c>
      <c r="H89" s="472"/>
      <c r="I89" s="472"/>
      <c r="J89" s="472"/>
      <c r="K89" s="472"/>
      <c r="L89" s="472"/>
      <c r="X89" s="470"/>
      <c r="Y89" s="470"/>
      <c r="Z89" s="470"/>
      <c r="AA89" s="470"/>
      <c r="AB89" s="471"/>
      <c r="BJ89" s="467"/>
      <c r="BK89" s="467"/>
      <c r="BL89" s="467"/>
      <c r="BM89" s="467"/>
      <c r="CA89" s="620" t="str">
        <f>IF($B89&gt;$B88,"* El Nº de Mujeres con aplicación de terapia hormonal de la menopausia según MRS* no debe ser mayor que el numero de Mujeres con MRS elevado* Población "&amp;B$83&amp;""&amp;". ","")</f>
        <v/>
      </c>
      <c r="CB89" s="620" t="str">
        <f>IF($C89&gt;$C88,"* El Nº de Mujeres con aplicación de terapia hormonal de la menopausia según MRS* no debe ser mayor que el numero de Mujeres con MRS elevado* Población "&amp;C$83&amp;""&amp;". ","")</f>
        <v/>
      </c>
      <c r="CC89" s="693"/>
      <c r="CD89" s="620" t="str">
        <f>IF(AND($B89+$C89&lt;&gt;0,E89=""),"* No olvide ingresar la variable "&amp;E$83&amp;""&amp;". Digite Cero si no tiene.",IF(E89&gt;$B89+$C89,"* La variable Pueblos Originarios no puede superar a Mujeres con aplicación de terapia hormonal de la menopausia según MRS*. ",""))</f>
        <v/>
      </c>
      <c r="CE89" s="620" t="str">
        <f>IF(AND($B89+$C89&lt;&gt;0,F89=""),"* No olvide ingresar la variable "&amp;F$83&amp;""&amp;". Digite Cero si no tiene.",IF(F89&gt;$B89+$C89,"* La variable Migrantes no puede superar a Mujeres con aplicación de terapia hormonal de la menopausia según MRS*. ",""))</f>
        <v/>
      </c>
      <c r="CN89" s="501">
        <f>IF($B89&gt;$B88,1,0)</f>
        <v>0</v>
      </c>
      <c r="CO89" s="501">
        <f>IF($B89&gt;$B88,1,0)</f>
        <v>0</v>
      </c>
      <c r="CP89" s="693"/>
      <c r="CQ89" s="501">
        <f t="shared" si="75"/>
        <v>0</v>
      </c>
      <c r="CR89" s="501">
        <f t="shared" si="76"/>
        <v>0</v>
      </c>
    </row>
    <row r="90" spans="1:96" ht="21" customHeight="1" x14ac:dyDescent="0.15">
      <c r="A90" s="694" t="s">
        <v>144</v>
      </c>
      <c r="B90" s="531"/>
      <c r="C90" s="643"/>
      <c r="D90" s="692"/>
      <c r="E90" s="527"/>
      <c r="F90" s="532"/>
      <c r="G90" s="470" t="str">
        <f t="shared" si="77"/>
        <v/>
      </c>
      <c r="H90" s="472"/>
      <c r="I90" s="472"/>
      <c r="J90" s="472"/>
      <c r="K90" s="472"/>
      <c r="L90" s="472"/>
      <c r="X90" s="470"/>
      <c r="Y90" s="470"/>
      <c r="Z90" s="470"/>
      <c r="AA90" s="470"/>
      <c r="AB90" s="471"/>
      <c r="BJ90" s="467"/>
      <c r="BK90" s="467"/>
      <c r="BL90" s="467"/>
      <c r="BM90" s="467"/>
      <c r="CA90" s="471"/>
      <c r="CB90" s="471"/>
      <c r="CC90" s="693"/>
      <c r="CD90" s="620" t="str">
        <f>IF(AND($B90+$C90&lt;&gt;0,E90=""),"* No olvide ingresar la variable "&amp;E$83&amp;""&amp;". Digite Cero si no tiene.",IF(E90&gt;$B90+$C90,"* La variable Pueblos Originarios no puede superar a Mujeres que disminuyeron puntaje de MRS o se mantienen en MRS bajo, según MRS de control. ",""))</f>
        <v/>
      </c>
      <c r="CE90" s="620" t="str">
        <f>IF(AND($B90+$C90&lt;&gt;0,F90=""),"* No olvide ingresar la variable "&amp;F$83&amp;""&amp;". Digite Cero si no tiene.",IF(F90&gt;$B90+$C90,"* La variable Migrantes no puede superar a Mujeres que disminuyeron puntaje de MRS o se mantienen en MRS bajo, según MRS de control. ",""))</f>
        <v/>
      </c>
      <c r="CP90" s="693"/>
      <c r="CQ90" s="501">
        <f>IF(AND($B90+$C90&lt;&gt;0,E90=""),1,IF(E90&gt;$B90+$C90,1,0))</f>
        <v>0</v>
      </c>
      <c r="CR90" s="501">
        <f>IF(AND($B90+C90&lt;&gt;0,F90=""),1,IF(F90&gt;$B90+$C90,1,0))</f>
        <v>0</v>
      </c>
    </row>
    <row r="91" spans="1:96" ht="15" customHeight="1" x14ac:dyDescent="0.15">
      <c r="A91" s="695" t="s">
        <v>145</v>
      </c>
      <c r="B91" s="509"/>
      <c r="C91" s="696"/>
      <c r="D91" s="697"/>
      <c r="E91" s="627"/>
      <c r="F91" s="510"/>
      <c r="G91" s="470" t="str">
        <f>($CA91&amp;$CB91&amp;CC91&amp;CD91&amp;CE91)</f>
        <v/>
      </c>
      <c r="H91" s="472"/>
      <c r="I91" s="472"/>
      <c r="J91" s="472"/>
      <c r="K91" s="472"/>
      <c r="L91" s="472"/>
      <c r="X91" s="470"/>
      <c r="Y91" s="470"/>
      <c r="Z91" s="470"/>
      <c r="AA91" s="470"/>
      <c r="AB91" s="471"/>
      <c r="BJ91" s="467"/>
      <c r="BK91" s="467"/>
      <c r="BL91" s="467"/>
      <c r="BM91" s="467"/>
      <c r="CA91" s="471"/>
      <c r="CB91" s="471"/>
      <c r="CC91" s="620" t="str">
        <f>IF(AND($B91+C91&lt;&gt;0,D91=""),"* No olvide ingresar la variable "&amp;D$83&amp;""&amp;". Digite Cero si no tiene.",IF(D91&gt;$B91+$C91,"* La variable Trans Masculino no puede superar a Mujeres que asisten a Talleres Educativos. ",""))</f>
        <v/>
      </c>
      <c r="CD91" s="620" t="str">
        <f>IF(AND($B91+$C91&lt;&gt;0,E91=""),"* No olvide ingresar la variable "&amp;E$83&amp;""&amp;". Digite Cero si no tiene.",IF(E91&gt;$B91+$C91,"* La variable Pueblos Originarios no puede superar a Mujeres que asisten a Talleres Educativos. ",""))</f>
        <v/>
      </c>
      <c r="CE91" s="620" t="str">
        <f>IF(AND($B91+$C91&lt;&gt;0,F91=""),"* No olvide ingresar la variable "&amp;F$83&amp;""&amp;". Digite Cero si no tiene.",IF(F91&gt;$B91+$C91,"* La variable Migrantes no puede superar a Mujeres que asisten a Talleres Educativos. ",""))</f>
        <v/>
      </c>
      <c r="CP91" s="501">
        <f>IF(AND($B91+C91&lt;&gt;0,D91=""),1,IF(D91&gt;$B91+$C91,1,0))</f>
        <v>0</v>
      </c>
      <c r="CQ91" s="501">
        <f>IF(AND($B91+$C91&lt;&gt;0,E91=""),1,IF(E91&gt;$B91+$C91,1,0))</f>
        <v>0</v>
      </c>
      <c r="CR91" s="501">
        <f>IF(AND($B91+C91&lt;&gt;0,F91=""),1,IF(F91&gt;$B91+$C91,1,0))</f>
        <v>0</v>
      </c>
    </row>
    <row r="92" spans="1:96" ht="17.100000000000001" customHeight="1" x14ac:dyDescent="0.15">
      <c r="A92" s="1887" t="s">
        <v>146</v>
      </c>
      <c r="B92" s="1887"/>
      <c r="C92" s="652"/>
      <c r="D92" s="472"/>
      <c r="E92" s="472"/>
      <c r="F92" s="472"/>
      <c r="G92" s="472"/>
      <c r="H92" s="472"/>
    </row>
    <row r="93" spans="1:96" ht="17.100000000000001" customHeight="1" x14ac:dyDescent="0.15">
      <c r="A93" s="1798" t="s">
        <v>147</v>
      </c>
      <c r="B93" s="1799"/>
      <c r="C93" s="1799"/>
      <c r="D93" s="1799"/>
      <c r="E93" s="1799"/>
      <c r="F93" s="1799"/>
      <c r="G93" s="1799"/>
      <c r="H93" s="1799"/>
      <c r="I93" s="474"/>
      <c r="J93" s="474"/>
      <c r="K93" s="652"/>
      <c r="L93" s="652"/>
      <c r="M93" s="652"/>
      <c r="N93" s="652"/>
    </row>
    <row r="94" spans="1:96" ht="15" customHeight="1" x14ac:dyDescent="0.15">
      <c r="A94" s="1813" t="s">
        <v>48</v>
      </c>
      <c r="B94" s="1814"/>
      <c r="C94" s="1817" t="s">
        <v>49</v>
      </c>
      <c r="D94" s="1865" t="s">
        <v>50</v>
      </c>
      <c r="E94" s="1866"/>
      <c r="F94" s="1866"/>
      <c r="G94" s="1866"/>
      <c r="H94" s="1867"/>
      <c r="I94" s="1819" t="s">
        <v>51</v>
      </c>
      <c r="J94" s="1846" t="s">
        <v>52</v>
      </c>
    </row>
    <row r="95" spans="1:96" ht="21" x14ac:dyDescent="0.15">
      <c r="A95" s="1815"/>
      <c r="B95" s="1816"/>
      <c r="C95" s="1818"/>
      <c r="D95" s="698" t="s">
        <v>148</v>
      </c>
      <c r="E95" s="477" t="s">
        <v>63</v>
      </c>
      <c r="F95" s="477" t="s">
        <v>64</v>
      </c>
      <c r="G95" s="478" t="s">
        <v>65</v>
      </c>
      <c r="H95" s="478" t="s">
        <v>66</v>
      </c>
      <c r="I95" s="1820"/>
      <c r="J95" s="1847"/>
    </row>
    <row r="96" spans="1:96" ht="15" customHeight="1" x14ac:dyDescent="0.15">
      <c r="A96" s="1804" t="s">
        <v>149</v>
      </c>
      <c r="B96" s="1805"/>
      <c r="C96" s="489">
        <f>SUM(D96:H96)</f>
        <v>0</v>
      </c>
      <c r="D96" s="494"/>
      <c r="E96" s="490"/>
      <c r="F96" s="490"/>
      <c r="G96" s="490"/>
      <c r="H96" s="490"/>
      <c r="I96" s="493"/>
      <c r="J96" s="495"/>
      <c r="K96" s="470" t="str">
        <f>($CA96&amp;$CB96)</f>
        <v/>
      </c>
      <c r="CA96" s="620" t="str">
        <f>IF(AND($C96&lt;&gt;0,I96=""),"* No olvide ingresar la variable "&amp;I$94&amp;""&amp;". Digite Cero si no tiene.",IF(I96&gt;$C96,"* La variable Pueblos Originarios no puede superar el TOTAL Estradiol Micronizado 1mg. ",""))</f>
        <v/>
      </c>
      <c r="CB96" s="620" t="str">
        <f>IF(AND($C96&lt;&gt;0,J96=""),"* No olvide ingresar la variable "&amp;J$94&amp;""&amp;". Digite Cero si no tiene.",IF(J96&gt;$C96,"* La variable Migrantes no puede superar el TOTAL Estradiol Micronizado 1mg. ",""))</f>
        <v/>
      </c>
      <c r="CN96" s="501">
        <f>IF(AND($C96&lt;&gt;0,$I96=""),1,IF($I96&gt;$C96,1,0))</f>
        <v>0</v>
      </c>
      <c r="CO96" s="501">
        <f>IF(AND($C96&lt;&gt;0,J96=""),1,IF(J96&gt;$C96,1,0))</f>
        <v>0</v>
      </c>
    </row>
    <row r="97" spans="1:93" ht="15" customHeight="1" x14ac:dyDescent="0.15">
      <c r="A97" s="699" t="s">
        <v>150</v>
      </c>
      <c r="B97" s="700"/>
      <c r="C97" s="542">
        <f t="shared" ref="C97:C102" si="78">SUM(D97:H97)</f>
        <v>0</v>
      </c>
      <c r="D97" s="528"/>
      <c r="E97" s="528"/>
      <c r="F97" s="527"/>
      <c r="G97" s="527"/>
      <c r="H97" s="527"/>
      <c r="I97" s="541"/>
      <c r="J97" s="532"/>
      <c r="K97" s="470" t="str">
        <f t="shared" ref="K97:K101" si="79">($CA97&amp;$CB97)</f>
        <v/>
      </c>
      <c r="CA97" s="620" t="str">
        <f>IF(AND($C97&lt;&gt;0,I97=""),"* No olvide ingresar la variable "&amp;I$94&amp;""&amp;". Digite Cero si no tiene.",IF(I97&gt;$C97,"* La variable Pueblos Originarios no puede superar el TOTAL Estradiol Gel. ",""))</f>
        <v/>
      </c>
      <c r="CB97" s="620" t="str">
        <f>IF(AND($C97&lt;&gt;0,J97=""),"* No olvide ingresar la variable "&amp;J$94&amp;""&amp;". Digite Cero si no tiene.",IF(J97&gt;$C97,"* La variable Migrantes no puede superar el TOTAL Estradiol Gel. ",""))</f>
        <v/>
      </c>
      <c r="CN97" s="501">
        <f t="shared" ref="CN97:CN102" si="80">IF(AND($C97&lt;&gt;0,$I97=""),1,IF($I97&gt;$C97,1,0))</f>
        <v>0</v>
      </c>
      <c r="CO97" s="501">
        <f t="shared" ref="CO97:CO101" si="81">IF(AND($C97&lt;&gt;0,J97=""),1,IF(J97&gt;$C97,1,0))</f>
        <v>0</v>
      </c>
    </row>
    <row r="98" spans="1:93" ht="15" customHeight="1" x14ac:dyDescent="0.15">
      <c r="A98" s="1839" t="s">
        <v>151</v>
      </c>
      <c r="B98" s="1840"/>
      <c r="C98" s="515">
        <f t="shared" si="78"/>
        <v>0</v>
      </c>
      <c r="D98" s="522"/>
      <c r="E98" s="522"/>
      <c r="F98" s="522"/>
      <c r="G98" s="522"/>
      <c r="H98" s="522"/>
      <c r="I98" s="519"/>
      <c r="J98" s="521"/>
      <c r="K98" s="470" t="str">
        <f t="shared" si="79"/>
        <v/>
      </c>
      <c r="CA98" s="620" t="str">
        <f>IF(AND($C98&lt;&gt;0,I98=""),"* No olvide ingresar la variable "&amp;I$94&amp;""&amp;". Digite Cero si no tiene.",IF(I98&gt;$C98,"* La variable Pueblos Originarios no puede superar el TOTAL Progesterona Micronizada 100mg. ",""))</f>
        <v/>
      </c>
      <c r="CB98" s="620" t="str">
        <f>IF(AND($C98&lt;&gt;0,J98=""),"* No olvide ingresar la variable "&amp;J$94&amp;""&amp;". Digite Cero si no tiene.",IF(J98&gt;$C98,"* La variable Migrantes no puede superar el TOTAL Progesterona Micronizada 100mg. ",""))</f>
        <v/>
      </c>
      <c r="CN98" s="501">
        <f t="shared" si="80"/>
        <v>0</v>
      </c>
      <c r="CO98" s="501">
        <f t="shared" si="81"/>
        <v>0</v>
      </c>
    </row>
    <row r="99" spans="1:93" ht="15" customHeight="1" x14ac:dyDescent="0.15">
      <c r="A99" s="1802" t="s">
        <v>152</v>
      </c>
      <c r="B99" s="1803"/>
      <c r="C99" s="542">
        <f t="shared" si="78"/>
        <v>0</v>
      </c>
      <c r="D99" s="528"/>
      <c r="E99" s="528"/>
      <c r="F99" s="528"/>
      <c r="G99" s="528"/>
      <c r="H99" s="528"/>
      <c r="I99" s="541"/>
      <c r="J99" s="532"/>
      <c r="K99" s="470" t="str">
        <f t="shared" si="79"/>
        <v/>
      </c>
      <c r="CA99" s="620" t="str">
        <f>IF(AND($C99&lt;&gt;0,I99=""),"* No olvide ingresar la variable "&amp;I$94&amp;""&amp;". Digite Cero si no tiene.",IF(I99&gt;$C99,"* La variable Pueblos Originarios no puede superar el TOTAL Progesterona Micronizada 200mg.",""))</f>
        <v/>
      </c>
      <c r="CB99" s="620" t="str">
        <f>IF(AND($C99&lt;&gt;0,J99=""),"* No olvide ingresar la variable "&amp;J$94&amp;""&amp;". Digite Cero si no tiene.",IF(J99&gt;$C99,"* La variable Migrantes no puede superar el TOTAL Progesterona Micronizada 200mg.",""))</f>
        <v/>
      </c>
      <c r="CN99" s="501">
        <f t="shared" si="80"/>
        <v>0</v>
      </c>
      <c r="CO99" s="501">
        <f t="shared" si="81"/>
        <v>0</v>
      </c>
    </row>
    <row r="100" spans="1:93" ht="15" customHeight="1" x14ac:dyDescent="0.15">
      <c r="A100" s="1802" t="s">
        <v>153</v>
      </c>
      <c r="B100" s="1803"/>
      <c r="C100" s="542">
        <f t="shared" si="78"/>
        <v>0</v>
      </c>
      <c r="D100" s="528"/>
      <c r="E100" s="528"/>
      <c r="F100" s="528"/>
      <c r="G100" s="528"/>
      <c r="H100" s="528"/>
      <c r="I100" s="541"/>
      <c r="J100" s="532"/>
      <c r="K100" s="470" t="str">
        <f t="shared" si="79"/>
        <v/>
      </c>
      <c r="CA100" s="620" t="str">
        <f>IF(AND($C100&lt;&gt;0,I100=""),"* No olvide ingresar la variable "&amp;I$94&amp;""&amp;". Digite Cero si no tiene.",IF(I100&gt;$C100,"* La variable Pueblos Originarios no puede superar el TOTAL Nomegestrol 5mg. comp. ",""))</f>
        <v/>
      </c>
      <c r="CB100" s="620" t="str">
        <f>IF(AND($C100&lt;&gt;0,J100=""),"* No olvide ingresar la variable "&amp;J$94&amp;""&amp;". Digite Cero si no tiene.",IF(J100&gt;$C100,"* La variable Migrantes no puede superar el TOTAL Nomegestrol 5mg. comp. ",""))</f>
        <v/>
      </c>
      <c r="CN100" s="501">
        <f t="shared" si="80"/>
        <v>0</v>
      </c>
      <c r="CO100" s="501">
        <f t="shared" si="81"/>
        <v>0</v>
      </c>
    </row>
    <row r="101" spans="1:93" ht="15" customHeight="1" x14ac:dyDescent="0.15">
      <c r="A101" s="1802" t="s">
        <v>154</v>
      </c>
      <c r="B101" s="1803"/>
      <c r="C101" s="542">
        <f t="shared" si="78"/>
        <v>0</v>
      </c>
      <c r="D101" s="528"/>
      <c r="E101" s="528"/>
      <c r="F101" s="528"/>
      <c r="G101" s="528"/>
      <c r="H101" s="528"/>
      <c r="I101" s="541"/>
      <c r="J101" s="532"/>
      <c r="K101" s="470" t="str">
        <f t="shared" si="79"/>
        <v/>
      </c>
      <c r="CA101" s="620" t="str">
        <f>IF(AND($C101&lt;&gt;0,I101=""),"* No olvide ingresar la variable "&amp;I$94&amp;""&amp;". Digite Cero si no tiene.",IF(I101&gt;$C101,"* La variable Pueblos Originarios no puede superar el TOTAL Tibolona 2,5mg. comp. ",""))</f>
        <v/>
      </c>
      <c r="CB101" s="620" t="str">
        <f>IF(AND($C101&lt;&gt;0,J101=""),"* No olvide ingresar la variable "&amp;J$94&amp;""&amp;". Digite Cero si no tiene.",IF(J101&gt;$C101,"* La variable Migrantes no puede superar el TOTAL Tibolona 2,5mg. comp. ",""))</f>
        <v/>
      </c>
      <c r="CN101" s="501">
        <f>IF(AND($C101&lt;&gt;0,$I101=""),1,IF($I101&gt;$C101,1,0))</f>
        <v>0</v>
      </c>
      <c r="CO101" s="501">
        <f t="shared" si="81"/>
        <v>0</v>
      </c>
    </row>
    <row r="102" spans="1:93" ht="15" customHeight="1" x14ac:dyDescent="0.15">
      <c r="A102" s="1884" t="s">
        <v>155</v>
      </c>
      <c r="B102" s="1885"/>
      <c r="C102" s="558">
        <f t="shared" si="78"/>
        <v>0</v>
      </c>
      <c r="D102" s="563"/>
      <c r="E102" s="563"/>
      <c r="F102" s="563"/>
      <c r="G102" s="563"/>
      <c r="H102" s="563"/>
      <c r="I102" s="559"/>
      <c r="J102" s="561"/>
      <c r="K102" s="470" t="str">
        <f>($CA102&amp;$CB102)</f>
        <v/>
      </c>
      <c r="CA102" s="620" t="str">
        <f>IF(AND($C102&lt;&gt;0,I102=""),"* No olvide ingresar la variable "&amp;I$94&amp;""&amp;". Digite Cero si no tiene.",IF(I102&gt;$C102,"* La variable Pueblos Originarios no puede superar el TOTAL Terapia Dual. ",""))</f>
        <v/>
      </c>
      <c r="CB102" s="620" t="str">
        <f>IF(AND($C102&lt;&gt;0,J102=""),"* No olvide ingresar la variable "&amp;J$94&amp;""&amp;". Digite Cero si no tiene.",IF(J102&gt;$C102,"* La variable Migrantes no puede superar el TOTAL Terapia Dual. ",""))</f>
        <v/>
      </c>
      <c r="CN102" s="501">
        <f t="shared" si="80"/>
        <v>0</v>
      </c>
      <c r="CO102" s="501">
        <f>IF(AND($C102&lt;&gt;0,J102=""),1,IF(J102&gt;$C102,1,0))</f>
        <v>0</v>
      </c>
    </row>
    <row r="103" spans="1:93" ht="17.100000000000001" customHeight="1" x14ac:dyDescent="0.15">
      <c r="A103" s="1800" t="s">
        <v>156</v>
      </c>
      <c r="B103" s="1801"/>
      <c r="C103" s="1801"/>
      <c r="D103" s="1801"/>
      <c r="E103" s="1801"/>
      <c r="F103" s="652"/>
      <c r="G103" s="652"/>
      <c r="H103" s="652"/>
    </row>
    <row r="104" spans="1:93" ht="15" customHeight="1" x14ac:dyDescent="0.15">
      <c r="A104" s="1809" t="s">
        <v>119</v>
      </c>
      <c r="B104" s="1811" t="s">
        <v>157</v>
      </c>
      <c r="C104" s="1812"/>
      <c r="D104" s="1835" t="s">
        <v>158</v>
      </c>
      <c r="E104" s="1837" t="s">
        <v>159</v>
      </c>
      <c r="G104" s="674"/>
      <c r="H104" s="472"/>
      <c r="I104" s="472"/>
      <c r="W104" s="471"/>
      <c r="X104" s="467"/>
      <c r="BI104" s="471"/>
    </row>
    <row r="105" spans="1:93" ht="15" customHeight="1" x14ac:dyDescent="0.15">
      <c r="A105" s="1810"/>
      <c r="B105" s="658" t="s">
        <v>160</v>
      </c>
      <c r="C105" s="701" t="s">
        <v>161</v>
      </c>
      <c r="D105" s="1836"/>
      <c r="E105" s="1838"/>
      <c r="G105" s="674"/>
      <c r="H105" s="472"/>
      <c r="I105" s="472"/>
      <c r="W105" s="471"/>
      <c r="X105" s="467"/>
      <c r="BI105" s="471"/>
    </row>
    <row r="106" spans="1:93" ht="15" customHeight="1" x14ac:dyDescent="0.15">
      <c r="A106" s="702" t="s">
        <v>162</v>
      </c>
      <c r="B106" s="494"/>
      <c r="C106" s="497"/>
      <c r="D106" s="494"/>
      <c r="E106" s="497"/>
      <c r="H106" s="472"/>
      <c r="I106" s="472"/>
      <c r="W106" s="471"/>
      <c r="X106" s="467"/>
      <c r="BI106" s="471"/>
    </row>
    <row r="107" spans="1:93" ht="15" customHeight="1" x14ac:dyDescent="0.15">
      <c r="A107" s="703" t="s">
        <v>163</v>
      </c>
      <c r="B107" s="531"/>
      <c r="C107" s="534"/>
      <c r="D107" s="531"/>
      <c r="E107" s="534"/>
      <c r="H107" s="472"/>
      <c r="I107" s="472"/>
      <c r="W107" s="471"/>
      <c r="X107" s="467"/>
      <c r="BI107" s="471"/>
    </row>
    <row r="108" spans="1:93" ht="15" customHeight="1" x14ac:dyDescent="0.15">
      <c r="A108" s="703" t="s">
        <v>164</v>
      </c>
      <c r="B108" s="531"/>
      <c r="C108" s="534"/>
      <c r="D108" s="531"/>
      <c r="E108" s="534"/>
      <c r="H108" s="472"/>
      <c r="I108" s="472"/>
      <c r="W108" s="471"/>
      <c r="X108" s="467"/>
      <c r="BI108" s="471"/>
    </row>
    <row r="109" spans="1:93" ht="15" customHeight="1" x14ac:dyDescent="0.15">
      <c r="A109" s="703" t="s">
        <v>165</v>
      </c>
      <c r="B109" s="531"/>
      <c r="C109" s="534"/>
      <c r="D109" s="531"/>
      <c r="E109" s="534"/>
      <c r="H109" s="472"/>
      <c r="I109" s="472"/>
      <c r="W109" s="471"/>
      <c r="X109" s="467"/>
      <c r="BI109" s="471"/>
    </row>
    <row r="110" spans="1:93" ht="15" customHeight="1" x14ac:dyDescent="0.15">
      <c r="A110" s="703" t="s">
        <v>166</v>
      </c>
      <c r="B110" s="531"/>
      <c r="C110" s="534"/>
      <c r="D110" s="531"/>
      <c r="E110" s="534"/>
      <c r="H110" s="472"/>
      <c r="I110" s="472"/>
      <c r="W110" s="471"/>
      <c r="X110" s="467"/>
      <c r="BI110" s="471"/>
    </row>
    <row r="111" spans="1:93" ht="15" customHeight="1" x14ac:dyDescent="0.15">
      <c r="A111" s="703" t="s">
        <v>167</v>
      </c>
      <c r="B111" s="531"/>
      <c r="C111" s="534"/>
      <c r="D111" s="531"/>
      <c r="E111" s="534"/>
      <c r="H111" s="472"/>
      <c r="I111" s="472"/>
      <c r="W111" s="471"/>
      <c r="X111" s="467"/>
      <c r="BI111" s="471"/>
    </row>
    <row r="112" spans="1:93" s="472" customFormat="1" ht="15" customHeight="1" x14ac:dyDescent="0.15">
      <c r="A112" s="703" t="s">
        <v>168</v>
      </c>
      <c r="B112" s="531"/>
      <c r="C112" s="534"/>
      <c r="D112" s="531"/>
      <c r="E112" s="534"/>
      <c r="G112" s="470"/>
      <c r="J112" s="470"/>
      <c r="K112" s="470"/>
      <c r="L112" s="470"/>
      <c r="M112" s="470"/>
      <c r="N112" s="470"/>
      <c r="O112" s="470"/>
      <c r="W112" s="704"/>
      <c r="X112" s="467"/>
      <c r="Y112" s="467"/>
      <c r="Z112" s="467"/>
      <c r="AA112" s="467"/>
      <c r="AB112" s="467"/>
      <c r="AC112" s="467"/>
      <c r="AD112" s="467"/>
      <c r="AE112" s="467"/>
      <c r="AF112" s="467"/>
      <c r="AG112" s="467"/>
      <c r="AH112" s="467"/>
      <c r="AI112" s="467"/>
      <c r="AJ112" s="467"/>
      <c r="AK112" s="467"/>
      <c r="AL112" s="467"/>
      <c r="AM112" s="467"/>
      <c r="AN112" s="467"/>
      <c r="AO112" s="467"/>
      <c r="AP112" s="467"/>
      <c r="AQ112" s="467"/>
      <c r="AR112" s="467"/>
      <c r="AS112" s="467"/>
      <c r="AT112" s="467"/>
      <c r="AU112" s="467"/>
      <c r="AV112" s="467"/>
      <c r="AW112" s="467"/>
      <c r="AX112" s="467"/>
      <c r="AY112" s="467"/>
      <c r="AZ112" s="467"/>
      <c r="BA112" s="467"/>
      <c r="BB112" s="467"/>
      <c r="BC112" s="467"/>
      <c r="BD112" s="467"/>
      <c r="BE112" s="467"/>
      <c r="BF112" s="467"/>
      <c r="BG112" s="467"/>
      <c r="BH112" s="467"/>
      <c r="BI112" s="471"/>
      <c r="BJ112" s="471"/>
      <c r="BK112" s="471"/>
      <c r="BL112" s="471"/>
      <c r="BM112" s="471"/>
      <c r="BN112" s="471"/>
      <c r="BO112" s="471"/>
      <c r="BP112" s="704"/>
      <c r="BQ112" s="704"/>
      <c r="BR112" s="704"/>
      <c r="BS112" s="704"/>
      <c r="BT112" s="704"/>
      <c r="BU112" s="704"/>
      <c r="BV112" s="704"/>
      <c r="BW112" s="704"/>
      <c r="BX112" s="704"/>
      <c r="BY112" s="704"/>
      <c r="CA112" s="470"/>
      <c r="CJ112" s="470"/>
    </row>
    <row r="113" spans="1:95" s="472" customFormat="1" ht="15" customHeight="1" x14ac:dyDescent="0.15">
      <c r="A113" s="703" t="s">
        <v>169</v>
      </c>
      <c r="B113" s="531"/>
      <c r="C113" s="534"/>
      <c r="D113" s="531"/>
      <c r="E113" s="534"/>
      <c r="G113" s="470"/>
      <c r="J113" s="470"/>
      <c r="K113" s="470"/>
      <c r="L113" s="470"/>
      <c r="M113" s="470"/>
      <c r="N113" s="470"/>
      <c r="O113" s="470"/>
      <c r="W113" s="704"/>
      <c r="X113" s="467"/>
      <c r="Y113" s="467"/>
      <c r="Z113" s="467"/>
      <c r="AA113" s="467"/>
      <c r="AB113" s="467"/>
      <c r="AC113" s="467"/>
      <c r="AD113" s="467"/>
      <c r="AE113" s="467"/>
      <c r="AF113" s="467"/>
      <c r="AG113" s="467"/>
      <c r="AH113" s="467"/>
      <c r="AI113" s="467"/>
      <c r="AJ113" s="467"/>
      <c r="AK113" s="467"/>
      <c r="AL113" s="467"/>
      <c r="AM113" s="467"/>
      <c r="AN113" s="467"/>
      <c r="AO113" s="467"/>
      <c r="AP113" s="467"/>
      <c r="AQ113" s="467"/>
      <c r="AR113" s="467"/>
      <c r="AS113" s="467"/>
      <c r="AT113" s="467"/>
      <c r="AU113" s="467"/>
      <c r="AV113" s="467"/>
      <c r="AW113" s="467"/>
      <c r="AX113" s="467"/>
      <c r="AY113" s="467"/>
      <c r="AZ113" s="467"/>
      <c r="BA113" s="467"/>
      <c r="BB113" s="467"/>
      <c r="BC113" s="467"/>
      <c r="BD113" s="467"/>
      <c r="BE113" s="467"/>
      <c r="BF113" s="467"/>
      <c r="BG113" s="467"/>
      <c r="BH113" s="467"/>
      <c r="BI113" s="471"/>
      <c r="BJ113" s="471"/>
      <c r="BK113" s="471"/>
      <c r="BL113" s="471"/>
      <c r="BM113" s="471"/>
      <c r="BN113" s="471"/>
      <c r="BO113" s="471"/>
      <c r="BP113" s="704"/>
      <c r="BQ113" s="704"/>
      <c r="BR113" s="704"/>
      <c r="BS113" s="704"/>
      <c r="BT113" s="704"/>
      <c r="BU113" s="704"/>
      <c r="BV113" s="704"/>
      <c r="BW113" s="704"/>
      <c r="BX113" s="704"/>
      <c r="BY113" s="704"/>
      <c r="CA113" s="470"/>
      <c r="CJ113" s="470"/>
    </row>
    <row r="114" spans="1:95" s="472" customFormat="1" ht="15" customHeight="1" x14ac:dyDescent="0.15">
      <c r="A114" s="705" t="s">
        <v>170</v>
      </c>
      <c r="B114" s="560"/>
      <c r="C114" s="564"/>
      <c r="D114" s="560"/>
      <c r="E114" s="564"/>
      <c r="G114" s="470"/>
      <c r="J114" s="470"/>
      <c r="K114" s="470"/>
      <c r="L114" s="470"/>
      <c r="M114" s="470"/>
      <c r="N114" s="470"/>
      <c r="O114" s="470"/>
      <c r="W114" s="704"/>
      <c r="X114" s="467"/>
      <c r="Y114" s="467"/>
      <c r="Z114" s="467"/>
      <c r="AA114" s="467"/>
      <c r="AB114" s="467"/>
      <c r="AC114" s="467"/>
      <c r="AD114" s="467"/>
      <c r="AE114" s="467"/>
      <c r="AF114" s="467"/>
      <c r="AG114" s="467"/>
      <c r="AH114" s="467"/>
      <c r="AI114" s="467"/>
      <c r="AJ114" s="467"/>
      <c r="AK114" s="467"/>
      <c r="AL114" s="467"/>
      <c r="AM114" s="467"/>
      <c r="AN114" s="467"/>
      <c r="AO114" s="467"/>
      <c r="AP114" s="467"/>
      <c r="AQ114" s="467"/>
      <c r="AR114" s="467"/>
      <c r="AS114" s="467"/>
      <c r="AT114" s="467"/>
      <c r="AU114" s="467"/>
      <c r="AV114" s="467"/>
      <c r="AW114" s="467"/>
      <c r="AX114" s="467"/>
      <c r="AY114" s="467"/>
      <c r="AZ114" s="467"/>
      <c r="BA114" s="467"/>
      <c r="BB114" s="467"/>
      <c r="BC114" s="467"/>
      <c r="BD114" s="467"/>
      <c r="BE114" s="467"/>
      <c r="BF114" s="467"/>
      <c r="BG114" s="467"/>
      <c r="BH114" s="467"/>
      <c r="BI114" s="704"/>
      <c r="BJ114" s="704"/>
      <c r="BK114" s="704"/>
      <c r="BL114" s="704"/>
      <c r="BM114" s="704"/>
      <c r="BN114" s="704"/>
      <c r="BO114" s="704"/>
      <c r="BP114" s="704"/>
      <c r="BQ114" s="704"/>
      <c r="BR114" s="704"/>
      <c r="BS114" s="704"/>
      <c r="BT114" s="704"/>
      <c r="BU114" s="704"/>
      <c r="BV114" s="704"/>
      <c r="BW114" s="704"/>
      <c r="BX114" s="704"/>
      <c r="BY114" s="704"/>
      <c r="CA114" s="470"/>
      <c r="CJ114" s="470"/>
    </row>
    <row r="115" spans="1:95" s="472" customFormat="1" ht="15" customHeight="1" x14ac:dyDescent="0.15">
      <c r="A115" s="706" t="s">
        <v>89</v>
      </c>
      <c r="B115" s="667">
        <f>SUM(B106:B114)</f>
        <v>0</v>
      </c>
      <c r="C115" s="707">
        <f>SUM(C106:C114)</f>
        <v>0</v>
      </c>
      <c r="D115" s="708">
        <f>SUM(D106:D114)</f>
        <v>0</v>
      </c>
      <c r="E115" s="707">
        <f>SUM(E106:E114)</f>
        <v>0</v>
      </c>
      <c r="J115" s="470"/>
      <c r="K115" s="470"/>
      <c r="L115" s="470"/>
      <c r="M115" s="470"/>
      <c r="N115" s="470"/>
      <c r="O115" s="470"/>
      <c r="W115" s="704"/>
      <c r="X115" s="467"/>
      <c r="Y115" s="467"/>
      <c r="Z115" s="467"/>
      <c r="AA115" s="467"/>
      <c r="AB115" s="467"/>
      <c r="AC115" s="467"/>
      <c r="AD115" s="467"/>
      <c r="AE115" s="467"/>
      <c r="AF115" s="467"/>
      <c r="AG115" s="467"/>
      <c r="AH115" s="467"/>
      <c r="AI115" s="467"/>
      <c r="AJ115" s="467"/>
      <c r="AK115" s="467"/>
      <c r="AL115" s="467"/>
      <c r="AM115" s="467"/>
      <c r="AN115" s="467"/>
      <c r="AO115" s="467"/>
      <c r="AP115" s="467"/>
      <c r="AQ115" s="467"/>
      <c r="AR115" s="467"/>
      <c r="AS115" s="467"/>
      <c r="AT115" s="467"/>
      <c r="AU115" s="467"/>
      <c r="AV115" s="467"/>
      <c r="AW115" s="467"/>
      <c r="AX115" s="467"/>
      <c r="AY115" s="467"/>
      <c r="AZ115" s="467"/>
      <c r="BA115" s="467"/>
      <c r="BB115" s="467"/>
      <c r="BC115" s="467"/>
      <c r="BD115" s="467"/>
      <c r="BE115" s="467"/>
      <c r="BF115" s="467"/>
      <c r="BG115" s="467"/>
      <c r="BH115" s="467"/>
      <c r="BI115" s="704"/>
      <c r="BJ115" s="704"/>
      <c r="BK115" s="704"/>
      <c r="BL115" s="704"/>
      <c r="BM115" s="704"/>
      <c r="BN115" s="704"/>
      <c r="BO115" s="704"/>
      <c r="BP115" s="704"/>
      <c r="BQ115" s="704"/>
      <c r="BR115" s="704"/>
      <c r="BS115" s="704"/>
      <c r="BT115" s="704"/>
      <c r="BU115" s="704"/>
      <c r="BV115" s="704"/>
      <c r="BW115" s="704"/>
      <c r="BX115" s="704"/>
      <c r="BY115" s="704"/>
    </row>
    <row r="116" spans="1:95" s="472" customFormat="1" ht="15" customHeight="1" x14ac:dyDescent="0.15">
      <c r="A116" s="475" t="s">
        <v>171</v>
      </c>
      <c r="B116" s="607"/>
      <c r="C116" s="611"/>
      <c r="D116" s="607"/>
      <c r="E116" s="611"/>
      <c r="J116" s="470"/>
      <c r="K116" s="470"/>
      <c r="L116" s="470"/>
      <c r="M116" s="470"/>
      <c r="N116" s="470"/>
      <c r="O116" s="470"/>
      <c r="W116" s="704"/>
      <c r="X116" s="467"/>
      <c r="Y116" s="467"/>
      <c r="Z116" s="467"/>
      <c r="AA116" s="467"/>
      <c r="AB116" s="467"/>
      <c r="AC116" s="467"/>
      <c r="AD116" s="467"/>
      <c r="AE116" s="467"/>
      <c r="AF116" s="467"/>
      <c r="AG116" s="467"/>
      <c r="AH116" s="467"/>
      <c r="AI116" s="467"/>
      <c r="AJ116" s="467"/>
      <c r="AK116" s="467"/>
      <c r="AL116" s="467"/>
      <c r="AM116" s="467"/>
      <c r="AN116" s="467"/>
      <c r="AO116" s="467"/>
      <c r="AP116" s="467"/>
      <c r="AQ116" s="467"/>
      <c r="AR116" s="467"/>
      <c r="AS116" s="467"/>
      <c r="AT116" s="467"/>
      <c r="AU116" s="467"/>
      <c r="AV116" s="467"/>
      <c r="AW116" s="467"/>
      <c r="AX116" s="467"/>
      <c r="AY116" s="467"/>
      <c r="AZ116" s="467"/>
      <c r="BA116" s="467"/>
      <c r="BB116" s="467"/>
      <c r="BC116" s="467"/>
      <c r="BD116" s="467"/>
      <c r="BE116" s="467"/>
      <c r="BF116" s="467"/>
      <c r="BG116" s="467"/>
      <c r="BH116" s="467"/>
      <c r="BI116" s="704"/>
      <c r="BJ116" s="704"/>
      <c r="BK116" s="704"/>
      <c r="BL116" s="704"/>
      <c r="BM116" s="704"/>
      <c r="BN116" s="704"/>
      <c r="BO116" s="704"/>
      <c r="BP116" s="704"/>
      <c r="BQ116" s="704"/>
      <c r="BR116" s="704"/>
      <c r="BS116" s="704"/>
      <c r="BT116" s="704"/>
      <c r="BU116" s="704"/>
      <c r="BV116" s="704"/>
      <c r="BW116" s="704"/>
      <c r="BX116" s="704"/>
      <c r="BY116" s="704"/>
    </row>
    <row r="117" spans="1:95" ht="17.100000000000001" customHeight="1" x14ac:dyDescent="0.15">
      <c r="A117" s="1798" t="s">
        <v>172</v>
      </c>
      <c r="B117" s="1799"/>
      <c r="C117" s="1799"/>
      <c r="D117" s="1799"/>
      <c r="E117" s="1799"/>
      <c r="F117" s="1799"/>
      <c r="G117" s="1799"/>
      <c r="H117" s="1799"/>
      <c r="I117" s="1799"/>
      <c r="J117" s="1799"/>
      <c r="K117" s="1799"/>
      <c r="L117" s="1799"/>
    </row>
    <row r="118" spans="1:95" ht="15" customHeight="1" x14ac:dyDescent="0.15">
      <c r="A118" s="1809" t="s">
        <v>119</v>
      </c>
      <c r="B118" s="1809" t="s">
        <v>120</v>
      </c>
      <c r="C118" s="1809" t="s">
        <v>49</v>
      </c>
      <c r="D118" s="1886" t="s">
        <v>50</v>
      </c>
      <c r="E118" s="1886"/>
      <c r="F118" s="1886"/>
      <c r="G118" s="1886"/>
      <c r="H118" s="1886"/>
      <c r="I118" s="1886"/>
      <c r="J118" s="1886"/>
      <c r="K118" s="1886"/>
      <c r="L118" s="1886"/>
    </row>
    <row r="119" spans="1:95" ht="15" customHeight="1" x14ac:dyDescent="0.15">
      <c r="A119" s="1810"/>
      <c r="B119" s="1810"/>
      <c r="C119" s="1810"/>
      <c r="D119" s="658" t="s">
        <v>121</v>
      </c>
      <c r="E119" s="659" t="s">
        <v>57</v>
      </c>
      <c r="F119" s="659" t="s">
        <v>58</v>
      </c>
      <c r="G119" s="659" t="s">
        <v>59</v>
      </c>
      <c r="H119" s="659" t="s">
        <v>60</v>
      </c>
      <c r="I119" s="659" t="s">
        <v>61</v>
      </c>
      <c r="J119" s="659" t="s">
        <v>62</v>
      </c>
      <c r="K119" s="659" t="s">
        <v>63</v>
      </c>
      <c r="L119" s="709" t="s">
        <v>64</v>
      </c>
    </row>
    <row r="120" spans="1:95" ht="15" customHeight="1" x14ac:dyDescent="0.15">
      <c r="A120" s="1806" t="s">
        <v>173</v>
      </c>
      <c r="B120" s="710" t="s">
        <v>123</v>
      </c>
      <c r="C120" s="711">
        <f>SUM(D120:L120)</f>
        <v>0</v>
      </c>
      <c r="D120" s="712"/>
      <c r="E120" s="200"/>
      <c r="F120" s="200"/>
      <c r="G120" s="200"/>
      <c r="H120" s="200"/>
      <c r="I120" s="200"/>
      <c r="J120" s="200"/>
      <c r="K120" s="200"/>
      <c r="L120" s="201"/>
      <c r="M120" s="713"/>
      <c r="O120" s="472"/>
      <c r="P120" s="472"/>
    </row>
    <row r="121" spans="1:95" ht="15" customHeight="1" x14ac:dyDescent="0.15">
      <c r="A121" s="1807"/>
      <c r="B121" s="714" t="s">
        <v>124</v>
      </c>
      <c r="C121" s="715">
        <f>SUM(D121:L121)</f>
        <v>0</v>
      </c>
      <c r="D121" s="716"/>
      <c r="E121" s="197"/>
      <c r="F121" s="197"/>
      <c r="G121" s="197"/>
      <c r="H121" s="197"/>
      <c r="I121" s="197"/>
      <c r="J121" s="197"/>
      <c r="K121" s="197"/>
      <c r="L121" s="202"/>
      <c r="M121" s="713"/>
      <c r="O121" s="472"/>
      <c r="P121" s="472"/>
    </row>
    <row r="122" spans="1:95" ht="15" customHeight="1" x14ac:dyDescent="0.15">
      <c r="A122" s="1807"/>
      <c r="B122" s="714" t="s">
        <v>125</v>
      </c>
      <c r="C122" s="715">
        <f>SUM(D122:L122)</f>
        <v>0</v>
      </c>
      <c r="D122" s="716"/>
      <c r="E122" s="197"/>
      <c r="F122" s="197"/>
      <c r="G122" s="197"/>
      <c r="H122" s="197"/>
      <c r="I122" s="197"/>
      <c r="J122" s="197"/>
      <c r="K122" s="197"/>
      <c r="L122" s="202"/>
      <c r="M122" s="713"/>
      <c r="N122" s="472"/>
      <c r="O122" s="472"/>
      <c r="P122" s="472"/>
    </row>
    <row r="123" spans="1:95" ht="15" customHeight="1" x14ac:dyDescent="0.15">
      <c r="A123" s="1807"/>
      <c r="B123" s="717" t="s">
        <v>174</v>
      </c>
      <c r="C123" s="718">
        <f>SUM(D123:L123)</f>
        <v>0</v>
      </c>
      <c r="D123" s="719"/>
      <c r="E123" s="720"/>
      <c r="F123" s="720"/>
      <c r="G123" s="720"/>
      <c r="H123" s="720"/>
      <c r="I123" s="720"/>
      <c r="J123" s="720"/>
      <c r="K123" s="720"/>
      <c r="L123" s="721"/>
      <c r="M123" s="713"/>
      <c r="N123" s="472"/>
      <c r="O123" s="472"/>
      <c r="P123" s="472"/>
    </row>
    <row r="124" spans="1:95" ht="15" customHeight="1" x14ac:dyDescent="0.15">
      <c r="A124" s="1808"/>
      <c r="B124" s="722" t="s">
        <v>89</v>
      </c>
      <c r="C124" s="723">
        <f>SUM(D124:L124)</f>
        <v>0</v>
      </c>
      <c r="D124" s="724">
        <f>SUM(D120:D123)</f>
        <v>0</v>
      </c>
      <c r="E124" s="725">
        <f t="shared" ref="E124:L124" si="82">SUM(E120:E123)</f>
        <v>0</v>
      </c>
      <c r="F124" s="725">
        <f t="shared" si="82"/>
        <v>0</v>
      </c>
      <c r="G124" s="725">
        <f t="shared" si="82"/>
        <v>0</v>
      </c>
      <c r="H124" s="725">
        <f t="shared" si="82"/>
        <v>0</v>
      </c>
      <c r="I124" s="725">
        <f t="shared" si="82"/>
        <v>0</v>
      </c>
      <c r="J124" s="725">
        <f t="shared" si="82"/>
        <v>0</v>
      </c>
      <c r="K124" s="725">
        <f t="shared" si="82"/>
        <v>0</v>
      </c>
      <c r="L124" s="726">
        <f t="shared" si="82"/>
        <v>0</v>
      </c>
      <c r="N124" s="472"/>
      <c r="O124" s="472"/>
      <c r="P124" s="472"/>
    </row>
    <row r="125" spans="1:95" ht="17.100000000000001" customHeight="1" x14ac:dyDescent="0.15">
      <c r="A125" s="1792" t="s">
        <v>175</v>
      </c>
      <c r="B125" s="1793"/>
      <c r="C125" s="1793"/>
      <c r="D125" s="1793"/>
      <c r="E125" s="1793"/>
      <c r="F125" s="1793"/>
      <c r="G125" s="1793"/>
      <c r="H125" s="727"/>
      <c r="I125" s="727"/>
      <c r="J125" s="727"/>
      <c r="K125" s="727"/>
      <c r="L125" s="727"/>
      <c r="N125" s="472"/>
      <c r="O125" s="472"/>
      <c r="P125" s="472"/>
    </row>
    <row r="126" spans="1:95" ht="15" customHeight="1" x14ac:dyDescent="0.15">
      <c r="A126" s="1829" t="s">
        <v>119</v>
      </c>
      <c r="B126" s="1806" t="s">
        <v>176</v>
      </c>
      <c r="C126" s="1831" t="s">
        <v>177</v>
      </c>
      <c r="D126" s="1824" t="s">
        <v>178</v>
      </c>
      <c r="E126" s="1833" t="s">
        <v>179</v>
      </c>
      <c r="F126" s="1822" t="s">
        <v>180</v>
      </c>
      <c r="G126" s="1824" t="s">
        <v>181</v>
      </c>
      <c r="H126" s="1826" t="s">
        <v>51</v>
      </c>
      <c r="I126" s="1827"/>
      <c r="J126" s="1828" t="s">
        <v>108</v>
      </c>
      <c r="K126" s="1827"/>
      <c r="L126" s="727"/>
      <c r="M126" s="727"/>
      <c r="N126" s="727"/>
      <c r="P126" s="472"/>
      <c r="Q126" s="472"/>
      <c r="R126" s="472"/>
      <c r="X126" s="470"/>
      <c r="Y126" s="470"/>
      <c r="Z126" s="471"/>
      <c r="BJ126" s="467"/>
      <c r="BK126" s="467"/>
      <c r="CA126" s="471"/>
      <c r="CB126" s="471"/>
    </row>
    <row r="127" spans="1:95" ht="52.5" x14ac:dyDescent="0.15">
      <c r="A127" s="1830"/>
      <c r="B127" s="1808"/>
      <c r="C127" s="1832"/>
      <c r="D127" s="1825"/>
      <c r="E127" s="1834"/>
      <c r="F127" s="1823"/>
      <c r="G127" s="1825"/>
      <c r="H127" s="728" t="s">
        <v>177</v>
      </c>
      <c r="I127" s="729" t="s">
        <v>178</v>
      </c>
      <c r="J127" s="484" t="s">
        <v>177</v>
      </c>
      <c r="K127" s="729" t="s">
        <v>178</v>
      </c>
      <c r="L127" s="727"/>
      <c r="M127" s="727"/>
      <c r="N127" s="727"/>
      <c r="O127" s="727"/>
      <c r="P127" s="727"/>
      <c r="Q127" s="727"/>
      <c r="S127" s="472"/>
      <c r="T127" s="472"/>
      <c r="U127" s="472"/>
      <c r="X127" s="470"/>
      <c r="Y127" s="470"/>
      <c r="Z127" s="470"/>
      <c r="AA127" s="470"/>
      <c r="AB127" s="470"/>
      <c r="AC127" s="471"/>
      <c r="BJ127" s="467"/>
      <c r="BK127" s="467"/>
      <c r="BL127" s="467"/>
      <c r="BM127" s="467"/>
      <c r="BN127" s="467"/>
      <c r="CA127" s="471"/>
      <c r="CB127" s="471"/>
      <c r="CC127" s="471"/>
      <c r="CD127" s="471"/>
    </row>
    <row r="128" spans="1:95" ht="15" customHeight="1" x14ac:dyDescent="0.15">
      <c r="A128" s="730" t="s">
        <v>162</v>
      </c>
      <c r="B128" s="731"/>
      <c r="C128" s="732"/>
      <c r="D128" s="733"/>
      <c r="E128" s="734"/>
      <c r="F128" s="735"/>
      <c r="G128" s="733"/>
      <c r="H128" s="734"/>
      <c r="I128" s="736"/>
      <c r="J128" s="732"/>
      <c r="K128" s="736"/>
      <c r="L128" s="470" t="str">
        <f>($CA128&amp;$CB128&amp;$CC128&amp;$CD128)</f>
        <v/>
      </c>
      <c r="M128" s="727"/>
      <c r="N128" s="727"/>
      <c r="O128" s="727"/>
      <c r="P128" s="727"/>
      <c r="Q128" s="727"/>
      <c r="S128" s="472"/>
      <c r="T128" s="472"/>
      <c r="U128" s="472"/>
      <c r="X128" s="470"/>
      <c r="Y128" s="470"/>
      <c r="Z128" s="470"/>
      <c r="AA128" s="470"/>
      <c r="AB128" s="470"/>
      <c r="AC128" s="471"/>
      <c r="BJ128" s="467"/>
      <c r="BK128" s="467"/>
      <c r="BL128" s="467"/>
      <c r="BM128" s="467"/>
      <c r="BN128" s="467"/>
      <c r="CA128" s="620" t="str">
        <f>IF(AND($C128&lt;&gt;0,H128=""),"* No olvide ingresar la variable Pueblos Originarios "&amp;H$127&amp;""&amp;". Digite Cero si no tiene.",IF(H128&gt;$C128,"* La variable Pueblos Originarios "&amp;H$127&amp;""&amp;" no puede superar el Total de Gestantes en control con resultado 1° VIH. ",""))</f>
        <v/>
      </c>
      <c r="CB128" s="620" t="str">
        <f>IF(AND($D128&lt;&gt;0,I128=""),"* No olvide ingresar la variable Pueblos Originarios "&amp;I$127&amp;""&amp;". Digite Cero si no tiene.",IF(I128&gt;$D128,"* La variable Pueblos Originarios "&amp;I$127&amp;""&amp;" no puede superar el Total de Gestantes en control con resultado 1° VIH. ",""))</f>
        <v/>
      </c>
      <c r="CC128" s="620" t="str">
        <f>IF(AND($C128&lt;&gt;0,J128=""),"* No olvide ingresar la variable Migrantes "&amp;J$127&amp;""&amp;". Digite Cero si no tiene.",IF(J128&gt;$C128,"* La variable Migrantes "&amp;J$127&amp;""&amp;" no puede superar el Total de Gestantes en control con resultado 1° VIH. ",""))</f>
        <v/>
      </c>
      <c r="CD128" s="620" t="str">
        <f>IF(AND($D128&lt;&gt;0,K128=""),"* No olvide ingresar la variable Migrantes "&amp;K$127&amp;""&amp;". Digite Cero si no tiene.",IF(K128&gt;$D128,"* La variable Migrantes de Gestantes "&amp;K$127&amp;""&amp;" no puede superar el Total de Gestantes en control con resultado 1° VIH. ",""))</f>
        <v/>
      </c>
      <c r="CN128" s="501">
        <f>IF(AND($C128&lt;&gt;0,H128=""),1,IF(H128&gt;$C128,1,0))</f>
        <v>0</v>
      </c>
      <c r="CO128" s="501">
        <f>IF(AND($D128&lt;&gt;0,I128=""),1,IF(I128&gt;$D128,1,0))</f>
        <v>0</v>
      </c>
      <c r="CP128" s="501">
        <f>IF(AND($C128&lt;&gt;0,J128=""),1,IF(J128&gt;$C128,1,0))</f>
        <v>0</v>
      </c>
      <c r="CQ128" s="501">
        <f>IF(AND($D128&lt;&gt;0,K128=""),1,IF(K128&gt;$D128,1,0))</f>
        <v>0</v>
      </c>
    </row>
    <row r="129" spans="1:95" ht="15" customHeight="1" x14ac:dyDescent="0.15">
      <c r="A129" s="737" t="s">
        <v>163</v>
      </c>
      <c r="B129" s="738"/>
      <c r="C129" s="739"/>
      <c r="D129" s="740"/>
      <c r="E129" s="741"/>
      <c r="F129" s="742"/>
      <c r="G129" s="740"/>
      <c r="H129" s="741"/>
      <c r="I129" s="743"/>
      <c r="J129" s="739"/>
      <c r="K129" s="743"/>
      <c r="L129" s="470" t="str">
        <f t="shared" ref="L129:L138" si="83">($CA129&amp;$CB129&amp;$CC129&amp;$CD129)</f>
        <v/>
      </c>
      <c r="M129" s="727"/>
      <c r="N129" s="727"/>
      <c r="O129" s="727"/>
      <c r="P129" s="727"/>
      <c r="Q129" s="727"/>
      <c r="S129" s="472"/>
      <c r="T129" s="472"/>
      <c r="U129" s="472"/>
      <c r="X129" s="470"/>
      <c r="Y129" s="470"/>
      <c r="Z129" s="470"/>
      <c r="AA129" s="470"/>
      <c r="AB129" s="470"/>
      <c r="AC129" s="471"/>
      <c r="BJ129" s="467"/>
      <c r="BK129" s="467"/>
      <c r="BL129" s="467"/>
      <c r="BM129" s="467"/>
      <c r="BN129" s="467"/>
      <c r="CA129" s="620" t="str">
        <f t="shared" ref="CA129:CA135" si="84">IF(AND($C129&lt;&gt;0,H129=""),"* No olvide ingresar la variable Pueblos Originarios "&amp;H$127&amp;""&amp;". Digite Cero si no tiene.",IF(H129&gt;$C129,"* La variable Pueblos Originarios "&amp;H$127&amp;""&amp;" no puede superar el Total de Gestantes en control con resultado 1° VIH. ",""))</f>
        <v/>
      </c>
      <c r="CB129" s="620" t="str">
        <f t="shared" ref="CB129:CB136" si="85">IF(AND($D129&lt;&gt;0,I129=""),"* No olvide ingresar la variable Pueblos Originarios "&amp;I$127&amp;""&amp;". Digite Cero si no tiene.",IF(I129&gt;$D129,"* La variable Pueblos Originarios "&amp;I$127&amp;""&amp;" no puede superar el Total de Gestantes en control con resultado 1° VIH. ",""))</f>
        <v/>
      </c>
      <c r="CC129" s="620" t="str">
        <f>IF(AND($C129&lt;&gt;0,J129=""),"* No olvide ingresar la variable Migrantes "&amp;J$127&amp;""&amp;". Digite Cero si no tiene.",IF(J129&gt;$C129,"* La variable Migrantes "&amp;J$127&amp;""&amp;" no puede superar el Total de Gestantes en control con resultado 1° VIH. ",""))</f>
        <v/>
      </c>
      <c r="CD129" s="620" t="str">
        <f t="shared" ref="CD129:CD136" si="86">IF(AND($D129&lt;&gt;0,K129=""),"* No olvide ingresar la variable Migrantes "&amp;K$127&amp;""&amp;". Digite Cero si no tiene.",IF(K129&gt;$D129,"* La variable Migrantes de Gestantes "&amp;K$127&amp;""&amp;" no puede superar el Total de Gestantes en control con resultado 1° VIH. ",""))</f>
        <v/>
      </c>
      <c r="CN129" s="501">
        <f t="shared" ref="CN129:CN135" si="87">IF(AND($C129&lt;&gt;0,H129=""),1,IF(H129&gt;$C129,1,0))</f>
        <v>0</v>
      </c>
      <c r="CO129" s="501">
        <f>IF(AND($D129&lt;&gt;0,$I129=""),1,IF($I129&gt;$D129,1,0))</f>
        <v>0</v>
      </c>
      <c r="CP129" s="501">
        <f>IF(AND($C129&lt;&gt;0,J129=""),1,IF(J129&gt;$C129,1,0))</f>
        <v>0</v>
      </c>
      <c r="CQ129" s="501">
        <f t="shared" ref="CQ129:CQ135" si="88">IF(AND($D129&lt;&gt;0,K129=""),1,IF(K129&gt;$D129,1,0))</f>
        <v>0</v>
      </c>
    </row>
    <row r="130" spans="1:95" ht="15" customHeight="1" x14ac:dyDescent="0.15">
      <c r="A130" s="737" t="s">
        <v>164</v>
      </c>
      <c r="B130" s="738"/>
      <c r="C130" s="739"/>
      <c r="D130" s="740"/>
      <c r="E130" s="741"/>
      <c r="F130" s="742"/>
      <c r="G130" s="740"/>
      <c r="H130" s="741"/>
      <c r="I130" s="743"/>
      <c r="J130" s="739"/>
      <c r="K130" s="743"/>
      <c r="L130" s="470" t="str">
        <f t="shared" si="83"/>
        <v/>
      </c>
      <c r="M130" s="727"/>
      <c r="N130" s="727"/>
      <c r="O130" s="727"/>
      <c r="P130" s="727"/>
      <c r="Q130" s="727"/>
      <c r="S130" s="472"/>
      <c r="T130" s="472"/>
      <c r="U130" s="472"/>
      <c r="X130" s="470"/>
      <c r="Y130" s="470"/>
      <c r="Z130" s="470"/>
      <c r="AA130" s="470"/>
      <c r="AB130" s="470"/>
      <c r="AC130" s="471"/>
      <c r="BJ130" s="467"/>
      <c r="BK130" s="467"/>
      <c r="BL130" s="467"/>
      <c r="BM130" s="467"/>
      <c r="BN130" s="467"/>
      <c r="CA130" s="620" t="str">
        <f t="shared" si="84"/>
        <v/>
      </c>
      <c r="CB130" s="620" t="str">
        <f t="shared" si="85"/>
        <v/>
      </c>
      <c r="CC130" s="620" t="str">
        <f>IF(AND($C130&lt;&gt;0,J130=""),"* No olvide ingresar la variable Migrantes "&amp;J$127&amp;""&amp;". Digite Cero si no tiene.",IF(J130&gt;$C130,"* La variable Migrantes "&amp;J$127&amp;""&amp;" no puede superar el Total de Gestantes en control con resultado 1° VIH. ",""))</f>
        <v/>
      </c>
      <c r="CD130" s="620" t="str">
        <f t="shared" si="86"/>
        <v/>
      </c>
      <c r="CN130" s="501">
        <f t="shared" si="87"/>
        <v>0</v>
      </c>
      <c r="CO130" s="501">
        <f t="shared" ref="CO130:CO135" si="89">IF(AND($D130&lt;&gt;0,I130=""),1,IF(I130&gt;$D130,1,0))</f>
        <v>0</v>
      </c>
      <c r="CP130" s="501">
        <f>IF(AND($C130&lt;&gt;0,J130=""),1,IF(J130&gt;$C130,1,0))</f>
        <v>0</v>
      </c>
      <c r="CQ130" s="501">
        <f t="shared" si="88"/>
        <v>0</v>
      </c>
    </row>
    <row r="131" spans="1:95" ht="15" customHeight="1" x14ac:dyDescent="0.15">
      <c r="A131" s="737" t="s">
        <v>165</v>
      </c>
      <c r="B131" s="738"/>
      <c r="C131" s="739"/>
      <c r="D131" s="740"/>
      <c r="E131" s="741"/>
      <c r="F131" s="742"/>
      <c r="G131" s="740"/>
      <c r="H131" s="741"/>
      <c r="I131" s="743"/>
      <c r="J131" s="739"/>
      <c r="K131" s="743"/>
      <c r="L131" s="470" t="str">
        <f t="shared" si="83"/>
        <v/>
      </c>
      <c r="M131" s="727"/>
      <c r="N131" s="727"/>
      <c r="O131" s="727"/>
      <c r="P131" s="727"/>
      <c r="Q131" s="727"/>
      <c r="S131" s="472"/>
      <c r="T131" s="472"/>
      <c r="U131" s="472"/>
      <c r="X131" s="470"/>
      <c r="Y131" s="470"/>
      <c r="Z131" s="470"/>
      <c r="AA131" s="470"/>
      <c r="AB131" s="470"/>
      <c r="AC131" s="471"/>
      <c r="BJ131" s="467"/>
      <c r="BK131" s="467"/>
      <c r="BL131" s="467"/>
      <c r="BM131" s="467"/>
      <c r="BN131" s="467"/>
      <c r="CA131" s="620" t="str">
        <f t="shared" si="84"/>
        <v/>
      </c>
      <c r="CB131" s="620" t="str">
        <f t="shared" si="85"/>
        <v/>
      </c>
      <c r="CC131" s="620" t="str">
        <f t="shared" ref="CC131:CC136" si="90">IF(AND($C131&lt;&gt;0,J131=""),"* No olvide ingresar la variable Migrantes "&amp;J$127&amp;""&amp;". Digite Cero si no tiene.",IF(J131&gt;$C131,"* La variable Migrantes "&amp;J$127&amp;""&amp;" no puede superar el Total de Gestantes en control con resultado 1° VIH. ",""))</f>
        <v/>
      </c>
      <c r="CD131" s="620" t="str">
        <f t="shared" si="86"/>
        <v/>
      </c>
      <c r="CN131" s="501">
        <f t="shared" si="87"/>
        <v>0</v>
      </c>
      <c r="CO131" s="501">
        <f t="shared" si="89"/>
        <v>0</v>
      </c>
      <c r="CP131" s="501">
        <f t="shared" ref="CP131:CP135" si="91">IF(AND($C131&lt;&gt;0,J131=""),1,IF(J131&gt;$C131,1,0))</f>
        <v>0</v>
      </c>
      <c r="CQ131" s="501">
        <f t="shared" si="88"/>
        <v>0</v>
      </c>
    </row>
    <row r="132" spans="1:95" ht="15" customHeight="1" x14ac:dyDescent="0.15">
      <c r="A132" s="737" t="s">
        <v>166</v>
      </c>
      <c r="B132" s="738"/>
      <c r="C132" s="739"/>
      <c r="D132" s="740"/>
      <c r="E132" s="741"/>
      <c r="F132" s="742"/>
      <c r="G132" s="740"/>
      <c r="H132" s="741"/>
      <c r="I132" s="743"/>
      <c r="J132" s="739"/>
      <c r="K132" s="743"/>
      <c r="L132" s="470" t="str">
        <f t="shared" si="83"/>
        <v/>
      </c>
      <c r="M132" s="727"/>
      <c r="N132" s="727"/>
      <c r="O132" s="727"/>
      <c r="P132" s="727"/>
      <c r="Q132" s="727"/>
      <c r="S132" s="472"/>
      <c r="T132" s="472"/>
      <c r="U132" s="472"/>
      <c r="X132" s="470"/>
      <c r="Y132" s="470"/>
      <c r="Z132" s="470"/>
      <c r="AA132" s="470"/>
      <c r="AB132" s="470"/>
      <c r="AC132" s="471"/>
      <c r="BJ132" s="467"/>
      <c r="BK132" s="467"/>
      <c r="BL132" s="467"/>
      <c r="BM132" s="467"/>
      <c r="BN132" s="467"/>
      <c r="CA132" s="620" t="str">
        <f t="shared" si="84"/>
        <v/>
      </c>
      <c r="CB132" s="620" t="str">
        <f t="shared" si="85"/>
        <v/>
      </c>
      <c r="CC132" s="620" t="str">
        <f t="shared" si="90"/>
        <v/>
      </c>
      <c r="CD132" s="620" t="str">
        <f t="shared" si="86"/>
        <v/>
      </c>
      <c r="CN132" s="501">
        <f t="shared" si="87"/>
        <v>0</v>
      </c>
      <c r="CO132" s="501">
        <f t="shared" si="89"/>
        <v>0</v>
      </c>
      <c r="CP132" s="501">
        <f t="shared" si="91"/>
        <v>0</v>
      </c>
      <c r="CQ132" s="501">
        <f t="shared" si="88"/>
        <v>0</v>
      </c>
    </row>
    <row r="133" spans="1:95" ht="15" customHeight="1" x14ac:dyDescent="0.15">
      <c r="A133" s="737" t="s">
        <v>167</v>
      </c>
      <c r="B133" s="738"/>
      <c r="C133" s="739"/>
      <c r="D133" s="740"/>
      <c r="E133" s="741"/>
      <c r="F133" s="742"/>
      <c r="G133" s="740"/>
      <c r="H133" s="741"/>
      <c r="I133" s="743"/>
      <c r="J133" s="739"/>
      <c r="K133" s="743"/>
      <c r="L133" s="470" t="str">
        <f t="shared" si="83"/>
        <v/>
      </c>
      <c r="M133" s="727"/>
      <c r="N133" s="727"/>
      <c r="O133" s="727"/>
      <c r="P133" s="727"/>
      <c r="Q133" s="727"/>
      <c r="S133" s="472"/>
      <c r="T133" s="472"/>
      <c r="U133" s="472"/>
      <c r="X133" s="470"/>
      <c r="Y133" s="470"/>
      <c r="Z133" s="470"/>
      <c r="AA133" s="470"/>
      <c r="AB133" s="470"/>
      <c r="AC133" s="471"/>
      <c r="BJ133" s="467"/>
      <c r="BK133" s="467"/>
      <c r="BL133" s="467"/>
      <c r="BM133" s="467"/>
      <c r="BN133" s="467"/>
      <c r="CA133" s="620" t="str">
        <f t="shared" si="84"/>
        <v/>
      </c>
      <c r="CB133" s="620" t="str">
        <f t="shared" si="85"/>
        <v/>
      </c>
      <c r="CC133" s="620" t="str">
        <f t="shared" si="90"/>
        <v/>
      </c>
      <c r="CD133" s="620" t="str">
        <f t="shared" si="86"/>
        <v/>
      </c>
      <c r="CN133" s="501">
        <f t="shared" si="87"/>
        <v>0</v>
      </c>
      <c r="CO133" s="501">
        <f t="shared" si="89"/>
        <v>0</v>
      </c>
      <c r="CP133" s="501">
        <f t="shared" si="91"/>
        <v>0</v>
      </c>
      <c r="CQ133" s="501">
        <f t="shared" si="88"/>
        <v>0</v>
      </c>
    </row>
    <row r="134" spans="1:95" ht="15" customHeight="1" x14ac:dyDescent="0.15">
      <c r="A134" s="737" t="s">
        <v>168</v>
      </c>
      <c r="B134" s="738"/>
      <c r="C134" s="739"/>
      <c r="D134" s="740"/>
      <c r="E134" s="741"/>
      <c r="F134" s="742"/>
      <c r="G134" s="740"/>
      <c r="H134" s="741"/>
      <c r="I134" s="743"/>
      <c r="J134" s="739"/>
      <c r="K134" s="743"/>
      <c r="L134" s="470" t="str">
        <f t="shared" si="83"/>
        <v/>
      </c>
      <c r="M134" s="727"/>
      <c r="N134" s="727"/>
      <c r="O134" s="727"/>
      <c r="P134" s="727"/>
      <c r="Q134" s="727"/>
      <c r="S134" s="472"/>
      <c r="T134" s="472"/>
      <c r="U134" s="472"/>
      <c r="X134" s="470"/>
      <c r="Y134" s="470"/>
      <c r="Z134" s="470"/>
      <c r="AA134" s="470"/>
      <c r="AB134" s="470"/>
      <c r="AC134" s="471"/>
      <c r="BJ134" s="467"/>
      <c r="BK134" s="467"/>
      <c r="BL134" s="467"/>
      <c r="BM134" s="467"/>
      <c r="BN134" s="467"/>
      <c r="CA134" s="620" t="str">
        <f t="shared" si="84"/>
        <v/>
      </c>
      <c r="CB134" s="620" t="str">
        <f t="shared" si="85"/>
        <v/>
      </c>
      <c r="CC134" s="620" t="str">
        <f t="shared" si="90"/>
        <v/>
      </c>
      <c r="CD134" s="620" t="str">
        <f t="shared" si="86"/>
        <v/>
      </c>
      <c r="CN134" s="501">
        <f t="shared" si="87"/>
        <v>0</v>
      </c>
      <c r="CO134" s="501">
        <f t="shared" si="89"/>
        <v>0</v>
      </c>
      <c r="CP134" s="501">
        <f t="shared" si="91"/>
        <v>0</v>
      </c>
      <c r="CQ134" s="501">
        <f t="shared" si="88"/>
        <v>0</v>
      </c>
    </row>
    <row r="135" spans="1:95" ht="15" customHeight="1" x14ac:dyDescent="0.15">
      <c r="A135" s="737" t="s">
        <v>169</v>
      </c>
      <c r="B135" s="738"/>
      <c r="C135" s="739"/>
      <c r="D135" s="740"/>
      <c r="E135" s="741"/>
      <c r="F135" s="742"/>
      <c r="G135" s="740"/>
      <c r="H135" s="741"/>
      <c r="I135" s="743"/>
      <c r="J135" s="739"/>
      <c r="K135" s="743"/>
      <c r="L135" s="470" t="str">
        <f t="shared" si="83"/>
        <v/>
      </c>
      <c r="M135" s="727"/>
      <c r="N135" s="727"/>
      <c r="O135" s="727"/>
      <c r="P135" s="727"/>
      <c r="Q135" s="727"/>
      <c r="S135" s="472"/>
      <c r="T135" s="472"/>
      <c r="U135" s="472"/>
      <c r="X135" s="470"/>
      <c r="Y135" s="470"/>
      <c r="Z135" s="470"/>
      <c r="AA135" s="470"/>
      <c r="AB135" s="470"/>
      <c r="AC135" s="471"/>
      <c r="BJ135" s="467"/>
      <c r="BK135" s="467"/>
      <c r="BL135" s="467"/>
      <c r="BM135" s="467"/>
      <c r="BN135" s="467"/>
      <c r="CA135" s="620" t="str">
        <f t="shared" si="84"/>
        <v/>
      </c>
      <c r="CB135" s="620" t="str">
        <f t="shared" si="85"/>
        <v/>
      </c>
      <c r="CC135" s="620" t="str">
        <f t="shared" si="90"/>
        <v/>
      </c>
      <c r="CD135" s="620" t="str">
        <f t="shared" si="86"/>
        <v/>
      </c>
      <c r="CN135" s="501">
        <f t="shared" si="87"/>
        <v>0</v>
      </c>
      <c r="CO135" s="501">
        <f t="shared" si="89"/>
        <v>0</v>
      </c>
      <c r="CP135" s="501">
        <f t="shared" si="91"/>
        <v>0</v>
      </c>
      <c r="CQ135" s="501">
        <f t="shared" si="88"/>
        <v>0</v>
      </c>
    </row>
    <row r="136" spans="1:95" ht="15" customHeight="1" x14ac:dyDescent="0.15">
      <c r="A136" s="744" t="s">
        <v>170</v>
      </c>
      <c r="B136" s="745"/>
      <c r="C136" s="746"/>
      <c r="D136" s="747"/>
      <c r="E136" s="748"/>
      <c r="F136" s="749"/>
      <c r="G136" s="747"/>
      <c r="H136" s="748"/>
      <c r="I136" s="750"/>
      <c r="J136" s="746"/>
      <c r="K136" s="750"/>
      <c r="L136" s="470" t="str">
        <f t="shared" si="83"/>
        <v/>
      </c>
      <c r="M136" s="727"/>
      <c r="N136" s="727"/>
      <c r="O136" s="727"/>
      <c r="P136" s="727"/>
      <c r="Q136" s="727"/>
      <c r="S136" s="472"/>
      <c r="T136" s="472"/>
      <c r="U136" s="472"/>
      <c r="X136" s="470"/>
      <c r="Y136" s="470"/>
      <c r="Z136" s="470"/>
      <c r="AA136" s="470"/>
      <c r="AB136" s="470"/>
      <c r="AC136" s="471"/>
      <c r="BJ136" s="467"/>
      <c r="BK136" s="467"/>
      <c r="BL136" s="467"/>
      <c r="BM136" s="467"/>
      <c r="BN136" s="467"/>
      <c r="CA136" s="620" t="str">
        <f>IF(AND($C136&lt;&gt;0,H136=""),"* No olvide ingresar la variable Pueblos Originarios "&amp;H$127&amp;""&amp;". Digite Cero si no tiene.",IF(H136&gt;$C136,"* La variable Pueblos Originarios "&amp;H$127&amp;""&amp;" no puede superar el Total de Gestantes en control con resultado 1° VIH. ",""))</f>
        <v/>
      </c>
      <c r="CB136" s="620" t="str">
        <f t="shared" si="85"/>
        <v/>
      </c>
      <c r="CC136" s="620" t="str">
        <f t="shared" si="90"/>
        <v/>
      </c>
      <c r="CD136" s="620" t="str">
        <f t="shared" si="86"/>
        <v/>
      </c>
      <c r="CN136" s="501">
        <f>IF(AND($C136&lt;&gt;0,H136=""),1,IF(H136&gt;$C136,1,0))</f>
        <v>0</v>
      </c>
      <c r="CO136" s="501">
        <f>IF(AND($D136&lt;&gt;0,I136=""),1,IF(I136&gt;$D136,1,0))</f>
        <v>0</v>
      </c>
      <c r="CP136" s="501">
        <f>IF(AND($C136&lt;&gt;0,J136=""),1,IF(J136&gt;$C136,1,0))</f>
        <v>0</v>
      </c>
      <c r="CQ136" s="501">
        <f>IF(AND($D136&lt;&gt;0,K136=""),1,IF(K136&gt;$D136,1,0))</f>
        <v>0</v>
      </c>
    </row>
    <row r="137" spans="1:95" ht="15" customHeight="1" x14ac:dyDescent="0.15">
      <c r="A137" s="751" t="s">
        <v>89</v>
      </c>
      <c r="B137" s="752">
        <f>SUM(B128:B136)</f>
        <v>0</v>
      </c>
      <c r="C137" s="753">
        <f t="shared" ref="C137:G137" si="92">SUM(C128:C136)</f>
        <v>0</v>
      </c>
      <c r="D137" s="754">
        <f t="shared" si="92"/>
        <v>0</v>
      </c>
      <c r="E137" s="755">
        <f t="shared" si="92"/>
        <v>0</v>
      </c>
      <c r="F137" s="756">
        <f t="shared" si="92"/>
        <v>0</v>
      </c>
      <c r="G137" s="757">
        <f t="shared" si="92"/>
        <v>0</v>
      </c>
      <c r="H137" s="758">
        <f t="shared" ref="H137:I137" si="93">SUM(H128:H136)</f>
        <v>0</v>
      </c>
      <c r="I137" s="759">
        <f t="shared" si="93"/>
        <v>0</v>
      </c>
      <c r="J137" s="753">
        <f t="shared" ref="J137:K137" si="94">SUM(J128:J136)</f>
        <v>0</v>
      </c>
      <c r="K137" s="759">
        <f t="shared" si="94"/>
        <v>0</v>
      </c>
      <c r="L137" s="727"/>
      <c r="M137" s="727"/>
      <c r="N137" s="727"/>
      <c r="O137" s="727"/>
      <c r="P137" s="727"/>
      <c r="Q137" s="727"/>
      <c r="S137" s="472"/>
      <c r="T137" s="472"/>
      <c r="U137" s="472"/>
      <c r="X137" s="470"/>
      <c r="Y137" s="470"/>
      <c r="Z137" s="470"/>
      <c r="AA137" s="470"/>
      <c r="AB137" s="470"/>
      <c r="AC137" s="471"/>
      <c r="BJ137" s="467"/>
      <c r="BK137" s="467"/>
      <c r="BL137" s="467"/>
      <c r="BM137" s="467"/>
      <c r="BN137" s="467"/>
      <c r="CA137" s="471"/>
      <c r="CB137" s="471"/>
      <c r="CC137" s="471"/>
      <c r="CD137" s="471"/>
    </row>
    <row r="138" spans="1:95" ht="15" customHeight="1" x14ac:dyDescent="0.15">
      <c r="A138" s="751" t="s">
        <v>182</v>
      </c>
      <c r="B138" s="760"/>
      <c r="C138" s="761"/>
      <c r="D138" s="762"/>
      <c r="E138" s="763"/>
      <c r="F138" s="764"/>
      <c r="G138" s="762"/>
      <c r="H138" s="765"/>
      <c r="I138" s="766"/>
      <c r="J138" s="761"/>
      <c r="K138" s="766"/>
      <c r="L138" s="470" t="str">
        <f t="shared" si="83"/>
        <v/>
      </c>
      <c r="M138" s="727"/>
      <c r="N138" s="727"/>
      <c r="O138" s="727"/>
      <c r="P138" s="727"/>
      <c r="Q138" s="727"/>
      <c r="S138" s="472"/>
      <c r="T138" s="472"/>
      <c r="U138" s="472"/>
      <c r="X138" s="470"/>
      <c r="Y138" s="470"/>
      <c r="Z138" s="470"/>
      <c r="AA138" s="470"/>
      <c r="AB138" s="470"/>
      <c r="AC138" s="471"/>
      <c r="BJ138" s="467"/>
      <c r="BK138" s="467"/>
      <c r="BL138" s="467"/>
      <c r="BM138" s="467"/>
      <c r="BN138" s="467"/>
      <c r="CA138" s="620" t="str">
        <f>IF(AND($C138&lt;&gt;0,H138=""),"* No olvide ingresar la variable Pueblos Originarios "&amp;H$127&amp;""&amp;". Digite Cero si no tiene.",IF(H138&gt;$C138,"* La variable Pueblos Originarios "&amp;H$127&amp;""&amp;" no puede superar el Total de Gestantes en control con resultado 1° VIH. ",""))</f>
        <v/>
      </c>
      <c r="CB138" s="620" t="str">
        <f t="shared" ref="CB138" si="95">IF(AND($D138&lt;&gt;0,I138=""),"* No olvide ingresar la variable Pueblos Originarios "&amp;I$127&amp;""&amp;". Digite Cero si no tiene.",IF(I138&gt;$D138,"* La variable Pueblos Originarios "&amp;I$127&amp;""&amp;" no puede superar el Total de Gestantes en control con resultado 1° VIH. ",""))</f>
        <v/>
      </c>
      <c r="CC138" s="620" t="str">
        <f t="shared" ref="CC138" si="96">IF(AND($C138&lt;&gt;0,J138=""),"* No olvide ingresar la variable Migrantes "&amp;J$127&amp;""&amp;". Digite Cero si no tiene.",IF(J138&gt;$C138,"* La variable Migrantes "&amp;J$127&amp;""&amp;" no puede superar el Total de Gestantes en control con resultado 1° VIH. ",""))</f>
        <v/>
      </c>
      <c r="CD138" s="620" t="str">
        <f t="shared" ref="CD138" si="97">IF(AND($D138&lt;&gt;0,K138=""),"* No olvide ingresar la variable Migrantes "&amp;K$127&amp;""&amp;". Digite Cero si no tiene.",IF(K138&gt;$D138,"* La variable Migrantes de Gestantes "&amp;K$127&amp;""&amp;" no puede superar el Total de Gestantes en control con resultado 1° VIH. ",""))</f>
        <v/>
      </c>
      <c r="CN138" s="501">
        <f>IF(AND($C138&lt;&gt;0,H138=""),1,IF(H138&gt;$C138,1,0))</f>
        <v>0</v>
      </c>
      <c r="CO138" s="501">
        <f>IF(AND($D138&lt;&gt;0,I138=""),1,IF(I138&gt;$D138,1,0))</f>
        <v>0</v>
      </c>
      <c r="CP138" s="501">
        <f>IF(AND($C138&lt;&gt;0,J138=""),1,IF(J138&gt;$C138,1,0))</f>
        <v>0</v>
      </c>
      <c r="CQ138" s="501">
        <f>IF(AND($D138&lt;&gt;0,K138=""),1,IF(K138&gt;$D138,1,0))</f>
        <v>0</v>
      </c>
    </row>
    <row r="139" spans="1:95" ht="17.100000000000001" customHeight="1" x14ac:dyDescent="0.15">
      <c r="A139" s="767" t="s">
        <v>183</v>
      </c>
      <c r="B139" s="768"/>
      <c r="C139" s="768"/>
      <c r="D139" s="768"/>
      <c r="E139" s="768"/>
      <c r="F139" s="768"/>
      <c r="G139" s="768"/>
      <c r="H139" s="768"/>
      <c r="N139" s="472"/>
      <c r="O139" s="472"/>
      <c r="P139" s="472"/>
    </row>
    <row r="140" spans="1:95" ht="17.100000000000001" customHeight="1" x14ac:dyDescent="0.15">
      <c r="A140" s="1794" t="s">
        <v>184</v>
      </c>
      <c r="B140" s="1795"/>
      <c r="C140" s="1795"/>
      <c r="D140" s="678"/>
      <c r="E140" s="678"/>
      <c r="F140" s="678"/>
      <c r="G140" s="678"/>
      <c r="H140" s="678"/>
      <c r="N140" s="472"/>
      <c r="O140" s="472"/>
      <c r="P140" s="472"/>
    </row>
    <row r="141" spans="1:95" ht="15" customHeight="1" x14ac:dyDescent="0.15">
      <c r="A141" s="632" t="s">
        <v>185</v>
      </c>
      <c r="B141" s="632" t="s">
        <v>49</v>
      </c>
      <c r="C141" s="769"/>
      <c r="D141" s="770"/>
      <c r="E141" s="472"/>
      <c r="F141" s="472"/>
      <c r="G141" s="472"/>
      <c r="H141" s="771"/>
      <c r="N141" s="472"/>
      <c r="O141" s="472"/>
      <c r="P141" s="472"/>
    </row>
    <row r="142" spans="1:95" ht="15" customHeight="1" x14ac:dyDescent="0.15">
      <c r="A142" s="772" t="s">
        <v>186</v>
      </c>
      <c r="B142" s="619"/>
      <c r="D142" s="773"/>
      <c r="E142" s="472"/>
      <c r="F142" s="472"/>
      <c r="G142" s="472"/>
      <c r="N142" s="472"/>
    </row>
    <row r="143" spans="1:95" ht="15" customHeight="1" x14ac:dyDescent="0.15">
      <c r="A143" s="774" t="s">
        <v>187</v>
      </c>
      <c r="B143" s="653"/>
      <c r="E143" s="775"/>
      <c r="F143" s="472"/>
      <c r="G143" s="472"/>
      <c r="N143" s="472"/>
    </row>
    <row r="144" spans="1:95" ht="21" customHeight="1" x14ac:dyDescent="0.15">
      <c r="A144" s="776" t="s">
        <v>188</v>
      </c>
      <c r="B144" s="653"/>
      <c r="D144" s="773"/>
      <c r="E144" s="472"/>
      <c r="F144" s="472"/>
      <c r="G144" s="472"/>
    </row>
    <row r="145" spans="1:8" ht="15" customHeight="1" x14ac:dyDescent="0.15">
      <c r="A145" s="774" t="s">
        <v>189</v>
      </c>
      <c r="B145" s="653"/>
      <c r="D145" s="773"/>
      <c r="E145" s="472"/>
      <c r="F145" s="472"/>
      <c r="G145" s="472"/>
    </row>
    <row r="146" spans="1:8" ht="15" customHeight="1" x14ac:dyDescent="0.15">
      <c r="A146" s="774" t="s">
        <v>190</v>
      </c>
      <c r="B146" s="653"/>
      <c r="D146" s="472"/>
      <c r="E146" s="472"/>
    </row>
    <row r="147" spans="1:8" ht="15" customHeight="1" x14ac:dyDescent="0.15">
      <c r="A147" s="774" t="s">
        <v>191</v>
      </c>
      <c r="B147" s="653"/>
      <c r="D147" s="773"/>
      <c r="E147" s="472"/>
      <c r="F147" s="472"/>
      <c r="G147" s="472"/>
    </row>
    <row r="148" spans="1:8" ht="15" customHeight="1" x14ac:dyDescent="0.15">
      <c r="A148" s="774" t="s">
        <v>192</v>
      </c>
      <c r="B148" s="653"/>
      <c r="D148" s="773"/>
      <c r="E148" s="472"/>
      <c r="F148" s="472"/>
      <c r="G148" s="472"/>
    </row>
    <row r="149" spans="1:8" ht="15" customHeight="1" x14ac:dyDescent="0.15">
      <c r="A149" s="774" t="s">
        <v>193</v>
      </c>
      <c r="B149" s="653"/>
      <c r="D149" s="773"/>
      <c r="E149" s="472"/>
      <c r="F149" s="472"/>
      <c r="G149" s="472"/>
    </row>
    <row r="150" spans="1:8" ht="15" customHeight="1" x14ac:dyDescent="0.15">
      <c r="A150" s="774" t="s">
        <v>194</v>
      </c>
      <c r="B150" s="653"/>
      <c r="D150" s="773"/>
      <c r="E150" s="472"/>
      <c r="F150" s="472"/>
      <c r="G150" s="472"/>
    </row>
    <row r="151" spans="1:8" ht="15" customHeight="1" x14ac:dyDescent="0.15">
      <c r="A151" s="774" t="s">
        <v>195</v>
      </c>
      <c r="B151" s="653"/>
      <c r="D151" s="773"/>
      <c r="E151" s="472"/>
      <c r="F151" s="472"/>
      <c r="G151" s="472"/>
    </row>
    <row r="152" spans="1:8" ht="15" customHeight="1" x14ac:dyDescent="0.15">
      <c r="A152" s="774" t="s">
        <v>196</v>
      </c>
      <c r="B152" s="653"/>
      <c r="D152" s="773"/>
      <c r="E152" s="472"/>
      <c r="F152" s="472"/>
      <c r="G152" s="472"/>
    </row>
    <row r="153" spans="1:8" ht="15" customHeight="1" x14ac:dyDescent="0.15">
      <c r="A153" s="774" t="s">
        <v>197</v>
      </c>
      <c r="B153" s="653"/>
      <c r="D153" s="773"/>
      <c r="E153" s="472"/>
      <c r="F153" s="472"/>
      <c r="G153" s="472"/>
    </row>
    <row r="154" spans="1:8" ht="15" customHeight="1" x14ac:dyDescent="0.15">
      <c r="A154" s="774" t="s">
        <v>198</v>
      </c>
      <c r="B154" s="653"/>
      <c r="D154" s="773"/>
      <c r="E154" s="472"/>
      <c r="F154" s="472"/>
      <c r="G154" s="472"/>
    </row>
    <row r="155" spans="1:8" ht="15" customHeight="1" x14ac:dyDescent="0.15">
      <c r="A155" s="774" t="s">
        <v>199</v>
      </c>
      <c r="B155" s="653"/>
      <c r="D155" s="773"/>
      <c r="E155" s="472"/>
      <c r="F155" s="472"/>
      <c r="G155" s="472"/>
    </row>
    <row r="156" spans="1:8" ht="15" customHeight="1" x14ac:dyDescent="0.15">
      <c r="A156" s="774" t="s">
        <v>200</v>
      </c>
      <c r="B156" s="653"/>
      <c r="D156" s="773"/>
      <c r="E156" s="472"/>
      <c r="F156" s="472"/>
      <c r="G156" s="472"/>
    </row>
    <row r="157" spans="1:8" ht="15" customHeight="1" x14ac:dyDescent="0.15">
      <c r="A157" s="774" t="s">
        <v>201</v>
      </c>
      <c r="B157" s="653"/>
      <c r="D157" s="773"/>
      <c r="E157" s="472"/>
      <c r="F157" s="472"/>
      <c r="G157" s="472"/>
    </row>
    <row r="158" spans="1:8" ht="15" customHeight="1" x14ac:dyDescent="0.15">
      <c r="A158" s="774" t="s">
        <v>202</v>
      </c>
      <c r="B158" s="653"/>
      <c r="D158" s="773"/>
      <c r="E158" s="472"/>
      <c r="F158" s="472"/>
      <c r="G158" s="472"/>
    </row>
    <row r="159" spans="1:8" ht="15" customHeight="1" x14ac:dyDescent="0.15">
      <c r="A159" s="777" t="s">
        <v>203</v>
      </c>
      <c r="B159" s="778"/>
      <c r="D159" s="773"/>
      <c r="E159" s="472"/>
      <c r="F159" s="472"/>
      <c r="G159" s="472"/>
      <c r="H159" s="472"/>
    </row>
    <row r="160" spans="1:8" ht="15" customHeight="1" x14ac:dyDescent="0.15">
      <c r="A160" s="779" t="s">
        <v>89</v>
      </c>
      <c r="B160" s="603">
        <f>SUM(B142:B159)</f>
        <v>0</v>
      </c>
      <c r="C160" s="780"/>
    </row>
    <row r="161" spans="1:12" ht="15.75" customHeight="1" x14ac:dyDescent="0.15"/>
    <row r="163" spans="1:12" ht="10.5" customHeight="1" x14ac:dyDescent="0.15"/>
    <row r="164" spans="1:12" ht="9" customHeight="1" x14ac:dyDescent="0.15"/>
    <row r="171" spans="1:12" ht="13.5" customHeight="1" x14ac:dyDescent="0.15"/>
    <row r="172" spans="1:12" ht="23.25" hidden="1" customHeight="1" x14ac:dyDescent="0.15">
      <c r="A172" s="781">
        <f>SUM(C11:C24,C26:C31,C35:C40,B44:F52,B57:B60,D57:D60,C65:C68,C70:C73,B77:B81,B84:C91,C96:C102,B106:E114,B116:E116,C120:C123,B128:G136,C138:D138,F138:G138,B142:B159)</f>
        <v>0</v>
      </c>
      <c r="B172" s="782" t="s">
        <v>204</v>
      </c>
      <c r="C172" s="783"/>
      <c r="D172" s="783"/>
      <c r="E172" s="783"/>
      <c r="F172" s="783"/>
      <c r="G172" s="783"/>
      <c r="H172" s="783"/>
      <c r="I172" s="783"/>
      <c r="J172" s="783"/>
      <c r="K172" s="783"/>
      <c r="L172" s="783"/>
    </row>
    <row r="173" spans="1:12" ht="25.5" hidden="1" customHeight="1" x14ac:dyDescent="0.15">
      <c r="A173" s="781">
        <f>SUM(CN11:CY138)</f>
        <v>0</v>
      </c>
      <c r="B173" s="782" t="s">
        <v>205</v>
      </c>
      <c r="C173" s="783"/>
      <c r="D173" s="783"/>
      <c r="E173" s="783"/>
      <c r="F173" s="783"/>
      <c r="G173" s="783"/>
      <c r="H173" s="783"/>
      <c r="I173" s="783"/>
      <c r="J173" s="783"/>
      <c r="K173" s="783"/>
      <c r="L173" s="783"/>
    </row>
  </sheetData>
  <sheetProtection algorithmName="SHA-512" hashValue="NWNDSX4QS66zBUzVJ4GOO81KFXZnhPhkgR8UNFwfGO8KSrg+N2OwF9bmGZz2qxyyYAfhAa/6Z+PjUmgKCI+DBg==" saltValue="o1B40JtHMeO+0IIlT4PJGw==" spinCount="100000" sheet="1" objects="1" scenarios="1"/>
  <mergeCells count="93">
    <mergeCell ref="D63:L63"/>
    <mergeCell ref="A102:B102"/>
    <mergeCell ref="A118:A119"/>
    <mergeCell ref="C118:C119"/>
    <mergeCell ref="A100:B100"/>
    <mergeCell ref="A101:B101"/>
    <mergeCell ref="D118:L118"/>
    <mergeCell ref="J94:J95"/>
    <mergeCell ref="D94:H94"/>
    <mergeCell ref="A92:B92"/>
    <mergeCell ref="A63:A64"/>
    <mergeCell ref="B63:B64"/>
    <mergeCell ref="C63:C64"/>
    <mergeCell ref="A65:A69"/>
    <mergeCell ref="A70:A74"/>
    <mergeCell ref="A62:L62"/>
    <mergeCell ref="H42:H43"/>
    <mergeCell ref="A55:A56"/>
    <mergeCell ref="A7:G7"/>
    <mergeCell ref="F42:F43"/>
    <mergeCell ref="E42:E43"/>
    <mergeCell ref="A42:A43"/>
    <mergeCell ref="B42:B43"/>
    <mergeCell ref="A35:A36"/>
    <mergeCell ref="A39:B39"/>
    <mergeCell ref="A27:A28"/>
    <mergeCell ref="D9:P9"/>
    <mergeCell ref="A13:A19"/>
    <mergeCell ref="A9:B10"/>
    <mergeCell ref="A33:B34"/>
    <mergeCell ref="C33:C34"/>
    <mergeCell ref="D33:P33"/>
    <mergeCell ref="A29:A30"/>
    <mergeCell ref="A24:B24"/>
    <mergeCell ref="A40:B40"/>
    <mergeCell ref="A22:A23"/>
    <mergeCell ref="C9:C10"/>
    <mergeCell ref="A11:B11"/>
    <mergeCell ref="A20:A21"/>
    <mergeCell ref="A25:B25"/>
    <mergeCell ref="A31:B31"/>
    <mergeCell ref="A26:B26"/>
    <mergeCell ref="G42:G43"/>
    <mergeCell ref="I42:J42"/>
    <mergeCell ref="K42:K43"/>
    <mergeCell ref="A37:A38"/>
    <mergeCell ref="B55:B56"/>
    <mergeCell ref="D42:D43"/>
    <mergeCell ref="D55:D56"/>
    <mergeCell ref="C42:C43"/>
    <mergeCell ref="C55:C56"/>
    <mergeCell ref="U9:W9"/>
    <mergeCell ref="X9:X10"/>
    <mergeCell ref="Q33:Q34"/>
    <mergeCell ref="T33:T34"/>
    <mergeCell ref="U33:W33"/>
    <mergeCell ref="X33:X34"/>
    <mergeCell ref="T9:T10"/>
    <mergeCell ref="R9:S9"/>
    <mergeCell ref="R33:S33"/>
    <mergeCell ref="Q9:Q10"/>
    <mergeCell ref="A6:P6"/>
    <mergeCell ref="A8:M8"/>
    <mergeCell ref="A32:M32"/>
    <mergeCell ref="A54:E54"/>
    <mergeCell ref="F126:F127"/>
    <mergeCell ref="G126:G127"/>
    <mergeCell ref="H126:I126"/>
    <mergeCell ref="J126:K126"/>
    <mergeCell ref="A126:A127"/>
    <mergeCell ref="B126:B127"/>
    <mergeCell ref="C126:C127"/>
    <mergeCell ref="D126:D127"/>
    <mergeCell ref="E126:E127"/>
    <mergeCell ref="D104:D105"/>
    <mergeCell ref="E104:E105"/>
    <mergeCell ref="A98:B98"/>
    <mergeCell ref="A125:G125"/>
    <mergeCell ref="A140:C140"/>
    <mergeCell ref="A75:C75"/>
    <mergeCell ref="A82:C82"/>
    <mergeCell ref="A93:H93"/>
    <mergeCell ref="A103:E103"/>
    <mergeCell ref="A117:L117"/>
    <mergeCell ref="A99:B99"/>
    <mergeCell ref="A96:B96"/>
    <mergeCell ref="A120:A124"/>
    <mergeCell ref="B118:B119"/>
    <mergeCell ref="B104:C104"/>
    <mergeCell ref="A104:A105"/>
    <mergeCell ref="A94:B95"/>
    <mergeCell ref="C94:C95"/>
    <mergeCell ref="I94:I95"/>
  </mergeCells>
  <phoneticPr fontId="26" type="noConversion"/>
  <dataValidations count="5">
    <dataValidation allowBlank="1" showInputMessage="1" showErrorMessage="1" errorTitle="Error de ingreso" error="Debe ingresar sólo números enteros positivos." sqref="B118:B119 D119:F119 R127:XFD138 B160:B1048576 A29 A20:A27 A106:A116 C9:C30 E10:P10 B25:B30 B76 S34 F103:XFD103 A139:A1048576 C141:C1048576 B20:B23 D9:D10 E34:P34 D69:Z69 A33:D34 X9:X10 U9 U33 X33:X34 B35:C43 A35:A104 B55:B56 J43 K42:K43 D74:L82 D94:H95 D55:D59 D104:E104 D61:D64 B9:B18 Q9:R10 T9:T10 S10 B115:E116 Q33:R34 T33:T34 E55:E64 D42:I43 D41:XFD41 B31:C31 G104:BY116 T32:X32 L138 M57:CI59 AJ69:CI69 CN69:XFD69 M77:CI79 L128:L136 CO84:XFD91 CJ85:CM85 G84:CM84 CN85:CN89 G86:CM91 G85:CE85 K96:CI102 B141 CN96:XFD102 B104:B105 B83:XFD83 M80:XFD82 M70:XFD76 M60:XFD68 CK57:XFD59 M54:XFD56 CA104:XFD116 L42:XFD53 CK77:XFD79 M117:XFD125 O126:XFD126 A1:A13 Q1:XFD8 B1:P5 N7:P8 B7:M7 A31:A32 B53:K53 F54:L64 B61:B74 C55:C74 C76:C81 I92:XFD95 B92:H92 B94:C102 D139:XFD1048576 B139:C139 Y9:CJ31 CS9:CS31 CP31:CQ31 CR26:CR31 Y32:XFD40 CK9:CR25 CY9:XFD31 CT9:CX30 CW31:CX31 CK26:CQ30" xr:uid="{00000000-0002-0000-0100-000000000000}"/>
    <dataValidation type="whole" operator="greaterThanOrEqual" allowBlank="1" showInputMessage="1" showErrorMessage="1" errorTitle="Error de ingreso" error="Debe ingresar sólo números enteros positivos." sqref="D35:X40 N32:S32 D11:X31" xr:uid="{00000000-0002-0000-0100-000001000000}">
      <formula1>0</formula1>
    </dataValidation>
    <dataValidation type="whole" operator="greaterThanOrEqual" allowBlank="1" showInputMessage="1" showErrorMessage="1" sqref="B57:B60 B44:K52 D65:L68 D70:L73 B77:B81 D96:J102 D120:L123 C138:D138 B142:B159 B128:K136 D60 B84:F91 B106:E114 F138:K138" xr:uid="{00000000-0002-0000-0100-000002000000}">
      <formula1>0</formula1>
    </dataValidation>
    <dataValidation type="whole" allowBlank="1" showInputMessage="1" showErrorMessage="1" sqref="B138" xr:uid="{4D5BD0B8-9E83-413B-8A49-CD63D694A1C4}">
      <formula1>0</formula1>
      <formula2>9.99999999999999E+32</formula2>
    </dataValidation>
    <dataValidation type="whole" allowBlank="1" showInputMessage="1" showErrorMessage="1" sqref="E138" xr:uid="{6B475CFE-16D1-4250-84E6-04DBFF0A2836}">
      <formula1>0</formula1>
      <formula2>9.99999999999999E+29</formula2>
    </dataValidation>
  </dataValidations>
  <printOptions gridLines="1"/>
  <pageMargins left="0.23622047244094491" right="0.23622047244094491" top="0.74803149606299213" bottom="0.74803149606299213" header="0.31496062992125984" footer="0.31496062992125984"/>
  <pageSetup scale="65" fitToHeight="0" orientation="landscape" r:id="rId1"/>
  <rowBreaks count="1" manualBreakCount="1">
    <brk id="61" max="12" man="1"/>
  </rowBreaks>
  <ignoredErrors>
    <ignoredError sqref="CO128 CO129:CO13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EU224"/>
  <sheetViews>
    <sheetView showGridLines="0" zoomScaleNormal="100" workbookViewId="0"/>
  </sheetViews>
  <sheetFormatPr baseColWidth="10" defaultColWidth="11.42578125" defaultRowHeight="15" x14ac:dyDescent="0.25"/>
  <cols>
    <col min="1" max="1" width="28.28515625" style="787" customWidth="1"/>
    <col min="2" max="2" width="39.85546875" style="787" customWidth="1"/>
    <col min="3" max="47" width="12.7109375" style="787" customWidth="1"/>
    <col min="48" max="48" width="10.42578125" style="787" customWidth="1"/>
    <col min="49" max="69" width="11.42578125" customWidth="1"/>
    <col min="70" max="73" width="10.42578125" style="470" customWidth="1"/>
    <col min="74" max="78" width="11.42578125" style="470" customWidth="1"/>
    <col min="79" max="89" width="10.42578125" style="470" hidden="1" customWidth="1"/>
    <col min="90" max="105" width="11.42578125" style="468" hidden="1" customWidth="1"/>
    <col min="106" max="115" width="10.42578125" style="470" hidden="1" customWidth="1"/>
    <col min="116" max="151" width="11.42578125" style="470" hidden="1" customWidth="1"/>
    <col min="152" max="164" width="11.42578125" style="470" customWidth="1"/>
    <col min="165" max="16384" width="11.42578125" style="470"/>
  </cols>
  <sheetData>
    <row r="1" spans="1:151" s="468" customFormat="1" ht="13.5" customHeight="1" x14ac:dyDescent="0.15">
      <c r="A1" s="466" t="s">
        <v>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466"/>
      <c r="V1" s="466"/>
      <c r="W1" s="466"/>
      <c r="X1" s="466"/>
      <c r="Y1" s="466"/>
      <c r="Z1" s="466"/>
      <c r="AA1" s="466"/>
      <c r="AB1" s="466"/>
      <c r="AC1" s="466"/>
      <c r="AD1" s="466"/>
      <c r="AE1" s="466"/>
      <c r="AF1" s="466"/>
      <c r="AG1" s="466"/>
      <c r="AH1" s="466"/>
      <c r="AI1" s="466"/>
      <c r="AJ1" s="466"/>
      <c r="AK1" s="466"/>
      <c r="AL1" s="466"/>
      <c r="AM1" s="466"/>
      <c r="AN1" s="466"/>
      <c r="AO1" s="466"/>
      <c r="AP1" s="466"/>
      <c r="AQ1" s="466"/>
      <c r="AR1" s="466"/>
      <c r="AS1" s="466"/>
      <c r="AT1" s="466"/>
      <c r="AU1" s="466"/>
      <c r="AV1" s="466"/>
      <c r="BR1" s="470"/>
      <c r="DB1" s="470"/>
      <c r="DC1" s="470"/>
      <c r="DD1" s="470"/>
      <c r="DE1" s="470"/>
      <c r="DF1" s="470"/>
      <c r="DG1" s="470"/>
      <c r="DH1" s="470"/>
      <c r="DI1" s="470"/>
      <c r="DJ1" s="470"/>
      <c r="DK1" s="470"/>
      <c r="DL1" s="470"/>
      <c r="DM1" s="470"/>
      <c r="DN1" s="470"/>
      <c r="DO1" s="470"/>
      <c r="DP1" s="470"/>
      <c r="DQ1" s="470"/>
      <c r="DR1" s="470"/>
      <c r="DS1" s="470"/>
      <c r="DT1" s="470"/>
      <c r="DU1" s="470"/>
      <c r="DV1" s="470"/>
      <c r="DW1" s="470"/>
      <c r="DX1" s="470"/>
      <c r="DY1" s="470"/>
      <c r="DZ1" s="470"/>
      <c r="EA1" s="470"/>
    </row>
    <row r="2" spans="1:151" s="468" customFormat="1" ht="13.5" customHeight="1" x14ac:dyDescent="0.15">
      <c r="A2" s="466" t="str">
        <f>CONCATENATE("COMUNA: ",NOMBRE!$B$2,"   ","( ",NOMBRE!$C$2,NOMBRE!$D$2,NOMBRE!$E$2,NOMBRE!$F$2,NOMBRE!$G$2," )")</f>
        <v>COMUNA:    (  )</v>
      </c>
      <c r="B2" s="466"/>
      <c r="C2" s="466"/>
      <c r="D2" s="469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BR2" s="470"/>
      <c r="DB2" s="470"/>
      <c r="DC2" s="470"/>
      <c r="DD2" s="470"/>
      <c r="DE2" s="470"/>
      <c r="DF2" s="470"/>
      <c r="DG2" s="470"/>
      <c r="DH2" s="470"/>
      <c r="DI2" s="470"/>
      <c r="DJ2" s="470"/>
      <c r="DK2" s="470"/>
      <c r="DL2" s="470"/>
      <c r="DM2" s="470"/>
      <c r="DN2" s="470"/>
      <c r="DO2" s="470"/>
      <c r="DP2" s="470"/>
      <c r="DQ2" s="470"/>
      <c r="DR2" s="470"/>
      <c r="DS2" s="470"/>
      <c r="DT2" s="470"/>
      <c r="DU2" s="470"/>
      <c r="DV2" s="470"/>
      <c r="DW2" s="470"/>
      <c r="DX2" s="470"/>
      <c r="DY2" s="470"/>
      <c r="DZ2" s="470"/>
      <c r="EA2" s="470"/>
    </row>
    <row r="3" spans="1:151" s="468" customFormat="1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6"/>
      <c r="AB3" s="466"/>
      <c r="AC3" s="466"/>
      <c r="AD3" s="466"/>
      <c r="AE3" s="466"/>
      <c r="AF3" s="466"/>
      <c r="AG3" s="466"/>
      <c r="AH3" s="466"/>
      <c r="AI3" s="466"/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BR3" s="470"/>
      <c r="DB3" s="470"/>
      <c r="DC3" s="470"/>
      <c r="DD3" s="470"/>
      <c r="DE3" s="470"/>
      <c r="DF3" s="470"/>
      <c r="DG3" s="470"/>
      <c r="DH3" s="470"/>
      <c r="DI3" s="470"/>
      <c r="DJ3" s="470"/>
      <c r="DK3" s="470"/>
      <c r="DL3" s="470"/>
      <c r="DM3" s="470"/>
      <c r="DN3" s="470"/>
      <c r="DO3" s="470"/>
      <c r="DP3" s="470"/>
      <c r="DQ3" s="470"/>
      <c r="DR3" s="470"/>
      <c r="DS3" s="470"/>
      <c r="DT3" s="470"/>
      <c r="DU3" s="470"/>
      <c r="DV3" s="470"/>
      <c r="DW3" s="470"/>
      <c r="DX3" s="470"/>
      <c r="DY3" s="470"/>
      <c r="DZ3" s="470"/>
      <c r="EA3" s="470"/>
    </row>
    <row r="4" spans="1:151" s="468" customFormat="1" ht="13.5" customHeight="1" x14ac:dyDescent="0.15">
      <c r="A4" s="466" t="str">
        <f>CONCATENATE("MES: ",NOMBRE!$B$6,"   ","( ",NOMBRE!$C$6,NOMBRE!$D$6," )")</f>
        <v>MES:    (  )</v>
      </c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BR4" s="470"/>
      <c r="DB4" s="470"/>
      <c r="DC4" s="470"/>
      <c r="DD4" s="470"/>
      <c r="DE4" s="470"/>
      <c r="DF4" s="470"/>
      <c r="DG4" s="470"/>
      <c r="DH4" s="470"/>
      <c r="DI4" s="470"/>
      <c r="DJ4" s="470"/>
      <c r="DK4" s="470"/>
      <c r="DL4" s="470"/>
      <c r="DM4" s="470"/>
      <c r="DN4" s="470"/>
      <c r="DO4" s="470"/>
      <c r="DP4" s="470"/>
      <c r="DQ4" s="470"/>
      <c r="DR4" s="470"/>
      <c r="DS4" s="470"/>
      <c r="DT4" s="470"/>
      <c r="DU4" s="470"/>
      <c r="DV4" s="470"/>
      <c r="DW4" s="470"/>
      <c r="DX4" s="470"/>
      <c r="DY4" s="470"/>
      <c r="DZ4" s="470"/>
      <c r="EA4" s="470"/>
    </row>
    <row r="5" spans="1:151" s="468" customFormat="1" ht="13.5" customHeight="1" x14ac:dyDescent="0.15">
      <c r="A5" s="466" t="str">
        <f>CONCATENATE("AÑO: ",NOMBRE!$B$7)</f>
        <v>AÑO: 2026</v>
      </c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6"/>
      <c r="AB5" s="466"/>
      <c r="AC5" s="466"/>
      <c r="AD5" s="466"/>
      <c r="AE5" s="466"/>
      <c r="AF5" s="466"/>
      <c r="AG5" s="466"/>
      <c r="AH5" s="466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BR5" s="470"/>
      <c r="DB5" s="470"/>
      <c r="DC5" s="470"/>
      <c r="DD5" s="470"/>
      <c r="DE5" s="470"/>
      <c r="DF5" s="470"/>
      <c r="DG5" s="470"/>
      <c r="DH5" s="470"/>
      <c r="DI5" s="470"/>
      <c r="DJ5" s="470"/>
      <c r="DK5" s="470"/>
      <c r="DL5" s="470"/>
      <c r="DM5" s="470"/>
      <c r="DN5" s="470"/>
      <c r="DO5" s="470"/>
      <c r="DP5" s="470"/>
      <c r="DQ5" s="470"/>
      <c r="DR5" s="470"/>
      <c r="DS5" s="470"/>
      <c r="DT5" s="470"/>
      <c r="DU5" s="470"/>
      <c r="DV5" s="470"/>
      <c r="DW5" s="470"/>
      <c r="DX5" s="470"/>
      <c r="DY5" s="470"/>
      <c r="DZ5" s="470"/>
      <c r="EA5" s="470"/>
    </row>
    <row r="6" spans="1:151" ht="18" customHeight="1" x14ac:dyDescent="0.25">
      <c r="A6" s="2011" t="s">
        <v>206</v>
      </c>
      <c r="B6" s="2011"/>
      <c r="C6" s="2011"/>
      <c r="D6" s="2011"/>
      <c r="E6" s="2011"/>
      <c r="F6" s="2011"/>
      <c r="G6" s="2011"/>
      <c r="H6" s="2011"/>
      <c r="I6" s="2011"/>
      <c r="J6" s="2011"/>
      <c r="K6" s="2011"/>
      <c r="L6" s="2011"/>
      <c r="M6" s="2011"/>
      <c r="N6" s="2011"/>
      <c r="O6" s="2011"/>
      <c r="P6" s="2011"/>
      <c r="Q6" s="2011"/>
      <c r="R6" s="2011"/>
      <c r="S6" s="2011"/>
      <c r="T6" s="2011"/>
      <c r="U6" s="2011"/>
      <c r="V6" s="2011"/>
      <c r="W6" s="2011"/>
      <c r="X6" s="2011"/>
      <c r="Y6" s="785"/>
      <c r="Z6" s="785"/>
      <c r="AA6" s="785"/>
      <c r="AB6" s="785"/>
      <c r="AC6" s="785"/>
      <c r="AD6" s="785"/>
      <c r="AE6" s="785"/>
      <c r="AF6" s="785"/>
      <c r="AG6" s="785"/>
      <c r="AH6" s="785"/>
      <c r="AI6" s="785"/>
      <c r="AJ6" s="785"/>
      <c r="AK6" s="785"/>
      <c r="AL6" s="785"/>
      <c r="AM6" s="785"/>
      <c r="AN6" s="785"/>
      <c r="AO6" s="785"/>
      <c r="AP6" s="785"/>
      <c r="AQ6" s="785"/>
      <c r="AR6" s="785"/>
      <c r="AS6" s="785"/>
      <c r="AT6" s="785"/>
      <c r="AU6" s="785"/>
      <c r="AV6" s="785"/>
      <c r="CA6" s="786"/>
    </row>
    <row r="7" spans="1:151" ht="18" customHeight="1" x14ac:dyDescent="0.25">
      <c r="A7" s="784"/>
      <c r="B7" s="784"/>
      <c r="C7" s="784"/>
      <c r="D7" s="784"/>
      <c r="E7" s="784"/>
      <c r="F7" s="784"/>
      <c r="G7" s="784"/>
      <c r="H7" s="784"/>
      <c r="I7" s="784"/>
      <c r="J7" s="784"/>
      <c r="K7" s="784"/>
      <c r="L7" s="784"/>
      <c r="M7" s="784"/>
      <c r="N7" s="784"/>
      <c r="O7" s="784"/>
      <c r="P7" s="784"/>
      <c r="Q7" s="784"/>
      <c r="R7" s="784"/>
      <c r="S7" s="784"/>
      <c r="T7" s="784"/>
      <c r="U7" s="784"/>
      <c r="V7" s="784"/>
      <c r="W7" s="784"/>
      <c r="X7" s="784"/>
      <c r="Y7" s="785"/>
      <c r="Z7" s="785"/>
      <c r="AA7" s="785"/>
      <c r="AB7" s="785"/>
      <c r="AC7" s="785"/>
      <c r="AD7" s="785"/>
      <c r="AE7" s="785"/>
      <c r="AF7" s="785"/>
      <c r="AG7" s="785"/>
      <c r="AH7" s="785"/>
      <c r="AI7" s="785"/>
      <c r="AJ7" s="785"/>
      <c r="AK7" s="785"/>
      <c r="AL7" s="785"/>
      <c r="AM7" s="785"/>
      <c r="AN7" s="785"/>
      <c r="AO7" s="785"/>
      <c r="AP7" s="785"/>
      <c r="AQ7" s="785"/>
      <c r="AR7" s="785"/>
      <c r="AS7" s="785"/>
      <c r="AT7" s="785"/>
      <c r="AU7" s="785"/>
      <c r="AV7" s="785"/>
      <c r="CA7" s="786"/>
    </row>
    <row r="8" spans="1:151" ht="17.100000000000001" customHeight="1" x14ac:dyDescent="0.25">
      <c r="A8" s="2032" t="s">
        <v>207</v>
      </c>
      <c r="B8" s="2032"/>
      <c r="C8" s="2032"/>
      <c r="D8" s="2032"/>
      <c r="E8" s="2032"/>
      <c r="F8" s="2032"/>
      <c r="G8" s="2032"/>
      <c r="H8" s="2032"/>
      <c r="I8" s="2032"/>
      <c r="J8" s="2032"/>
      <c r="K8" s="2032"/>
      <c r="L8" s="2032"/>
      <c r="M8" s="2032"/>
      <c r="N8" s="2032"/>
      <c r="O8" s="2032"/>
      <c r="P8" s="2032"/>
      <c r="Q8" s="2032"/>
      <c r="R8" s="471"/>
      <c r="S8" s="471"/>
      <c r="T8" s="471"/>
      <c r="U8" s="471"/>
      <c r="V8" s="471"/>
      <c r="W8" s="471"/>
      <c r="X8" s="471"/>
      <c r="Y8" s="471"/>
      <c r="Z8" s="471"/>
      <c r="AA8" s="471"/>
      <c r="AU8" s="788"/>
      <c r="AV8" s="471"/>
    </row>
    <row r="9" spans="1:151" ht="16.5" customHeight="1" x14ac:dyDescent="0.25">
      <c r="A9" s="1918" t="s">
        <v>208</v>
      </c>
      <c r="B9" s="1919"/>
      <c r="C9" s="1908" t="s">
        <v>49</v>
      </c>
      <c r="D9" s="1909"/>
      <c r="E9" s="1910"/>
      <c r="F9" s="1932" t="s">
        <v>209</v>
      </c>
      <c r="G9" s="1933"/>
      <c r="H9" s="1933"/>
      <c r="I9" s="1933"/>
      <c r="J9" s="1933"/>
      <c r="K9" s="1933"/>
      <c r="L9" s="1933"/>
      <c r="M9" s="1933"/>
      <c r="N9" s="1933"/>
      <c r="O9" s="1933"/>
      <c r="P9" s="1933"/>
      <c r="Q9" s="1933"/>
      <c r="R9" s="1933"/>
      <c r="S9" s="1933"/>
      <c r="T9" s="1933"/>
      <c r="U9" s="1933"/>
      <c r="V9" s="1933"/>
      <c r="W9" s="1933"/>
      <c r="X9" s="1933"/>
      <c r="Y9" s="1933"/>
      <c r="Z9" s="1933"/>
      <c r="AA9" s="1933"/>
      <c r="AB9" s="1933"/>
      <c r="AC9" s="1933"/>
      <c r="AD9" s="1933"/>
      <c r="AE9" s="1933"/>
      <c r="AF9" s="1933"/>
      <c r="AG9" s="1939"/>
      <c r="AH9" s="1889" t="s">
        <v>51</v>
      </c>
      <c r="AI9" s="1890"/>
      <c r="AJ9" s="1893" t="s">
        <v>52</v>
      </c>
      <c r="AK9" s="1894"/>
      <c r="AL9"/>
      <c r="AM9"/>
      <c r="AN9"/>
      <c r="AO9"/>
      <c r="AP9"/>
      <c r="AQ9"/>
      <c r="AR9"/>
      <c r="AS9"/>
      <c r="AT9"/>
      <c r="AU9"/>
      <c r="AV9"/>
      <c r="BF9" s="470"/>
      <c r="BG9" s="787"/>
      <c r="BH9" s="470"/>
      <c r="BI9" s="470"/>
      <c r="BJ9" s="470"/>
      <c r="BK9" s="470"/>
      <c r="BL9" s="470"/>
      <c r="BM9" s="470"/>
      <c r="BN9" s="470"/>
      <c r="BR9"/>
      <c r="BS9"/>
      <c r="CC9" s="789"/>
      <c r="CD9" s="789"/>
      <c r="CE9" s="789"/>
      <c r="CF9" s="790"/>
      <c r="CG9" s="791"/>
      <c r="CH9" s="791"/>
      <c r="CI9" s="791"/>
      <c r="CL9" s="470"/>
      <c r="CM9" s="470"/>
      <c r="DB9" s="468"/>
      <c r="DC9" s="468"/>
    </row>
    <row r="10" spans="1:151" ht="24" customHeight="1" x14ac:dyDescent="0.25">
      <c r="A10" s="1920"/>
      <c r="B10" s="1921"/>
      <c r="C10" s="1911"/>
      <c r="D10" s="1912"/>
      <c r="E10" s="1913"/>
      <c r="F10" s="1896" t="s">
        <v>210</v>
      </c>
      <c r="G10" s="1897"/>
      <c r="H10" s="1896" t="s">
        <v>211</v>
      </c>
      <c r="I10" s="1897"/>
      <c r="J10" s="1896" t="s">
        <v>212</v>
      </c>
      <c r="K10" s="1897"/>
      <c r="L10" s="1896" t="s">
        <v>213</v>
      </c>
      <c r="M10" s="1897"/>
      <c r="N10" s="1896" t="s">
        <v>214</v>
      </c>
      <c r="O10" s="1897"/>
      <c r="P10" s="1896" t="s">
        <v>215</v>
      </c>
      <c r="Q10" s="1897"/>
      <c r="R10" s="1896" t="s">
        <v>216</v>
      </c>
      <c r="S10" s="1897"/>
      <c r="T10" s="1896" t="s">
        <v>217</v>
      </c>
      <c r="U10" s="1897"/>
      <c r="V10" s="1896" t="s">
        <v>218</v>
      </c>
      <c r="W10" s="1897"/>
      <c r="X10" s="1896" t="s">
        <v>219</v>
      </c>
      <c r="Y10" s="1897"/>
      <c r="Z10" s="1896" t="s">
        <v>220</v>
      </c>
      <c r="AA10" s="1897"/>
      <c r="AB10" s="1896" t="s">
        <v>221</v>
      </c>
      <c r="AC10" s="1898"/>
      <c r="AD10" s="1896" t="s">
        <v>222</v>
      </c>
      <c r="AE10" s="1897"/>
      <c r="AF10" s="1896" t="s">
        <v>223</v>
      </c>
      <c r="AG10" s="1897"/>
      <c r="AH10" s="1891"/>
      <c r="AI10" s="1892"/>
      <c r="AJ10" s="1895"/>
      <c r="AK10" s="1847"/>
      <c r="AL10"/>
      <c r="AM10"/>
      <c r="AN10"/>
      <c r="AO10"/>
      <c r="AP10"/>
      <c r="AQ10"/>
      <c r="AR10"/>
      <c r="AS10"/>
      <c r="AT10"/>
      <c r="AU10"/>
      <c r="AV10"/>
      <c r="BF10" s="470"/>
      <c r="BG10" s="787"/>
      <c r="BH10" s="470"/>
      <c r="BI10" s="470"/>
      <c r="BJ10" s="470"/>
      <c r="BK10" s="470"/>
      <c r="BL10" s="470"/>
      <c r="BM10" s="470"/>
      <c r="BN10" s="470"/>
      <c r="BR10"/>
      <c r="BS10"/>
      <c r="CC10" s="794"/>
      <c r="CD10" s="794"/>
      <c r="CE10" s="794"/>
      <c r="CF10" s="795"/>
      <c r="CG10" s="791"/>
      <c r="CH10" s="791"/>
      <c r="CI10" s="791"/>
      <c r="CL10" s="470"/>
      <c r="CM10" s="470"/>
      <c r="DB10" s="468"/>
      <c r="DC10" s="468"/>
    </row>
    <row r="11" spans="1:151" ht="30.75" customHeight="1" x14ac:dyDescent="0.25">
      <c r="A11" s="1922"/>
      <c r="B11" s="1923"/>
      <c r="C11" s="797" t="s">
        <v>224</v>
      </c>
      <c r="D11" s="798" t="s">
        <v>86</v>
      </c>
      <c r="E11" s="793" t="s">
        <v>225</v>
      </c>
      <c r="F11" s="798" t="s">
        <v>86</v>
      </c>
      <c r="G11" s="793" t="s">
        <v>225</v>
      </c>
      <c r="H11" s="798" t="s">
        <v>86</v>
      </c>
      <c r="I11" s="799" t="s">
        <v>225</v>
      </c>
      <c r="J11" s="798" t="s">
        <v>86</v>
      </c>
      <c r="K11" s="799" t="s">
        <v>225</v>
      </c>
      <c r="L11" s="798" t="s">
        <v>86</v>
      </c>
      <c r="M11" s="799" t="s">
        <v>225</v>
      </c>
      <c r="N11" s="798" t="s">
        <v>86</v>
      </c>
      <c r="O11" s="799" t="s">
        <v>225</v>
      </c>
      <c r="P11" s="798" t="s">
        <v>86</v>
      </c>
      <c r="Q11" s="799" t="s">
        <v>225</v>
      </c>
      <c r="R11" s="798" t="s">
        <v>86</v>
      </c>
      <c r="S11" s="799" t="s">
        <v>225</v>
      </c>
      <c r="T11" s="798" t="s">
        <v>86</v>
      </c>
      <c r="U11" s="799" t="s">
        <v>225</v>
      </c>
      <c r="V11" s="798" t="s">
        <v>86</v>
      </c>
      <c r="W11" s="799" t="s">
        <v>225</v>
      </c>
      <c r="X11" s="798" t="s">
        <v>86</v>
      </c>
      <c r="Y11" s="799" t="s">
        <v>225</v>
      </c>
      <c r="Z11" s="798" t="s">
        <v>86</v>
      </c>
      <c r="AA11" s="799" t="s">
        <v>225</v>
      </c>
      <c r="AB11" s="798" t="s">
        <v>86</v>
      </c>
      <c r="AC11" s="800" t="s">
        <v>225</v>
      </c>
      <c r="AD11" s="792" t="s">
        <v>86</v>
      </c>
      <c r="AE11" s="799" t="s">
        <v>225</v>
      </c>
      <c r="AF11" s="798" t="s">
        <v>86</v>
      </c>
      <c r="AG11" s="799" t="s">
        <v>225</v>
      </c>
      <c r="AH11" s="801" t="s">
        <v>86</v>
      </c>
      <c r="AI11" s="1582" t="s">
        <v>225</v>
      </c>
      <c r="AJ11" s="1103" t="s">
        <v>86</v>
      </c>
      <c r="AK11" s="1587" t="s">
        <v>225</v>
      </c>
      <c r="AL11"/>
      <c r="AM11"/>
      <c r="AN11"/>
      <c r="AO11"/>
      <c r="AP11"/>
      <c r="AQ11"/>
      <c r="AR11"/>
      <c r="AS11"/>
      <c r="AT11"/>
      <c r="AU11"/>
      <c r="AV11"/>
      <c r="BF11" s="470"/>
      <c r="BG11" s="470"/>
      <c r="BH11" s="470"/>
      <c r="BI11" s="470"/>
      <c r="BJ11" s="470"/>
      <c r="BK11" s="470"/>
      <c r="BL11" s="470"/>
      <c r="BM11" s="470"/>
      <c r="BN11" s="470"/>
      <c r="BR11"/>
      <c r="BS11"/>
      <c r="CC11" s="795"/>
      <c r="CD11" s="795"/>
      <c r="CE11" s="795"/>
      <c r="CF11" s="795"/>
      <c r="CG11" s="487"/>
      <c r="CH11" s="487"/>
      <c r="CI11" s="487"/>
      <c r="CL11" s="470"/>
      <c r="CM11" s="470"/>
      <c r="DB11" s="468"/>
      <c r="DC11" s="468"/>
    </row>
    <row r="12" spans="1:151" ht="15" customHeight="1" x14ac:dyDescent="0.25">
      <c r="A12" s="2009" t="s">
        <v>226</v>
      </c>
      <c r="B12" s="2010"/>
      <c r="C12" s="802">
        <f>SUM(D12:E12)</f>
        <v>0</v>
      </c>
      <c r="D12" s="803">
        <f>+F12+H12+J12+L12+N12+P12+R12+T12+V12+X12+Z12+AB12+AD12+AF12</f>
        <v>0</v>
      </c>
      <c r="E12" s="804">
        <f>+G12+I12+K12+M12+O12+Q12+S12+U12+W12+Y12+AA12+AC12+AE12+AG12</f>
        <v>0</v>
      </c>
      <c r="F12" s="1048"/>
      <c r="G12" s="806"/>
      <c r="H12" s="805"/>
      <c r="I12" s="807"/>
      <c r="J12" s="805"/>
      <c r="K12" s="807"/>
      <c r="L12" s="805"/>
      <c r="M12" s="808"/>
      <c r="N12" s="809"/>
      <c r="O12" s="810"/>
      <c r="P12" s="809"/>
      <c r="Q12" s="810"/>
      <c r="R12" s="811"/>
      <c r="S12" s="807"/>
      <c r="T12" s="805"/>
      <c r="U12" s="808"/>
      <c r="V12" s="809"/>
      <c r="W12" s="810"/>
      <c r="X12" s="809"/>
      <c r="Y12" s="810"/>
      <c r="Z12" s="809"/>
      <c r="AA12" s="810"/>
      <c r="AB12" s="809"/>
      <c r="AC12" s="812"/>
      <c r="AD12" s="813"/>
      <c r="AE12" s="810"/>
      <c r="AF12" s="809"/>
      <c r="AG12" s="810"/>
      <c r="AH12" s="814"/>
      <c r="AI12" s="877"/>
      <c r="AJ12" s="809"/>
      <c r="AK12" s="810"/>
      <c r="AL12" s="470" t="str">
        <f>($CA12&amp;CB12&amp;CC12&amp;CD12&amp;CE12&amp;CF12&amp;CG12&amp;CH12&amp;CI12&amp;CJ12&amp;CK12&amp;CL12&amp;CM12&amp;CN12&amp;CO12&amp;CP12&amp;CQ12&amp;CR12&amp;CS12&amp;CT12&amp;CU12&amp;CV12&amp;CW12&amp;CX12&amp;CY12&amp;CZ12&amp;DA12&amp;DB12&amp;DC12&amp;DD12&amp;DE12&amp;DF12&amp;DG12&amp;DH12&amp;DI12&amp;DJ12&amp;DK12&amp;DL12)</f>
        <v/>
      </c>
      <c r="AM12"/>
      <c r="AN12"/>
      <c r="AO12"/>
      <c r="AP12"/>
      <c r="AQ12"/>
      <c r="AR12"/>
      <c r="AS12"/>
      <c r="AT12"/>
      <c r="AU12"/>
      <c r="AV12"/>
      <c r="BF12" s="470"/>
      <c r="BG12" s="470"/>
      <c r="BH12" s="470"/>
      <c r="BI12" s="470"/>
      <c r="BJ12" s="470"/>
      <c r="BK12" s="470"/>
      <c r="BL12" s="470"/>
      <c r="BM12" s="470"/>
      <c r="BN12" s="470"/>
      <c r="BR12"/>
      <c r="BS12"/>
      <c r="CA12" s="620" t="str">
        <f>IF(H12&lt;&gt;SUM(H39:H40),"* El Total de Hombres en Control de 1 mes debe ser igual al Total de Hombres según Diagnóstico Nutricional Integrado y niños sin evaluación.","")</f>
        <v/>
      </c>
      <c r="CB12" s="620" t="str">
        <f>IF(I12&lt;&gt;SUM(I39:I40),"* El Total de Mujeres en Control de 1 mes debe ser igual al Total de Mujeres según Diagnóstico Nutricional Integrado y niños sin evaluación.","")</f>
        <v/>
      </c>
      <c r="CC12" s="620" t="str">
        <f>IF(J12&lt;&gt;SUM(J39:J40),"* El Total de Hombres en Control de 2 meses debe ser igual al Total de Hombres según Diagnóstico Nutricional Integrado y niños sin evaluación.","")</f>
        <v/>
      </c>
      <c r="CD12" s="620" t="str">
        <f>IF(K12&lt;&gt;SUM(K39:K40),"* El Total de Mujeres en Control de 2 meses debe ser igual al Total de Mujeres según Diagnóstico Nutricional Integrado y niños sin evaluación.","")</f>
        <v/>
      </c>
      <c r="CE12" s="620" t="str">
        <f>IF(L12&lt;&gt;SUM(L39:L40),"* El Total de Hombres en Control de 3 meses debe ser igual al Total de Hombres según Diagnóstico Nutricional Integrado y niños sin evaluación.","")</f>
        <v/>
      </c>
      <c r="CF12" s="620" t="str">
        <f>IF(M12&lt;&gt;SUM(M39:M40),"* El Total de Mujeres en Control de 3 meses debe ser igual al Total de Mujeres según Diagnóstico Nutricional Integrado y niños sin evaluación.","")</f>
        <v/>
      </c>
      <c r="CG12" s="620" t="str">
        <f>IF(N12&lt;&gt;SUM(N39:N40),"* El Total de Hombres en Control de 4 meses debe ser igual al Total de Hombres según Diagnóstico Nutricional Integrado y niños sin evaluación.","")</f>
        <v/>
      </c>
      <c r="CH12" s="620" t="str">
        <f>IF(O12&lt;&gt;SUM(O39:O40),"* El Total de Mujeres en Control de 4 meses debe ser igual al Total de Mujeres según Diagnóstico Nutricional Integrado y niños sin evaluación.","")</f>
        <v/>
      </c>
      <c r="CI12" s="620" t="str">
        <f>IF(P12&lt;&gt;SUM(P39:P40),"* El Total de Hombres en Control de 5 meses debe ser igual al Total de Hombres según Diagnóstico Nutricional Integrado y niños sin evaluación.","")</f>
        <v/>
      </c>
      <c r="CJ12" s="620" t="str">
        <f>IF(Q12&lt;&gt;SUM(Q39:Q40),"* El Total de Mujeres en Control de 5 meses debe ser igual al Total de Mujeres según Diagnóstico Nutricional Integrado y niños sin evaluación.","")</f>
        <v/>
      </c>
      <c r="CK12" s="620" t="str">
        <f>IF(R12&lt;&gt;SUM(R39:R40),"* El Total de Hombres en Control de 6 meses debe ser igual al Total de Hombres según Diagnóstico Nutricional Integrado y niños sin evaluación.","")</f>
        <v/>
      </c>
      <c r="CL12" s="620" t="str">
        <f>IF(S12&lt;&gt;SUM(S39:S40),"* El Total de Mujeres en Control de 6 meses debe ser igual al Total de Mujeres según Diagnóstico Nutricional Integrado y niños sin evaluación.","")</f>
        <v/>
      </c>
      <c r="CM12" s="620" t="str">
        <f>IF(T12&lt;&gt;SUM(T39:T40),"* El Total de Hombres en Control de 7 a 11 meses debe ser igual al Total de Hombres según Diagnóstico Nutricional Integrado y niños sin evaluación.","")</f>
        <v/>
      </c>
      <c r="CN12" s="620" t="str">
        <f>IF(U12&lt;&gt;SUM(U39:U40),"* El Total de Mujeres en Control de 7 a 11 meses debe ser igual al Total de Mujeres según Diagnóstico Nutricional Integrado y niños sin evaluación.","")</f>
        <v/>
      </c>
      <c r="CO12" s="620" t="str">
        <f>IF(V12&lt;&gt;SUM(V39:V40),"* El Total de Hombres en Control de 12 a 17 meses debe ser igual al Total de Hombres según Diagnóstico Nutricional Integrado y niños sin evaluación.","")</f>
        <v/>
      </c>
      <c r="CP12" s="620" t="str">
        <f>IF(W12&lt;&gt;SUM(W39:W40),"* El Total de Mujeres en Control de 12 a 17 meses debe ser igual al Total de Mujeres según Diagnóstico Nutricional Integrado y niños sin evaluación.","")</f>
        <v/>
      </c>
      <c r="CQ12" s="620" t="str">
        <f>IF(X12&lt;&gt;SUM(X39:X40),"* El Total de Hombres en Control de 18 a 23 meses debe ser igual al Total de Hombres según Diagnóstico Nutricional Integrado y niños sin evaluación.","")</f>
        <v/>
      </c>
      <c r="CR12" s="620" t="str">
        <f>IF(Y12&lt;&gt;SUM(Y39:Y40),"* El Total de Mujeres en Control de 18 a 23 meses debe ser igual al Total de Mujeres según Diagnóstico Nutricional Integrado y niños sin evaluación.","")</f>
        <v/>
      </c>
      <c r="CS12" s="620" t="str">
        <f>IF(Z12&lt;&gt;SUM(Z39:Z40),"* El Total de Hombres en Control de 24 a 35 meses debe ser igual al Total de Hombres según Diagnóstico Nutricional Integrado y niños sin evaluación.","")</f>
        <v/>
      </c>
      <c r="CT12" s="620" t="str">
        <f>IF(AA12&lt;&gt;SUM(AA39:AA40),"* El Total de Mujeres en Control de 24 a 35 meses debe ser igual al Total de Mujeres según Diagnóstico Nutricional Integrado y niños sin evaluación.","")</f>
        <v/>
      </c>
      <c r="CU12" s="620" t="str">
        <f>IF(AB12&lt;&gt;SUM(AB39:AB40),"* El Total de Hombres en Control de 36 a 41 meses debe ser igual al Total de Hombres según Diagnóstico Nutricional Integrado y niños sin evaluación.","")</f>
        <v/>
      </c>
      <c r="CV12" s="620" t="str">
        <f>IF(AC12&lt;&gt;SUM(AC39:AC40),"* El Total de Mujeres en Control de 36 a 41 meses debe ser igual al Total de Mujeres según Diagnóstico Nutricional Integrado y niños sin evaluación.","")</f>
        <v/>
      </c>
      <c r="CW12" s="620" t="str">
        <f>IF(AD12&lt;&gt;SUM(AD39:AD40),"* El Total de Hombres en Control de 42 a 47 meses debe ser igual al Total de Hombres según Diagnóstico Nutricional Integrado y niños sin evaluación.","")</f>
        <v/>
      </c>
      <c r="CX12" s="620" t="str">
        <f>IF(AE12&lt;&gt;SUM(AE39:AE40),"* El Total de Mujeres en Control de 42 a 47 meses debe ser igual al Total de Mujeres según Diagnóstico Nutricional Integrado y niños sin evaluación.","")</f>
        <v/>
      </c>
      <c r="CY12" s="620" t="str">
        <f>IF(AF12&lt;&gt;SUM(AF39:AF40),"* El Total de Hombres en Control de 48 a 59 meses debe ser igual al Total de Hombres según Diagnóstico Nutricional Integrado y niños sin evaluación.","")</f>
        <v/>
      </c>
      <c r="CZ12" s="620" t="str">
        <f>IF(AG12&lt;&gt;SUM(AG39:AG40),"* El Total de Mujeres en Control de 48 a 59 meses debe ser igual al Total de Mujeres según Diagnóstico Nutricional Integrado y niños sin evaluación.","")</f>
        <v/>
      </c>
      <c r="DA12" s="620" t="str">
        <f>IF($C12&gt;=$AH12+$AI12,"","* La suma de Pueblos Originarios Hombres + Mujeres no debe ser mayor al Total de niños (as) en control. ")</f>
        <v/>
      </c>
      <c r="DB12" s="620" t="str">
        <f>IF($C12&gt;=$AJ12+$AK12,"","* La suma de Población Migrantes Hombres + Mujeres no debe ser mayor al Total de niños (as) en control. ")</f>
        <v/>
      </c>
      <c r="DC12" s="620" t="str">
        <f>IF(AH12&lt;&gt;AH39,"* El Total de Hombres en Control de Pueblos Originarios debe ser igual al Total de Pueblos Originarios Hombres según Diagnóstico Nutricional Integrado. ","")</f>
        <v/>
      </c>
      <c r="DD12" s="620" t="str">
        <f>IF(AI12&lt;&gt;AI39,"* El Total de Mujeres en Control de Pueblos Originarios debe ser igual al Total de Pueblos Originarios Mujeres según Diagnóstico Nutricional Integrado. ","")</f>
        <v/>
      </c>
      <c r="DE12" s="620" t="str">
        <f>IF(AJ12&lt;&gt;AJ39,"* El Total de Hombres en Control de Población Migrantes debe ser igual al Total de Migrantes Hombres según Diagnóstico Nutricional Integrado. ","")</f>
        <v/>
      </c>
      <c r="DF12" s="620" t="str">
        <f>IF(AK12&lt;&gt;AK39,"* El Total de Mujeres en Control de Población Migrantes debe ser igual al Total de Migrantes Mujeres según Diagnóstico Nutricional Integrado. ","")</f>
        <v/>
      </c>
      <c r="DG12" s="620" t="str">
        <f>IF(AND(D12&gt;0,OR(AH12=""))," * No olvide digitar la variable Pueblos Originarios Hombres (Digite Cero si no tiene).",IF(AH12&gt;D12," * La variable Pueblos Originarios Hombres no puede ser Mayor al Total Hombres.",""))</f>
        <v/>
      </c>
      <c r="DH12" s="620" t="str">
        <f>IF(AND(E12&gt;0,OR(AI12=""))," * No olvide digitar la variable Pueblos Originarios Mujeres (Digite Cero si no tiene).",IF(AI12&gt;E12," * La variable Pueblos Originarios Mujeres no puede ser Mayor al Total Mujeres.",""))</f>
        <v/>
      </c>
      <c r="DI12" s="620" t="str">
        <f>IF(AND(D12&gt;0,OR(AJ12=""))," * No olvide digitar la variable Migrantes Hombres (Digite Cero si no tiene).",IF(AJ12&gt;D12," * La variable Migrantes Hombres no puede ser Mayor al Total.",""))</f>
        <v/>
      </c>
      <c r="DJ12" s="620" t="str">
        <f>IF(AND(E12&gt;0,OR(AK12=""))," * No olvide digitar la variable Migrantes Mujeres (Digite Cero si no tiene).",IF(AK12&gt;E12," * La variable Migrantes Mujeres no puede ser Mayor al Total.",""))</f>
        <v/>
      </c>
      <c r="DM12" s="468"/>
      <c r="DN12" s="468"/>
      <c r="DO12" s="468"/>
      <c r="DP12" s="501">
        <f>IF(H12&lt;&gt;SUM(H39:H40),1,0)</f>
        <v>0</v>
      </c>
      <c r="DQ12" s="501">
        <f>IF(I12&lt;&gt;SUM(I39:I40),1,0)</f>
        <v>0</v>
      </c>
      <c r="DR12" s="501">
        <f t="shared" ref="DR12:EK12" si="0">IF(J12&lt;&gt;SUM(J39:J40),1,0)</f>
        <v>0</v>
      </c>
      <c r="DS12" s="501">
        <f t="shared" si="0"/>
        <v>0</v>
      </c>
      <c r="DT12" s="501">
        <f t="shared" si="0"/>
        <v>0</v>
      </c>
      <c r="DU12" s="501">
        <f t="shared" si="0"/>
        <v>0</v>
      </c>
      <c r="DV12" s="501">
        <f t="shared" si="0"/>
        <v>0</v>
      </c>
      <c r="DW12" s="501">
        <f t="shared" si="0"/>
        <v>0</v>
      </c>
      <c r="DX12" s="501">
        <f t="shared" si="0"/>
        <v>0</v>
      </c>
      <c r="DY12" s="501">
        <f t="shared" si="0"/>
        <v>0</v>
      </c>
      <c r="DZ12" s="501">
        <f t="shared" si="0"/>
        <v>0</v>
      </c>
      <c r="EA12" s="501">
        <f t="shared" si="0"/>
        <v>0</v>
      </c>
      <c r="EB12" s="501">
        <f t="shared" si="0"/>
        <v>0</v>
      </c>
      <c r="EC12" s="501">
        <f t="shared" si="0"/>
        <v>0</v>
      </c>
      <c r="ED12" s="501">
        <f t="shared" si="0"/>
        <v>0</v>
      </c>
      <c r="EE12" s="501">
        <f t="shared" si="0"/>
        <v>0</v>
      </c>
      <c r="EF12" s="501">
        <f t="shared" si="0"/>
        <v>0</v>
      </c>
      <c r="EG12" s="501">
        <f t="shared" si="0"/>
        <v>0</v>
      </c>
      <c r="EH12" s="501">
        <f t="shared" si="0"/>
        <v>0</v>
      </c>
      <c r="EI12" s="501">
        <f t="shared" si="0"/>
        <v>0</v>
      </c>
      <c r="EJ12" s="501">
        <f t="shared" si="0"/>
        <v>0</v>
      </c>
      <c r="EK12" s="501">
        <f t="shared" si="0"/>
        <v>0</v>
      </c>
      <c r="EL12" s="501">
        <f t="shared" ref="EL12" si="1">IF(AD12&lt;&gt;SUM(AD39:AD40),1,0)</f>
        <v>0</v>
      </c>
      <c r="EM12" s="501">
        <f t="shared" ref="EM12" si="2">IF(AE12&lt;&gt;SUM(AE39:AE40),1,0)</f>
        <v>0</v>
      </c>
      <c r="EN12" s="501">
        <f t="shared" ref="EN12:EO12" si="3">IF(AF12&lt;&gt;SUM(AF39:AF40),1,0)</f>
        <v>0</v>
      </c>
      <c r="EO12" s="501">
        <f t="shared" si="3"/>
        <v>0</v>
      </c>
      <c r="EP12" s="501">
        <f>IF(AND(D12&gt;0,OR(AH12="")),1,IF(AH12&gt;D12,1,0))</f>
        <v>0</v>
      </c>
      <c r="EQ12" s="501">
        <f>IF(AND(E12&gt;0,OR(AI12="")),1,IF(AI12&gt;E12,1,0))</f>
        <v>0</v>
      </c>
      <c r="ER12" s="501">
        <f>IF(AND(D12&gt;0,OR(AJ12="")),1,IF(AJ12&gt;D12,1,0))</f>
        <v>0</v>
      </c>
      <c r="ES12" s="501">
        <f>IF(AND(E12&gt;0,OR(AK12="")),1,IF(AK12&gt;E12,1,0))</f>
        <v>0</v>
      </c>
      <c r="ET12" s="501">
        <f>IF($AH$12+$AI$12&lt;&gt;$AH$39+$AI$39,1,0)</f>
        <v>0</v>
      </c>
      <c r="EU12" s="501">
        <f>IF($AJ$12+$AK$12&lt;&gt;$AJ$39+$AK$39,1,0)</f>
        <v>0</v>
      </c>
    </row>
    <row r="13" spans="1:151" ht="15" customHeight="1" x14ac:dyDescent="0.25">
      <c r="A13" s="2006" t="s">
        <v>227</v>
      </c>
      <c r="B13" s="817" t="s">
        <v>228</v>
      </c>
      <c r="C13" s="818">
        <f t="shared" ref="C13:C39" si="4">SUM(D13:E13)</f>
        <v>0</v>
      </c>
      <c r="D13" s="819">
        <f t="shared" ref="D13:D31" si="5">+F13+H13+J13+L13+N13+P13+R13+T13+V13+X13+Z13+AB13+AD13+AF13</f>
        <v>0</v>
      </c>
      <c r="E13" s="820">
        <f t="shared" ref="E13:E31" si="6">+G13+I13+K13+M13+O13+Q13+S13+U13+W13+Y13+AA13+AC13+AE13+AG13</f>
        <v>0</v>
      </c>
      <c r="F13" s="821"/>
      <c r="G13" s="1601"/>
      <c r="H13" s="821"/>
      <c r="I13" s="823"/>
      <c r="J13" s="821"/>
      <c r="K13" s="823"/>
      <c r="L13" s="821"/>
      <c r="M13" s="824"/>
      <c r="N13" s="821"/>
      <c r="O13" s="823"/>
      <c r="P13" s="821"/>
      <c r="Q13" s="823"/>
      <c r="R13" s="825"/>
      <c r="S13" s="823"/>
      <c r="T13" s="821"/>
      <c r="U13" s="824"/>
      <c r="V13" s="821"/>
      <c r="W13" s="823"/>
      <c r="X13" s="821"/>
      <c r="Y13" s="823"/>
      <c r="Z13" s="821"/>
      <c r="AA13" s="823"/>
      <c r="AB13" s="821"/>
      <c r="AC13" s="826"/>
      <c r="AD13" s="827"/>
      <c r="AE13" s="823"/>
      <c r="AF13" s="821"/>
      <c r="AG13" s="823"/>
      <c r="AH13" s="828"/>
      <c r="AI13" s="824"/>
      <c r="AJ13" s="821"/>
      <c r="AK13" s="823"/>
      <c r="AL13" s="470" t="str">
        <f>($DG13&amp;DH13&amp;DI13&amp;DJ13)</f>
        <v/>
      </c>
      <c r="AM13"/>
      <c r="AN13"/>
      <c r="AO13"/>
      <c r="AP13"/>
      <c r="AQ13"/>
      <c r="AR13"/>
      <c r="AS13"/>
      <c r="AT13"/>
      <c r="AU13"/>
      <c r="AV13"/>
      <c r="BF13" s="470"/>
      <c r="BG13" s="470"/>
      <c r="BH13" s="470"/>
      <c r="BI13" s="470"/>
      <c r="BJ13" s="470"/>
      <c r="BK13" s="470"/>
      <c r="BL13" s="470"/>
      <c r="BM13" s="470"/>
      <c r="BN13" s="470"/>
      <c r="BR13"/>
      <c r="BS13"/>
      <c r="CK13" s="468"/>
      <c r="DB13" s="468"/>
      <c r="DG13" s="620" t="str">
        <f>IF(AND(D13&gt;0,OR(AH13=""))," * No olvide digitar la variable Pueblos Originarios Hombres (Digite Cero si no tiene).",IF(AH13&gt;D13," * La variable Pueblos Originarios Hombres no puede ser Mayor al Total Hombres.",""))</f>
        <v/>
      </c>
      <c r="DH13" s="620" t="str">
        <f>IF(AND(E13&gt;0,OR(AI13=""))," * No olvide digitar la variable Pueblos Originarios Mujeres (Digite Cero si no tiene).",IF(AI13&gt;E13," * La variable Pueblos Originarios Mujeres no puede ser Mayor al Total Mujeres.",""))</f>
        <v/>
      </c>
      <c r="DI13" s="620" t="str">
        <f>IF(AND(D13&gt;0,OR(AJ13=""))," * No olvide digitar la variable Migrantes Hombres (Digite Cero si no tiene).",IF(AJ13&gt;D13," * La variable Migrantes Hombres no puede ser Mayor al Total.",""))</f>
        <v/>
      </c>
      <c r="DJ13" s="620" t="str">
        <f>IF(AND(E13&gt;0,OR(AK13=""))," * No olvide digitar la variable Migrantes Mujeres (Digite Cero si no tiene).",IF(AK13&gt;E13," * La variable Migrantes Mujeres no puede ser Mayor al Total.",""))</f>
        <v/>
      </c>
      <c r="ER13" s="501">
        <f>IF(AND(D13&gt;0,OR(AH13="")),1,IF(AH13&gt;D13,1,0))</f>
        <v>0</v>
      </c>
      <c r="ES13" s="501">
        <f>IF(AND(E13&gt;0,OR(AI13="")),1,IF(AI13&gt;E13,1,0))</f>
        <v>0</v>
      </c>
      <c r="ET13" s="501">
        <f>IF(AND(D13&gt;0,OR(AJ13="")),1,IF(AJ13&gt;D13,1,0))</f>
        <v>0</v>
      </c>
      <c r="EU13" s="501">
        <f>IF(AND(E13&gt;0,OR(AK13="")),1,IF(AK13&gt;E13,1,0))</f>
        <v>0</v>
      </c>
    </row>
    <row r="14" spans="1:151" ht="15" customHeight="1" x14ac:dyDescent="0.25">
      <c r="A14" s="2007"/>
      <c r="B14" s="830" t="s">
        <v>229</v>
      </c>
      <c r="C14" s="831">
        <f t="shared" si="4"/>
        <v>0</v>
      </c>
      <c r="D14" s="803">
        <f t="shared" si="5"/>
        <v>0</v>
      </c>
      <c r="E14" s="804">
        <f t="shared" si="6"/>
        <v>0</v>
      </c>
      <c r="F14" s="832"/>
      <c r="G14" s="833"/>
      <c r="H14" s="832"/>
      <c r="I14" s="834"/>
      <c r="J14" s="832"/>
      <c r="K14" s="834"/>
      <c r="L14" s="832"/>
      <c r="M14" s="835"/>
      <c r="N14" s="832"/>
      <c r="O14" s="834"/>
      <c r="P14" s="832"/>
      <c r="Q14" s="834"/>
      <c r="R14" s="836"/>
      <c r="S14" s="834"/>
      <c r="T14" s="832"/>
      <c r="U14" s="835"/>
      <c r="V14" s="832"/>
      <c r="W14" s="834"/>
      <c r="X14" s="832"/>
      <c r="Y14" s="834"/>
      <c r="Z14" s="832"/>
      <c r="AA14" s="834"/>
      <c r="AB14" s="832"/>
      <c r="AC14" s="837"/>
      <c r="AD14" s="838"/>
      <c r="AE14" s="834"/>
      <c r="AF14" s="832"/>
      <c r="AG14" s="834"/>
      <c r="AH14" s="839"/>
      <c r="AI14" s="835"/>
      <c r="AJ14" s="832"/>
      <c r="AK14" s="834"/>
      <c r="AL14" s="470" t="str">
        <f>($DG14&amp;DH14&amp;DI14&amp;DJ14)</f>
        <v/>
      </c>
      <c r="AM14"/>
      <c r="AN14"/>
      <c r="AO14"/>
      <c r="AP14"/>
      <c r="AQ14"/>
      <c r="AR14"/>
      <c r="AS14"/>
      <c r="AT14"/>
      <c r="AU14"/>
      <c r="AV14"/>
      <c r="BF14" s="470"/>
      <c r="BG14" s="470"/>
      <c r="BH14" s="470"/>
      <c r="BI14" s="470"/>
      <c r="BJ14" s="470"/>
      <c r="BK14" s="470"/>
      <c r="BL14" s="470"/>
      <c r="BM14" s="470"/>
      <c r="BN14" s="470"/>
      <c r="BR14"/>
      <c r="BS14"/>
      <c r="CK14" s="468"/>
      <c r="DB14" s="468"/>
      <c r="DG14" s="620" t="str">
        <f>IF(AND(D14&gt;0,OR(AH14=""))," * No olvide digitar la variable Pueblos Originarios Hombres (Digite Cero si no tiene).",IF(AH14&gt;D14," * La variable Pueblos Originarios Hombres no puede ser Mayor al Total Hombres.",""))</f>
        <v/>
      </c>
      <c r="DH14" s="620" t="str">
        <f>IF(AND(E14&gt;0,OR(AI14=""))," * No olvide digitar la variable Pueblos Originarios Mujeres (Digite Cero si no tiene).",IF(AI14&gt;E14," * La variable Pueblos Originarios Mujeres no puede ser Mayor al Total Mujeres.",""))</f>
        <v/>
      </c>
      <c r="DI14" s="620" t="str">
        <f>IF(AND(D14&gt;0,OR(AJ14=""))," * No olvide digitar la variable Migrantes Hombres (Digite Cero si no tiene).",IF(AJ14&gt;D14," * La variable Migrantes Hombres no puede ser Mayor al Total.",""))</f>
        <v/>
      </c>
      <c r="DJ14" s="620" t="str">
        <f>IF(AND(E14&gt;0,OR(AK14=""))," * No olvide digitar la variable Migrantes Mujeres (Digite Cero si no tiene).",IF(AK14&gt;E14," * La variable Migrantes Mujeres no puede ser Mayor al Total.",""))</f>
        <v/>
      </c>
      <c r="ER14" s="501">
        <f>IF(AND(D14&gt;0,OR(AH14="")),1,IF(AH14&gt;D14,1,0))</f>
        <v>0</v>
      </c>
      <c r="ES14" s="501">
        <f>IF(AND(E14&gt;0,OR(AI14="")),1,IF(AI14&gt;E14,1,0))</f>
        <v>0</v>
      </c>
      <c r="ET14" s="501">
        <f>IF(AND(D14&gt;0,OR(AJ14="")),1,IF(AJ14&gt;D14,1,0))</f>
        <v>0</v>
      </c>
      <c r="EU14" s="501">
        <f>IF(AND(E14&gt;0,OR(AK14="")),1,IF(AK14&gt;E14,1,0))</f>
        <v>0</v>
      </c>
    </row>
    <row r="15" spans="1:151" ht="15" customHeight="1" x14ac:dyDescent="0.25">
      <c r="A15" s="2007"/>
      <c r="B15" s="841" t="s">
        <v>89</v>
      </c>
      <c r="C15" s="842">
        <f t="shared" si="4"/>
        <v>0</v>
      </c>
      <c r="D15" s="803">
        <f t="shared" si="5"/>
        <v>0</v>
      </c>
      <c r="E15" s="804">
        <f t="shared" si="6"/>
        <v>0</v>
      </c>
      <c r="F15" s="843">
        <f>+SUM(F13:F14)</f>
        <v>0</v>
      </c>
      <c r="G15" s="844">
        <f>+SUM(G13:G14)</f>
        <v>0</v>
      </c>
      <c r="H15" s="843">
        <f>+SUM(H13:H14)</f>
        <v>0</v>
      </c>
      <c r="I15" s="845">
        <f t="shared" ref="I15:T15" si="7">+SUM(I13:I14)</f>
        <v>0</v>
      </c>
      <c r="J15" s="843">
        <f t="shared" si="7"/>
        <v>0</v>
      </c>
      <c r="K15" s="845">
        <f t="shared" si="7"/>
        <v>0</v>
      </c>
      <c r="L15" s="843">
        <f t="shared" si="7"/>
        <v>0</v>
      </c>
      <c r="M15" s="846">
        <f t="shared" si="7"/>
        <v>0</v>
      </c>
      <c r="N15" s="843">
        <f t="shared" si="7"/>
        <v>0</v>
      </c>
      <c r="O15" s="845">
        <f t="shared" si="7"/>
        <v>0</v>
      </c>
      <c r="P15" s="843">
        <f t="shared" si="7"/>
        <v>0</v>
      </c>
      <c r="Q15" s="845">
        <f t="shared" si="7"/>
        <v>0</v>
      </c>
      <c r="R15" s="844">
        <f t="shared" si="7"/>
        <v>0</v>
      </c>
      <c r="S15" s="845">
        <f t="shared" si="7"/>
        <v>0</v>
      </c>
      <c r="T15" s="843">
        <f t="shared" si="7"/>
        <v>0</v>
      </c>
      <c r="U15" s="846">
        <f>+SUM(U13:U14)</f>
        <v>0</v>
      </c>
      <c r="V15" s="843">
        <f>SUM(V13:V14)</f>
        <v>0</v>
      </c>
      <c r="W15" s="845">
        <f t="shared" ref="W15:AG15" si="8">SUM(W13:W14)</f>
        <v>0</v>
      </c>
      <c r="X15" s="843">
        <f>SUM(X13:X14)</f>
        <v>0</v>
      </c>
      <c r="Y15" s="845">
        <f t="shared" si="8"/>
        <v>0</v>
      </c>
      <c r="Z15" s="843">
        <f t="shared" si="8"/>
        <v>0</v>
      </c>
      <c r="AA15" s="845">
        <f t="shared" si="8"/>
        <v>0</v>
      </c>
      <c r="AB15" s="844">
        <f t="shared" si="8"/>
        <v>0</v>
      </c>
      <c r="AC15" s="846">
        <f t="shared" si="8"/>
        <v>0</v>
      </c>
      <c r="AD15" s="847">
        <f t="shared" si="8"/>
        <v>0</v>
      </c>
      <c r="AE15" s="845">
        <f t="shared" si="8"/>
        <v>0</v>
      </c>
      <c r="AF15" s="843">
        <f>SUM(AF13:AF14)</f>
        <v>0</v>
      </c>
      <c r="AG15" s="845">
        <f t="shared" si="8"/>
        <v>0</v>
      </c>
      <c r="AH15" s="848">
        <f>+SUM(AH13:AH14)</f>
        <v>0</v>
      </c>
      <c r="AI15" s="846">
        <f>+SUM(AI13:AI14)</f>
        <v>0</v>
      </c>
      <c r="AJ15" s="843">
        <f>+SUM(AJ13:AJ14)</f>
        <v>0</v>
      </c>
      <c r="AK15" s="845">
        <f>+SUM(AK13:AK14)</f>
        <v>0</v>
      </c>
      <c r="AL15" s="470"/>
      <c r="AM15"/>
      <c r="AN15"/>
      <c r="AO15"/>
      <c r="AP15"/>
      <c r="AQ15"/>
      <c r="AR15"/>
      <c r="AS15"/>
      <c r="AT15"/>
      <c r="AU15"/>
      <c r="AV15"/>
      <c r="BF15" s="470"/>
      <c r="BG15" s="470"/>
      <c r="BH15" s="470"/>
      <c r="BI15" s="470"/>
      <c r="BJ15" s="470"/>
      <c r="BK15" s="470"/>
      <c r="BL15" s="470"/>
      <c r="BM15" s="470"/>
      <c r="BN15" s="470"/>
      <c r="BR15"/>
      <c r="BS15"/>
      <c r="CK15" s="468"/>
      <c r="DB15" s="468"/>
      <c r="DG15" s="468"/>
      <c r="DH15" s="468"/>
      <c r="DI15" s="468"/>
      <c r="DJ15" s="468"/>
      <c r="ER15" s="620"/>
      <c r="ES15" s="620"/>
      <c r="ET15" s="620"/>
      <c r="EU15" s="620"/>
    </row>
    <row r="16" spans="1:151" ht="15" customHeight="1" x14ac:dyDescent="0.25">
      <c r="A16" s="2007"/>
      <c r="B16" s="850" t="s">
        <v>230</v>
      </c>
      <c r="C16" s="818">
        <f t="shared" si="4"/>
        <v>0</v>
      </c>
      <c r="D16" s="819">
        <f t="shared" si="5"/>
        <v>0</v>
      </c>
      <c r="E16" s="820">
        <f t="shared" si="6"/>
        <v>0</v>
      </c>
      <c r="F16" s="821"/>
      <c r="G16" s="822"/>
      <c r="H16" s="821"/>
      <c r="I16" s="825"/>
      <c r="J16" s="821"/>
      <c r="K16" s="825"/>
      <c r="L16" s="821"/>
      <c r="M16" s="824"/>
      <c r="N16" s="821"/>
      <c r="O16" s="823"/>
      <c r="P16" s="821"/>
      <c r="Q16" s="823"/>
      <c r="R16" s="825"/>
      <c r="S16" s="825"/>
      <c r="T16" s="821"/>
      <c r="U16" s="826"/>
      <c r="V16" s="821"/>
      <c r="W16" s="823"/>
      <c r="X16" s="821"/>
      <c r="Y16" s="823"/>
      <c r="Z16" s="821"/>
      <c r="AA16" s="823"/>
      <c r="AB16" s="825"/>
      <c r="AC16" s="826"/>
      <c r="AD16" s="827"/>
      <c r="AE16" s="823"/>
      <c r="AF16" s="821"/>
      <c r="AG16" s="823"/>
      <c r="AH16" s="828"/>
      <c r="AI16" s="824"/>
      <c r="AJ16" s="821"/>
      <c r="AK16" s="823"/>
      <c r="AL16" s="470" t="str">
        <f>($DG16&amp;DH16&amp;DI16&amp;DJ16)</f>
        <v/>
      </c>
      <c r="AM16"/>
      <c r="AN16"/>
      <c r="AO16"/>
      <c r="AP16"/>
      <c r="AQ16"/>
      <c r="AR16"/>
      <c r="AS16"/>
      <c r="AT16"/>
      <c r="AU16"/>
      <c r="AV16"/>
      <c r="BF16" s="470"/>
      <c r="BG16" s="470"/>
      <c r="BH16" s="470"/>
      <c r="BI16" s="470"/>
      <c r="BJ16" s="470"/>
      <c r="BK16" s="470"/>
      <c r="BL16" s="470"/>
      <c r="BM16" s="470"/>
      <c r="BN16" s="470"/>
      <c r="BR16"/>
      <c r="BS16"/>
      <c r="CK16" s="468"/>
      <c r="DB16" s="468"/>
      <c r="DG16" s="620" t="str">
        <f>IF(AND(D16&gt;0,OR(AH16=""))," * No olvide digitar la variable Pueblos Originarios Hombres (Digite Cero si no tiene).",IF(AH16&gt;D16," * La variable Pueblos Originarios Hombres no puede ser Mayor al Total Hombres.",""))</f>
        <v/>
      </c>
      <c r="DH16" s="620" t="str">
        <f>IF(AND(E16&gt;0,OR(AI16=""))," * No olvide digitar la variable Pueblos Originarios Mujeres (Digite Cero si no tiene).",IF(AI16&gt;E16," * La variable Pueblos Originarios Mujeres no puede ser Mayor al Total Mujeres.",""))</f>
        <v/>
      </c>
      <c r="DI16" s="620" t="str">
        <f>IF(AND(D16&gt;0,OR(AJ16=""))," * No olvide digitar la variable Migrantes Hombres (Digite Cero si no tiene).",IF(AJ16&gt;D16," * La variable Migrantes Hombres no puede ser Mayor al Total.",""))</f>
        <v/>
      </c>
      <c r="DJ16" s="620" t="str">
        <f>IF(AND(E16&gt;0,OR(AK16=""))," * No olvide digitar la variable Migrantes Mujeres (Digite Cero si no tiene).",IF(AK16&gt;E16," * La variable Migrantes Mujeres no puede ser Mayor al Total.",""))</f>
        <v/>
      </c>
      <c r="ER16" s="501">
        <f>IF(AND(D16&gt;0,OR(AH16="")),1,IF(AH16&gt;D16,1,0))</f>
        <v>0</v>
      </c>
      <c r="ES16" s="501">
        <f>IF(AND(E16&gt;0,OR(AI16="")),1,IF(AI16&gt;E16,1,0))</f>
        <v>0</v>
      </c>
      <c r="ET16" s="501">
        <f>IF(AND(D16&gt;0,OR(AJ16="")),1,IF(AJ16&gt;D16,1,0))</f>
        <v>0</v>
      </c>
      <c r="EU16" s="501">
        <f>IF(AND(E16&gt;0,OR(AK16="")),1,IF(AK16&gt;E16,1,0))</f>
        <v>0</v>
      </c>
    </row>
    <row r="17" spans="1:151" ht="15" customHeight="1" x14ac:dyDescent="0.25">
      <c r="A17" s="2007"/>
      <c r="B17" s="830" t="s">
        <v>231</v>
      </c>
      <c r="C17" s="851">
        <f t="shared" si="4"/>
        <v>0</v>
      </c>
      <c r="D17" s="803">
        <f t="shared" si="5"/>
        <v>0</v>
      </c>
      <c r="E17" s="804">
        <f t="shared" si="6"/>
        <v>0</v>
      </c>
      <c r="F17" s="832"/>
      <c r="G17" s="833"/>
      <c r="H17" s="832"/>
      <c r="I17" s="836"/>
      <c r="J17" s="832"/>
      <c r="K17" s="836"/>
      <c r="L17" s="832"/>
      <c r="M17" s="835"/>
      <c r="N17" s="832"/>
      <c r="O17" s="834"/>
      <c r="P17" s="832"/>
      <c r="Q17" s="834"/>
      <c r="R17" s="836"/>
      <c r="S17" s="836"/>
      <c r="T17" s="832"/>
      <c r="U17" s="837"/>
      <c r="V17" s="832"/>
      <c r="W17" s="834"/>
      <c r="X17" s="832"/>
      <c r="Y17" s="834"/>
      <c r="Z17" s="832"/>
      <c r="AA17" s="834"/>
      <c r="AB17" s="836"/>
      <c r="AC17" s="837"/>
      <c r="AD17" s="838"/>
      <c r="AE17" s="834"/>
      <c r="AF17" s="832"/>
      <c r="AG17" s="834"/>
      <c r="AH17" s="839"/>
      <c r="AI17" s="835"/>
      <c r="AJ17" s="832"/>
      <c r="AK17" s="834"/>
      <c r="AL17" s="470" t="str">
        <f>($DG17&amp;DH17&amp;DI17&amp;DJ17)</f>
        <v/>
      </c>
      <c r="AM17"/>
      <c r="AN17"/>
      <c r="AO17"/>
      <c r="AP17"/>
      <c r="AQ17"/>
      <c r="AR17"/>
      <c r="AS17"/>
      <c r="AT17"/>
      <c r="AU17"/>
      <c r="AV17"/>
      <c r="BF17" s="470"/>
      <c r="BG17" s="470"/>
      <c r="BH17" s="470"/>
      <c r="BI17" s="470"/>
      <c r="BJ17" s="470"/>
      <c r="BK17" s="470"/>
      <c r="BL17" s="470"/>
      <c r="BM17" s="470"/>
      <c r="BN17" s="470"/>
      <c r="BR17"/>
      <c r="BS17"/>
      <c r="CK17" s="468"/>
      <c r="DB17" s="468"/>
      <c r="DG17" s="620" t="str">
        <f>IF(AND(D17&gt;0,OR(AH17=""))," * No olvide digitar la variable Pueblos Originarios Hombres (Digite Cero si no tiene).",IF(AH17&gt;D17," * La variable Pueblos Originarios Hombres no puede ser Mayor al Total Hombres.",""))</f>
        <v/>
      </c>
      <c r="DH17" s="620" t="str">
        <f>IF(AND(E17&gt;0,OR(AI17=""))," * No olvide digitar la variable Pueblos Originarios Mujeres (Digite Cero si no tiene).",IF(AI17&gt;E17," * La variable Pueblos Originarios Mujeres no puede ser Mayor al Total Mujeres.",""))</f>
        <v/>
      </c>
      <c r="DI17" s="620" t="str">
        <f>IF(AND(D17&gt;0,OR(AJ17=""))," * No olvide digitar la variable Migrantes Hombres (Digite Cero si no tiene).",IF(AJ17&gt;D17," * La variable Migrantes Hombres no puede ser Mayor al Total.",""))</f>
        <v/>
      </c>
      <c r="DJ17" s="620" t="str">
        <f>IF(AND(E17&gt;0,OR(AK17=""))," * No olvide digitar la variable Migrantes Mujeres (Digite Cero si no tiene).",IF(AK17&gt;E17," * La variable Migrantes Mujeres no puede ser Mayor al Total.",""))</f>
        <v/>
      </c>
      <c r="ER17" s="501">
        <f>IF(AND(D17&gt;0,OR(AH17="")),1,IF(AH17&gt;D17,1,0))</f>
        <v>0</v>
      </c>
      <c r="ES17" s="501">
        <f>IF(AND(E17&gt;0,OR(AI17="")),1,IF(AI17&gt;E17,1,0))</f>
        <v>0</v>
      </c>
      <c r="ET17" s="501">
        <f>IF(AND(D17&gt;0,OR(AJ17="")),1,IF(AJ17&gt;D17,1,0))</f>
        <v>0</v>
      </c>
      <c r="EU17" s="501">
        <f>IF(AND(E17&gt;0,OR(AK17="")),1,IF(AK17&gt;E17,1,0))</f>
        <v>0</v>
      </c>
    </row>
    <row r="18" spans="1:151" ht="15" customHeight="1" x14ac:dyDescent="0.25">
      <c r="A18" s="2008"/>
      <c r="B18" s="841" t="s">
        <v>89</v>
      </c>
      <c r="C18" s="842">
        <f t="shared" si="4"/>
        <v>0</v>
      </c>
      <c r="D18" s="803">
        <f t="shared" si="5"/>
        <v>0</v>
      </c>
      <c r="E18" s="804">
        <f t="shared" si="6"/>
        <v>0</v>
      </c>
      <c r="F18" s="843">
        <f t="shared" ref="F18:G18" si="9">+SUM(F16:F17)</f>
        <v>0</v>
      </c>
      <c r="G18" s="844">
        <f t="shared" si="9"/>
        <v>0</v>
      </c>
      <c r="H18" s="843">
        <f>SUM(H16:H17)</f>
        <v>0</v>
      </c>
      <c r="I18" s="845">
        <f t="shared" ref="I18:U18" si="10">SUM(I16:I17)</f>
        <v>0</v>
      </c>
      <c r="J18" s="843">
        <f t="shared" si="10"/>
        <v>0</v>
      </c>
      <c r="K18" s="845">
        <f t="shared" si="10"/>
        <v>0</v>
      </c>
      <c r="L18" s="843">
        <f t="shared" si="10"/>
        <v>0</v>
      </c>
      <c r="M18" s="846">
        <f t="shared" si="10"/>
        <v>0</v>
      </c>
      <c r="N18" s="843">
        <f t="shared" si="10"/>
        <v>0</v>
      </c>
      <c r="O18" s="845">
        <f t="shared" si="10"/>
        <v>0</v>
      </c>
      <c r="P18" s="843">
        <f t="shared" si="10"/>
        <v>0</v>
      </c>
      <c r="Q18" s="845">
        <f t="shared" si="10"/>
        <v>0</v>
      </c>
      <c r="R18" s="844">
        <f t="shared" si="10"/>
        <v>0</v>
      </c>
      <c r="S18" s="845">
        <f t="shared" si="10"/>
        <v>0</v>
      </c>
      <c r="T18" s="843">
        <f t="shared" si="10"/>
        <v>0</v>
      </c>
      <c r="U18" s="846">
        <f t="shared" si="10"/>
        <v>0</v>
      </c>
      <c r="V18" s="843">
        <f>SUM(V16:V17)</f>
        <v>0</v>
      </c>
      <c r="W18" s="845">
        <f t="shared" ref="W18:AG18" si="11">SUM(W16:W17)</f>
        <v>0</v>
      </c>
      <c r="X18" s="843">
        <f t="shared" si="11"/>
        <v>0</v>
      </c>
      <c r="Y18" s="845">
        <f t="shared" si="11"/>
        <v>0</v>
      </c>
      <c r="Z18" s="843">
        <f t="shared" si="11"/>
        <v>0</v>
      </c>
      <c r="AA18" s="845">
        <f t="shared" si="11"/>
        <v>0</v>
      </c>
      <c r="AB18" s="844">
        <f t="shared" si="11"/>
        <v>0</v>
      </c>
      <c r="AC18" s="846">
        <f t="shared" si="11"/>
        <v>0</v>
      </c>
      <c r="AD18" s="847">
        <f t="shared" si="11"/>
        <v>0</v>
      </c>
      <c r="AE18" s="845">
        <f t="shared" si="11"/>
        <v>0</v>
      </c>
      <c r="AF18" s="843">
        <f t="shared" si="11"/>
        <v>0</v>
      </c>
      <c r="AG18" s="845">
        <f t="shared" si="11"/>
        <v>0</v>
      </c>
      <c r="AH18" s="848">
        <f>SUM(AH16:AH17)</f>
        <v>0</v>
      </c>
      <c r="AI18" s="846">
        <f>SUM(AI16:AI17)</f>
        <v>0</v>
      </c>
      <c r="AJ18" s="843">
        <f>SUM(AJ16:AJ17)</f>
        <v>0</v>
      </c>
      <c r="AK18" s="845">
        <f>SUM(AK16:AK17)</f>
        <v>0</v>
      </c>
      <c r="AL18" s="470"/>
      <c r="AM18"/>
      <c r="AN18"/>
      <c r="AO18"/>
      <c r="AP18"/>
      <c r="AQ18"/>
      <c r="AR18"/>
      <c r="AS18"/>
      <c r="AT18"/>
      <c r="AU18"/>
      <c r="AV18"/>
      <c r="BF18" s="470"/>
      <c r="BG18" s="470"/>
      <c r="BH18" s="470"/>
      <c r="BI18" s="470"/>
      <c r="BJ18" s="470"/>
      <c r="BK18" s="470"/>
      <c r="BL18" s="470"/>
      <c r="BM18" s="470"/>
      <c r="BN18" s="470"/>
      <c r="BR18"/>
      <c r="BS18"/>
      <c r="CK18" s="468"/>
      <c r="DB18" s="468"/>
      <c r="DG18" s="468"/>
      <c r="DH18" s="468"/>
      <c r="DI18" s="468"/>
      <c r="DJ18" s="468"/>
      <c r="ER18" s="620"/>
      <c r="ES18" s="620"/>
      <c r="ET18" s="620"/>
      <c r="EU18" s="620"/>
    </row>
    <row r="19" spans="1:151" ht="15" customHeight="1" x14ac:dyDescent="0.25">
      <c r="A19" s="2006" t="s">
        <v>232</v>
      </c>
      <c r="B19" s="850" t="s">
        <v>228</v>
      </c>
      <c r="C19" s="852">
        <f t="shared" si="4"/>
        <v>0</v>
      </c>
      <c r="D19" s="819">
        <f t="shared" si="5"/>
        <v>0</v>
      </c>
      <c r="E19" s="820">
        <f t="shared" si="6"/>
        <v>0</v>
      </c>
      <c r="F19" s="821"/>
      <c r="G19" s="822"/>
      <c r="H19" s="821"/>
      <c r="I19" s="825"/>
      <c r="J19" s="821"/>
      <c r="K19" s="825"/>
      <c r="L19" s="821"/>
      <c r="M19" s="824"/>
      <c r="N19" s="821"/>
      <c r="O19" s="823"/>
      <c r="P19" s="821"/>
      <c r="Q19" s="823"/>
      <c r="R19" s="825"/>
      <c r="S19" s="825"/>
      <c r="T19" s="821"/>
      <c r="U19" s="826"/>
      <c r="V19" s="821"/>
      <c r="W19" s="823"/>
      <c r="X19" s="821"/>
      <c r="Y19" s="823"/>
      <c r="Z19" s="821"/>
      <c r="AA19" s="823"/>
      <c r="AB19" s="825"/>
      <c r="AC19" s="826"/>
      <c r="AD19" s="827"/>
      <c r="AE19" s="823"/>
      <c r="AF19" s="821"/>
      <c r="AG19" s="823"/>
      <c r="AH19" s="828"/>
      <c r="AI19" s="824"/>
      <c r="AJ19" s="821"/>
      <c r="AK19" s="823"/>
      <c r="AL19" s="470" t="str">
        <f>($DG19&amp;DH19&amp;DI19&amp;DJ19)</f>
        <v/>
      </c>
      <c r="AM19"/>
      <c r="AN19"/>
      <c r="AO19"/>
      <c r="AP19"/>
      <c r="AQ19"/>
      <c r="AR19"/>
      <c r="AS19"/>
      <c r="AT19"/>
      <c r="AU19"/>
      <c r="AV19"/>
      <c r="BF19" s="470"/>
      <c r="BG19" s="470"/>
      <c r="BH19" s="470"/>
      <c r="BI19" s="470"/>
      <c r="BJ19" s="470"/>
      <c r="BK19" s="470"/>
      <c r="BL19" s="470"/>
      <c r="BM19" s="470"/>
      <c r="BN19" s="470"/>
      <c r="BR19"/>
      <c r="BS19"/>
      <c r="CK19" s="468"/>
      <c r="DB19" s="468"/>
      <c r="DG19" s="620" t="str">
        <f>IF(AND(D19&gt;0,OR(AH19=""))," * No olvide digitar la variable Pueblos Originarios Hombres (Digite Cero si no tiene).",IF(AH19&gt;D19," * La variable Pueblos Originarios Hombres no puede ser Mayor al Total Hombres.",""))</f>
        <v/>
      </c>
      <c r="DH19" s="620" t="str">
        <f>IF(AND(E19&gt;0,OR(AI19=""))," * No olvide digitar la variable Pueblos Originarios Mujeres (Digite Cero si no tiene).",IF(AI19&gt;E19," * La variable Pueblos Originarios Mujeres no puede ser Mayor al Total Mujeres.",""))</f>
        <v/>
      </c>
      <c r="DI19" s="620" t="str">
        <f>IF(AND(D19&gt;0,OR(AJ19=""))," * No olvide digitar la variable Migrantes Hombres (Digite Cero si no tiene).",IF(AJ19&gt;D19," * La variable Migrantes Hombres no puede ser Mayor al Total.",""))</f>
        <v/>
      </c>
      <c r="DJ19" s="620" t="str">
        <f>IF(AND(E19&gt;0,OR(AK19=""))," * No olvide digitar la variable Migrantes Mujeres (Digite Cero si no tiene).",IF(AK19&gt;E19," * La variable Migrantes Mujeres no puede ser Mayor al Total.",""))</f>
        <v/>
      </c>
      <c r="ER19" s="501">
        <f>IF(AND(D19&gt;0,OR(AH19="")),1,IF(AH19&gt;D19,1,0))</f>
        <v>0</v>
      </c>
      <c r="ES19" s="501">
        <f>IF(AND(E19&gt;0,OR(AI19="")),1,IF(AI19&gt;E19,1,0))</f>
        <v>0</v>
      </c>
      <c r="ET19" s="501">
        <f>IF(AND(D19&gt;0,OR(AJ19="")),1,IF(AJ19&gt;D19,1,0))</f>
        <v>0</v>
      </c>
      <c r="EU19" s="501">
        <f>IF(AND(E19&gt;0,OR(AK19="")),1,IF(AK19&gt;E19,1,0))</f>
        <v>0</v>
      </c>
    </row>
    <row r="20" spans="1:151" ht="15" customHeight="1" x14ac:dyDescent="0.25">
      <c r="A20" s="2007"/>
      <c r="B20" s="830" t="s">
        <v>229</v>
      </c>
      <c r="C20" s="831">
        <f t="shared" si="4"/>
        <v>0</v>
      </c>
      <c r="D20" s="803">
        <f t="shared" si="5"/>
        <v>0</v>
      </c>
      <c r="E20" s="804">
        <f t="shared" si="6"/>
        <v>0</v>
      </c>
      <c r="F20" s="832"/>
      <c r="G20" s="833"/>
      <c r="H20" s="832"/>
      <c r="I20" s="836"/>
      <c r="J20" s="832"/>
      <c r="K20" s="836"/>
      <c r="L20" s="832"/>
      <c r="M20" s="835"/>
      <c r="N20" s="832"/>
      <c r="O20" s="834"/>
      <c r="P20" s="832"/>
      <c r="Q20" s="834"/>
      <c r="R20" s="836"/>
      <c r="S20" s="836"/>
      <c r="T20" s="832"/>
      <c r="U20" s="837"/>
      <c r="V20" s="832"/>
      <c r="W20" s="834"/>
      <c r="X20" s="832"/>
      <c r="Y20" s="834"/>
      <c r="Z20" s="832"/>
      <c r="AA20" s="834"/>
      <c r="AB20" s="836"/>
      <c r="AC20" s="837"/>
      <c r="AD20" s="838"/>
      <c r="AE20" s="834"/>
      <c r="AF20" s="832"/>
      <c r="AG20" s="834"/>
      <c r="AH20" s="839"/>
      <c r="AI20" s="835"/>
      <c r="AJ20" s="832"/>
      <c r="AK20" s="834"/>
      <c r="AL20" s="470" t="str">
        <f>($DG20&amp;DH20&amp;DI20&amp;DJ20)</f>
        <v/>
      </c>
      <c r="AM20"/>
      <c r="AN20"/>
      <c r="AO20"/>
      <c r="AP20"/>
      <c r="AQ20"/>
      <c r="AR20"/>
      <c r="AS20"/>
      <c r="AT20"/>
      <c r="AU20"/>
      <c r="AV20"/>
      <c r="BF20" s="470"/>
      <c r="BG20" s="470"/>
      <c r="BH20" s="470"/>
      <c r="BI20" s="470"/>
      <c r="BJ20" s="470"/>
      <c r="BK20" s="470"/>
      <c r="BL20" s="470"/>
      <c r="BM20" s="470"/>
      <c r="BN20" s="470"/>
      <c r="BR20"/>
      <c r="BS20"/>
      <c r="CA20" s="853"/>
      <c r="CB20" s="853"/>
      <c r="CC20" s="853"/>
      <c r="CD20" s="853"/>
      <c r="CE20" s="853"/>
      <c r="CF20" s="853"/>
      <c r="CG20" s="853"/>
      <c r="CK20" s="468"/>
      <c r="DB20" s="468"/>
      <c r="DG20" s="620" t="str">
        <f>IF(AND(D20&gt;0,OR(AH20=""))," * No olvide digitar la variable Pueblos Originarios Hombres (Digite Cero si no tiene).",IF(AH20&gt;D20," * La variable Pueblos Originarios Hombres no puede ser Mayor al Total Hombres.",""))</f>
        <v/>
      </c>
      <c r="DH20" s="620" t="str">
        <f>IF(AND(E20&gt;0,OR(AI20=""))," * No olvide digitar la variable Pueblos Originarios Mujeres (Digite Cero si no tiene).",IF(AI20&gt;E20," * La variable Pueblos Originarios Mujeres no puede ser Mayor al Total Mujeres.",""))</f>
        <v/>
      </c>
      <c r="DI20" s="620" t="str">
        <f>IF(AND(D20&gt;0,OR(AJ20=""))," * No olvide digitar la variable Migrantes Hombres (Digite Cero si no tiene).",IF(AJ20&gt;D20," * La variable Migrantes Hombres no puede ser Mayor al Total.",""))</f>
        <v/>
      </c>
      <c r="DJ20" s="620" t="str">
        <f>IF(AND(E20&gt;0,OR(AK20=""))," * No olvide digitar la variable Migrantes Mujeres (Digite Cero si no tiene).",IF(AK20&gt;E20," * La variable Migrantes Mujeres no puede ser Mayor al Total.",""))</f>
        <v/>
      </c>
      <c r="ER20" s="501">
        <f>IF(AND(D20&gt;0,OR(AH20="")),1,IF(AH20&gt;D20,1,0))</f>
        <v>0</v>
      </c>
      <c r="ES20" s="501">
        <f>IF(AND(E20&gt;0,OR(AI20="")),1,IF(AI20&gt;E20,1,0))</f>
        <v>0</v>
      </c>
      <c r="ET20" s="501">
        <f>IF(AND(D20&gt;0,OR(AJ20="")),1,IF(AJ20&gt;D20,1,0))</f>
        <v>0</v>
      </c>
      <c r="EU20" s="501">
        <f>IF(AND(E20&gt;0,OR(AK20="")),1,IF(AK20&gt;E20,1,0))</f>
        <v>0</v>
      </c>
    </row>
    <row r="21" spans="1:151" ht="15" customHeight="1" x14ac:dyDescent="0.25">
      <c r="A21" s="2007"/>
      <c r="B21" s="841" t="s">
        <v>89</v>
      </c>
      <c r="C21" s="842">
        <f t="shared" si="4"/>
        <v>0</v>
      </c>
      <c r="D21" s="803">
        <f t="shared" si="5"/>
        <v>0</v>
      </c>
      <c r="E21" s="804">
        <f t="shared" si="6"/>
        <v>0</v>
      </c>
      <c r="F21" s="843">
        <f>SUM(F19:F20)</f>
        <v>0</v>
      </c>
      <c r="G21" s="844">
        <f t="shared" ref="G21" si="12">SUM(G19:G20)</f>
        <v>0</v>
      </c>
      <c r="H21" s="843">
        <f>+SUM(H19:H20)</f>
        <v>0</v>
      </c>
      <c r="I21" s="845">
        <f>+SUM(I19:I20)</f>
        <v>0</v>
      </c>
      <c r="J21" s="843">
        <f t="shared" ref="J21:AK21" si="13">+SUM(J19:J20)</f>
        <v>0</v>
      </c>
      <c r="K21" s="845">
        <f t="shared" si="13"/>
        <v>0</v>
      </c>
      <c r="L21" s="843">
        <f t="shared" si="13"/>
        <v>0</v>
      </c>
      <c r="M21" s="846">
        <f t="shared" si="13"/>
        <v>0</v>
      </c>
      <c r="N21" s="843">
        <f t="shared" si="13"/>
        <v>0</v>
      </c>
      <c r="O21" s="845">
        <f t="shared" si="13"/>
        <v>0</v>
      </c>
      <c r="P21" s="843">
        <f t="shared" si="13"/>
        <v>0</v>
      </c>
      <c r="Q21" s="845">
        <f t="shared" si="13"/>
        <v>0</v>
      </c>
      <c r="R21" s="844">
        <f t="shared" si="13"/>
        <v>0</v>
      </c>
      <c r="S21" s="845">
        <f t="shared" si="13"/>
        <v>0</v>
      </c>
      <c r="T21" s="843">
        <f t="shared" si="13"/>
        <v>0</v>
      </c>
      <c r="U21" s="846">
        <f t="shared" si="13"/>
        <v>0</v>
      </c>
      <c r="V21" s="843">
        <f t="shared" si="13"/>
        <v>0</v>
      </c>
      <c r="W21" s="845">
        <f t="shared" si="13"/>
        <v>0</v>
      </c>
      <c r="X21" s="843">
        <f t="shared" si="13"/>
        <v>0</v>
      </c>
      <c r="Y21" s="845">
        <f t="shared" si="13"/>
        <v>0</v>
      </c>
      <c r="Z21" s="843">
        <f t="shared" si="13"/>
        <v>0</v>
      </c>
      <c r="AA21" s="845">
        <f t="shared" si="13"/>
        <v>0</v>
      </c>
      <c r="AB21" s="844">
        <f t="shared" si="13"/>
        <v>0</v>
      </c>
      <c r="AC21" s="846">
        <f t="shared" si="13"/>
        <v>0</v>
      </c>
      <c r="AD21" s="847">
        <f t="shared" si="13"/>
        <v>0</v>
      </c>
      <c r="AE21" s="845">
        <f t="shared" si="13"/>
        <v>0</v>
      </c>
      <c r="AF21" s="843">
        <f t="shared" si="13"/>
        <v>0</v>
      </c>
      <c r="AG21" s="845">
        <f t="shared" si="13"/>
        <v>0</v>
      </c>
      <c r="AH21" s="848">
        <f t="shared" si="13"/>
        <v>0</v>
      </c>
      <c r="AI21" s="846">
        <f t="shared" si="13"/>
        <v>0</v>
      </c>
      <c r="AJ21" s="843">
        <f t="shared" si="13"/>
        <v>0</v>
      </c>
      <c r="AK21" s="845">
        <f t="shared" si="13"/>
        <v>0</v>
      </c>
      <c r="AL21" s="470"/>
      <c r="AM21"/>
      <c r="AN21"/>
      <c r="AO21"/>
      <c r="AP21"/>
      <c r="AQ21"/>
      <c r="AR21"/>
      <c r="AS21"/>
      <c r="AT21"/>
      <c r="AU21"/>
      <c r="AV21"/>
      <c r="BF21" s="470"/>
      <c r="BG21" s="470"/>
      <c r="BH21" s="470"/>
      <c r="BI21" s="470"/>
      <c r="BJ21" s="470"/>
      <c r="BK21" s="470"/>
      <c r="BL21" s="470"/>
      <c r="BM21" s="470"/>
      <c r="BN21" s="470"/>
      <c r="BR21"/>
      <c r="BS21"/>
      <c r="CK21" s="468"/>
      <c r="DB21" s="468"/>
      <c r="DG21" s="468"/>
      <c r="DH21" s="468"/>
      <c r="DI21" s="468"/>
      <c r="DJ21" s="468"/>
      <c r="ER21" s="620"/>
      <c r="ES21" s="620"/>
      <c r="ET21" s="620"/>
      <c r="EU21" s="620"/>
    </row>
    <row r="22" spans="1:151" ht="15" customHeight="1" x14ac:dyDescent="0.25">
      <c r="A22" s="2007"/>
      <c r="B22" s="850" t="s">
        <v>230</v>
      </c>
      <c r="C22" s="852">
        <f t="shared" si="4"/>
        <v>0</v>
      </c>
      <c r="D22" s="819">
        <f t="shared" si="5"/>
        <v>0</v>
      </c>
      <c r="E22" s="820">
        <f t="shared" si="6"/>
        <v>0</v>
      </c>
      <c r="F22" s="821"/>
      <c r="G22" s="822"/>
      <c r="H22" s="821"/>
      <c r="I22" s="825"/>
      <c r="J22" s="821"/>
      <c r="K22" s="825"/>
      <c r="L22" s="821"/>
      <c r="M22" s="824"/>
      <c r="N22" s="821"/>
      <c r="O22" s="823"/>
      <c r="P22" s="821"/>
      <c r="Q22" s="823"/>
      <c r="R22" s="825"/>
      <c r="S22" s="825"/>
      <c r="T22" s="821"/>
      <c r="U22" s="826"/>
      <c r="V22" s="821"/>
      <c r="W22" s="823"/>
      <c r="X22" s="821"/>
      <c r="Y22" s="823"/>
      <c r="Z22" s="821"/>
      <c r="AA22" s="823"/>
      <c r="AB22" s="825"/>
      <c r="AC22" s="826"/>
      <c r="AD22" s="827"/>
      <c r="AE22" s="823"/>
      <c r="AF22" s="821"/>
      <c r="AG22" s="823"/>
      <c r="AH22" s="828"/>
      <c r="AI22" s="824"/>
      <c r="AJ22" s="821"/>
      <c r="AK22" s="823"/>
      <c r="AL22" s="470" t="str">
        <f>($DG22&amp;DH22&amp;DI22&amp;DJ22)</f>
        <v/>
      </c>
      <c r="AM22"/>
      <c r="AN22"/>
      <c r="AO22"/>
      <c r="AP22"/>
      <c r="AQ22"/>
      <c r="AR22"/>
      <c r="AS22"/>
      <c r="AT22"/>
      <c r="AU22"/>
      <c r="AV22"/>
      <c r="BF22" s="470"/>
      <c r="BG22" s="470"/>
      <c r="BH22" s="470"/>
      <c r="BI22" s="470"/>
      <c r="BJ22" s="470"/>
      <c r="BK22" s="470"/>
      <c r="BL22" s="470"/>
      <c r="BM22" s="470"/>
      <c r="BN22" s="470"/>
      <c r="BR22"/>
      <c r="BS22"/>
      <c r="CK22" s="468"/>
      <c r="DB22" s="468"/>
      <c r="DG22" s="620" t="str">
        <f>IF(AND(D22&gt;0,OR(AH22=""))," * No olvide digitar la variable Pueblos Originarios Hombres (Digite Cero si no tiene).",IF(AH22&gt;D22," * La variable Pueblos Originarios Hombres no puede ser Mayor al Total Hombres.",""))</f>
        <v/>
      </c>
      <c r="DH22" s="620" t="str">
        <f>IF(AND(E22&gt;0,OR(AI22=""))," * No olvide digitar la variable Pueblos Originarios Mujeres (Digite Cero si no tiene).",IF(AI22&gt;E22," * La variable Pueblos Originarios Mujeres no puede ser Mayor al Total Mujeres.",""))</f>
        <v/>
      </c>
      <c r="DI22" s="620" t="str">
        <f>IF(AND(D22&gt;0,OR(AJ22=""))," * No olvide digitar la variable Migrantes Hombres (Digite Cero si no tiene).",IF(AJ22&gt;D22," * La variable Migrantes Hombres no puede ser Mayor al Total.",""))</f>
        <v/>
      </c>
      <c r="DJ22" s="620" t="str">
        <f>IF(AND(E22&gt;0,OR(AK22=""))," * No olvide digitar la variable Migrantes Mujeres (Digite Cero si no tiene).",IF(AK22&gt;E22," * La variable Migrantes Mujeres no puede ser Mayor al Total.",""))</f>
        <v/>
      </c>
      <c r="ER22" s="501">
        <f>IF(AND(D22&gt;0,OR(AH22="")),1,IF(AH22&gt;D22,1,0))</f>
        <v>0</v>
      </c>
      <c r="ES22" s="501">
        <f>IF(AND(E22&gt;0,OR(AI22="")),1,IF(AI22&gt;E22,1,0))</f>
        <v>0</v>
      </c>
      <c r="ET22" s="501">
        <f>IF(AND(D22&gt;0,OR(AJ22="")),1,IF(AJ22&gt;D22,1,0))</f>
        <v>0</v>
      </c>
      <c r="EU22" s="501">
        <f>IF(AND(E22&gt;0,OR(AK22="")),1,IF(AK22&gt;E22,1,0))</f>
        <v>0</v>
      </c>
    </row>
    <row r="23" spans="1:151" ht="15" customHeight="1" x14ac:dyDescent="0.25">
      <c r="A23" s="2007"/>
      <c r="B23" s="830" t="s">
        <v>231</v>
      </c>
      <c r="C23" s="831">
        <f t="shared" si="4"/>
        <v>0</v>
      </c>
      <c r="D23" s="803">
        <f t="shared" si="5"/>
        <v>0</v>
      </c>
      <c r="E23" s="804">
        <f t="shared" si="6"/>
        <v>0</v>
      </c>
      <c r="F23" s="832"/>
      <c r="G23" s="833"/>
      <c r="H23" s="832"/>
      <c r="I23" s="836"/>
      <c r="J23" s="832"/>
      <c r="K23" s="836"/>
      <c r="L23" s="832"/>
      <c r="M23" s="835"/>
      <c r="N23" s="832"/>
      <c r="O23" s="834"/>
      <c r="P23" s="832"/>
      <c r="Q23" s="834"/>
      <c r="R23" s="836"/>
      <c r="S23" s="836"/>
      <c r="T23" s="832"/>
      <c r="U23" s="837"/>
      <c r="V23" s="832"/>
      <c r="W23" s="834"/>
      <c r="X23" s="832"/>
      <c r="Y23" s="834"/>
      <c r="Z23" s="832"/>
      <c r="AA23" s="834"/>
      <c r="AB23" s="836"/>
      <c r="AC23" s="837"/>
      <c r="AD23" s="838"/>
      <c r="AE23" s="834"/>
      <c r="AF23" s="832"/>
      <c r="AG23" s="834"/>
      <c r="AH23" s="839"/>
      <c r="AI23" s="835"/>
      <c r="AJ23" s="832"/>
      <c r="AK23" s="834"/>
      <c r="AL23" s="470" t="str">
        <f>($DG23&amp;DH23&amp;DI23&amp;DJ23)</f>
        <v/>
      </c>
      <c r="AM23"/>
      <c r="AN23"/>
      <c r="AO23"/>
      <c r="AP23"/>
      <c r="AQ23"/>
      <c r="AR23"/>
      <c r="AS23"/>
      <c r="AT23"/>
      <c r="AU23"/>
      <c r="AV23"/>
      <c r="BF23" s="470"/>
      <c r="BG23" s="470"/>
      <c r="BH23" s="470"/>
      <c r="BI23" s="470"/>
      <c r="BJ23" s="470"/>
      <c r="BK23" s="470"/>
      <c r="BL23" s="470"/>
      <c r="BM23" s="470"/>
      <c r="BN23" s="470"/>
      <c r="BR23"/>
      <c r="BS23"/>
      <c r="CA23" s="853"/>
      <c r="CB23" s="853"/>
      <c r="CC23" s="853"/>
      <c r="CD23" s="853"/>
      <c r="CE23" s="853"/>
      <c r="CF23" s="853"/>
      <c r="CG23" s="853"/>
      <c r="CK23" s="468"/>
      <c r="DB23" s="468"/>
      <c r="DG23" s="620" t="str">
        <f>IF(AND(D23&gt;0,OR(AH23=""))," * No olvide digitar la variable Pueblos Originarios Hombres (Digite Cero si no tiene).",IF(AH23&gt;D23," * La variable Pueblos Originarios Hombres no puede ser Mayor al Total Hombres.",""))</f>
        <v/>
      </c>
      <c r="DH23" s="620" t="str">
        <f>IF(AND(E23&gt;0,OR(AI23=""))," * No olvide digitar la variable Pueblos Originarios Mujeres (Digite Cero si no tiene).",IF(AI23&gt;E23," * La variable Pueblos Originarios Mujeres no puede ser Mayor al Total Mujeres.",""))</f>
        <v/>
      </c>
      <c r="DI23" s="620" t="str">
        <f>IF(AND(D23&gt;0,OR(AJ23=""))," * No olvide digitar la variable Migrantes Hombres (Digite Cero si no tiene).",IF(AJ23&gt;D23," * La variable Migrantes Hombres no puede ser Mayor al Total.",""))</f>
        <v/>
      </c>
      <c r="DJ23" s="620" t="str">
        <f>IF(AND(E23&gt;0,OR(AK23=""))," * No olvide digitar la variable Migrantes Mujeres (Digite Cero si no tiene).",IF(AK23&gt;E23," * La variable Migrantes Mujeres no puede ser Mayor al Total.",""))</f>
        <v/>
      </c>
      <c r="ER23" s="501">
        <f>IF(AND(D23&gt;0,OR(AH23="")),1,IF(AH23&gt;D23,1,0))</f>
        <v>0</v>
      </c>
      <c r="ES23" s="501">
        <f>IF(AND(E23&gt;0,OR(AI23="")),1,IF(AI23&gt;E23,1,0))</f>
        <v>0</v>
      </c>
      <c r="ET23" s="501">
        <f>IF(AND(D23&gt;0,OR(AJ23="")),1,IF(AJ23&gt;D23,1,0))</f>
        <v>0</v>
      </c>
      <c r="EU23" s="501">
        <f>IF(AND(E23&gt;0,OR(AK23="")),1,IF(AK23&gt;E23,1,0))</f>
        <v>0</v>
      </c>
    </row>
    <row r="24" spans="1:151" ht="15" customHeight="1" x14ac:dyDescent="0.25">
      <c r="A24" s="2008"/>
      <c r="B24" s="841" t="s">
        <v>89</v>
      </c>
      <c r="C24" s="842">
        <f t="shared" si="4"/>
        <v>0</v>
      </c>
      <c r="D24" s="803">
        <f t="shared" si="5"/>
        <v>0</v>
      </c>
      <c r="E24" s="804">
        <f t="shared" si="6"/>
        <v>0</v>
      </c>
      <c r="F24" s="843">
        <f t="shared" ref="F24:G24" si="14">SUM(F22:F23)</f>
        <v>0</v>
      </c>
      <c r="G24" s="844">
        <f t="shared" si="14"/>
        <v>0</v>
      </c>
      <c r="H24" s="843">
        <f>SUM(H22:H23)</f>
        <v>0</v>
      </c>
      <c r="I24" s="845">
        <f>SUM(I22:I23)</f>
        <v>0</v>
      </c>
      <c r="J24" s="843">
        <f t="shared" ref="J24:AJ24" si="15">SUM(J22:J23)</f>
        <v>0</v>
      </c>
      <c r="K24" s="845">
        <f t="shared" si="15"/>
        <v>0</v>
      </c>
      <c r="L24" s="843">
        <f t="shared" si="15"/>
        <v>0</v>
      </c>
      <c r="M24" s="846">
        <f t="shared" si="15"/>
        <v>0</v>
      </c>
      <c r="N24" s="843">
        <f t="shared" si="15"/>
        <v>0</v>
      </c>
      <c r="O24" s="845">
        <f t="shared" si="15"/>
        <v>0</v>
      </c>
      <c r="P24" s="843">
        <f t="shared" si="15"/>
        <v>0</v>
      </c>
      <c r="Q24" s="845">
        <f t="shared" si="15"/>
        <v>0</v>
      </c>
      <c r="R24" s="844">
        <f t="shared" si="15"/>
        <v>0</v>
      </c>
      <c r="S24" s="845">
        <f t="shared" si="15"/>
        <v>0</v>
      </c>
      <c r="T24" s="843">
        <f t="shared" si="15"/>
        <v>0</v>
      </c>
      <c r="U24" s="846">
        <f t="shared" si="15"/>
        <v>0</v>
      </c>
      <c r="V24" s="843">
        <f t="shared" si="15"/>
        <v>0</v>
      </c>
      <c r="W24" s="845">
        <f t="shared" si="15"/>
        <v>0</v>
      </c>
      <c r="X24" s="843">
        <f t="shared" si="15"/>
        <v>0</v>
      </c>
      <c r="Y24" s="845">
        <f t="shared" si="15"/>
        <v>0</v>
      </c>
      <c r="Z24" s="843">
        <f t="shared" si="15"/>
        <v>0</v>
      </c>
      <c r="AA24" s="845">
        <f t="shared" si="15"/>
        <v>0</v>
      </c>
      <c r="AB24" s="843">
        <f t="shared" si="15"/>
        <v>0</v>
      </c>
      <c r="AC24" s="854">
        <f t="shared" si="15"/>
        <v>0</v>
      </c>
      <c r="AD24" s="847">
        <f t="shared" si="15"/>
        <v>0</v>
      </c>
      <c r="AE24" s="845">
        <f t="shared" si="15"/>
        <v>0</v>
      </c>
      <c r="AF24" s="843">
        <f t="shared" si="15"/>
        <v>0</v>
      </c>
      <c r="AG24" s="845">
        <f t="shared" si="15"/>
        <v>0</v>
      </c>
      <c r="AH24" s="848">
        <f t="shared" si="15"/>
        <v>0</v>
      </c>
      <c r="AI24" s="846">
        <f t="shared" si="15"/>
        <v>0</v>
      </c>
      <c r="AJ24" s="843">
        <f t="shared" si="15"/>
        <v>0</v>
      </c>
      <c r="AK24" s="845">
        <f>SUM(AK22:AK23)</f>
        <v>0</v>
      </c>
      <c r="AL24" s="470"/>
      <c r="AM24"/>
      <c r="AN24"/>
      <c r="AO24"/>
      <c r="AP24"/>
      <c r="AQ24"/>
      <c r="AR24"/>
      <c r="AS24"/>
      <c r="AT24"/>
      <c r="AU24"/>
      <c r="AV24"/>
      <c r="BF24" s="470"/>
      <c r="BG24" s="470"/>
      <c r="BH24" s="470"/>
      <c r="BI24" s="470"/>
      <c r="BJ24" s="470"/>
      <c r="BK24" s="470"/>
      <c r="BL24" s="470"/>
      <c r="BM24" s="470"/>
      <c r="BN24" s="470"/>
      <c r="BR24"/>
      <c r="BS24"/>
      <c r="CK24" s="468"/>
      <c r="DB24" s="468"/>
      <c r="DG24" s="468"/>
      <c r="DH24" s="468"/>
      <c r="DI24" s="468"/>
      <c r="DJ24" s="468"/>
      <c r="ER24" s="620"/>
      <c r="ES24" s="620"/>
      <c r="ET24" s="620"/>
      <c r="EU24" s="620"/>
    </row>
    <row r="25" spans="1:151" ht="15" customHeight="1" x14ac:dyDescent="0.25">
      <c r="A25" s="1993" t="s">
        <v>233</v>
      </c>
      <c r="B25" s="817" t="s">
        <v>228</v>
      </c>
      <c r="C25" s="855">
        <f t="shared" si="4"/>
        <v>0</v>
      </c>
      <c r="D25" s="819">
        <f t="shared" si="5"/>
        <v>0</v>
      </c>
      <c r="E25" s="820">
        <f t="shared" si="6"/>
        <v>0</v>
      </c>
      <c r="F25" s="821"/>
      <c r="G25" s="822"/>
      <c r="H25" s="821"/>
      <c r="I25" s="825"/>
      <c r="J25" s="821"/>
      <c r="K25" s="825"/>
      <c r="L25" s="821"/>
      <c r="M25" s="824"/>
      <c r="N25" s="821"/>
      <c r="O25" s="823"/>
      <c r="P25" s="821"/>
      <c r="Q25" s="823"/>
      <c r="R25" s="825"/>
      <c r="S25" s="825"/>
      <c r="T25" s="821"/>
      <c r="U25" s="826"/>
      <c r="V25" s="821"/>
      <c r="W25" s="823"/>
      <c r="X25" s="821"/>
      <c r="Y25" s="823"/>
      <c r="Z25" s="821"/>
      <c r="AA25" s="823"/>
      <c r="AB25" s="825"/>
      <c r="AC25" s="826"/>
      <c r="AD25" s="827"/>
      <c r="AE25" s="823"/>
      <c r="AF25" s="821"/>
      <c r="AG25" s="823"/>
      <c r="AH25" s="828"/>
      <c r="AI25" s="824"/>
      <c r="AJ25" s="821"/>
      <c r="AK25" s="823"/>
      <c r="AL25" s="470" t="str">
        <f>($DG25&amp;DH25&amp;DI25&amp;DJ25)</f>
        <v/>
      </c>
      <c r="AM25"/>
      <c r="AN25"/>
      <c r="AO25"/>
      <c r="AP25"/>
      <c r="AQ25"/>
      <c r="AR25"/>
      <c r="AS25"/>
      <c r="AT25"/>
      <c r="AU25"/>
      <c r="AV25"/>
      <c r="BF25" s="470"/>
      <c r="BG25" s="470"/>
      <c r="BH25" s="470"/>
      <c r="BI25" s="470"/>
      <c r="BJ25" s="470"/>
      <c r="BK25" s="470"/>
      <c r="BL25" s="470"/>
      <c r="BM25" s="470"/>
      <c r="BN25" s="470"/>
      <c r="BR25"/>
      <c r="BS25"/>
      <c r="CK25" s="468"/>
      <c r="DB25" s="468"/>
      <c r="DG25" s="620" t="str">
        <f>IF(AND(D25&gt;0,OR(AH25=""))," * No olvide digitar la variable Pueblos Originarios Hombres (Digite Cero si no tiene).",IF(AH25&gt;D25," * La variable Pueblos Originarios Hombres no puede ser Mayor al Total Hombres.",""))</f>
        <v/>
      </c>
      <c r="DH25" s="620" t="str">
        <f>IF(AND(E25&gt;0,OR(AI25=""))," * No olvide digitar la variable Pueblos Originarios Mujeres (Digite Cero si no tiene).",IF(AI25&gt;E25," * La variable Pueblos Originarios Mujeres no puede ser Mayor al Total Mujeres.",""))</f>
        <v/>
      </c>
      <c r="DI25" s="620" t="str">
        <f>IF(AND(D25&gt;0,OR(AJ25=""))," * No olvide digitar la variable Migrantes Hombres (Digite Cero si no tiene).",IF(AJ25&gt;D25," * La variable Migrantes Hombres no puede ser Mayor al Total.",""))</f>
        <v/>
      </c>
      <c r="DJ25" s="620" t="str">
        <f>IF(AND(E25&gt;0,OR(AK25=""))," * No olvide digitar la variable Migrantes Mujeres (Digite Cero si no tiene).",IF(AK25&gt;E25," * La variable Migrantes Mujeres no puede ser Mayor al Total.",""))</f>
        <v/>
      </c>
      <c r="ER25" s="501">
        <f>IF(AND(D25&gt;0,OR(AH25="")),1,IF(AH25&gt;D25,1,0))</f>
        <v>0</v>
      </c>
      <c r="ES25" s="501">
        <f>IF(AND(E25&gt;0,OR(AI25="")),1,IF(AI25&gt;E25,1,0))</f>
        <v>0</v>
      </c>
      <c r="ET25" s="501">
        <f>IF(AND(D25&gt;0,OR(AJ25="")),1,IF(AJ25&gt;D25,1,0))</f>
        <v>0</v>
      </c>
      <c r="EU25" s="501">
        <f>IF(AND(E25&gt;0,OR(AK25="")),1,IF(AK25&gt;E25,1,0))</f>
        <v>0</v>
      </c>
    </row>
    <row r="26" spans="1:151" ht="15" customHeight="1" x14ac:dyDescent="0.25">
      <c r="A26" s="1993"/>
      <c r="B26" s="830" t="s">
        <v>229</v>
      </c>
      <c r="C26" s="856">
        <f t="shared" si="4"/>
        <v>0</v>
      </c>
      <c r="D26" s="803">
        <f t="shared" si="5"/>
        <v>0</v>
      </c>
      <c r="E26" s="804">
        <f t="shared" si="6"/>
        <v>0</v>
      </c>
      <c r="F26" s="832"/>
      <c r="G26" s="833"/>
      <c r="H26" s="832"/>
      <c r="I26" s="836"/>
      <c r="J26" s="832"/>
      <c r="K26" s="836"/>
      <c r="L26" s="832"/>
      <c r="M26" s="835"/>
      <c r="N26" s="832"/>
      <c r="O26" s="834"/>
      <c r="P26" s="832"/>
      <c r="Q26" s="834"/>
      <c r="R26" s="836"/>
      <c r="S26" s="836"/>
      <c r="T26" s="832"/>
      <c r="U26" s="837"/>
      <c r="V26" s="832"/>
      <c r="W26" s="834"/>
      <c r="X26" s="832"/>
      <c r="Y26" s="834"/>
      <c r="Z26" s="832"/>
      <c r="AA26" s="834"/>
      <c r="AB26" s="836"/>
      <c r="AC26" s="837"/>
      <c r="AD26" s="838"/>
      <c r="AE26" s="834"/>
      <c r="AF26" s="832"/>
      <c r="AG26" s="834"/>
      <c r="AH26" s="839"/>
      <c r="AI26" s="835"/>
      <c r="AJ26" s="832"/>
      <c r="AK26" s="834"/>
      <c r="AL26" s="470" t="str">
        <f>($DG26&amp;DH26&amp;DI26&amp;DJ26)</f>
        <v/>
      </c>
      <c r="AM26"/>
      <c r="AN26"/>
      <c r="AO26"/>
      <c r="AP26"/>
      <c r="AQ26"/>
      <c r="AR26"/>
      <c r="AS26"/>
      <c r="AT26"/>
      <c r="AU26"/>
      <c r="AV26"/>
      <c r="BF26" s="470"/>
      <c r="BG26" s="470"/>
      <c r="BH26" s="470"/>
      <c r="BI26" s="470"/>
      <c r="BJ26" s="470"/>
      <c r="BK26" s="470"/>
      <c r="BL26" s="470"/>
      <c r="BM26" s="470"/>
      <c r="BN26" s="470"/>
      <c r="BR26"/>
      <c r="BS26"/>
      <c r="CK26" s="468"/>
      <c r="DB26" s="468"/>
      <c r="DG26" s="620" t="str">
        <f>IF(AND(D26&gt;0,OR(AH26=""))," * No olvide digitar la variable Pueblos Originarios Hombres (Digite Cero si no tiene).",IF(AH26&gt;D26," * La variable Pueblos Originarios Hombres no puede ser Mayor al Total Hombres.",""))</f>
        <v/>
      </c>
      <c r="DH26" s="620" t="str">
        <f>IF(AND(E26&gt;0,OR(AI26=""))," * No olvide digitar la variable Pueblos Originarios Mujeres (Digite Cero si no tiene).",IF(AI26&gt;E26," * La variable Pueblos Originarios Mujeres no puede ser Mayor al Total Mujeres.",""))</f>
        <v/>
      </c>
      <c r="DI26" s="620" t="str">
        <f>IF(AND(D26&gt;0,OR(AJ26=""))," * No olvide digitar la variable Migrantes Hombres (Digite Cero si no tiene).",IF(AJ26&gt;D26," * La variable Migrantes Hombres no puede ser Mayor al Total.",""))</f>
        <v/>
      </c>
      <c r="DJ26" s="620" t="str">
        <f>IF(AND(E26&gt;0,OR(AK26=""))," * No olvide digitar la variable Migrantes Mujeres (Digite Cero si no tiene).",IF(AK26&gt;E26," * La variable Migrantes Mujeres no puede ser Mayor al Total.",""))</f>
        <v/>
      </c>
      <c r="ER26" s="501">
        <f>IF(AND(D26&gt;0,OR(AH26="")),1,IF(AH26&gt;D26,1,0))</f>
        <v>0</v>
      </c>
      <c r="ES26" s="501">
        <f>IF(AND(E26&gt;0,OR(AI26="")),1,IF(AI26&gt;E26,1,0))</f>
        <v>0</v>
      </c>
      <c r="ET26" s="501">
        <f>IF(AND(D26&gt;0,OR(AJ26="")),1,IF(AJ26&gt;D26,1,0))</f>
        <v>0</v>
      </c>
      <c r="EU26" s="501">
        <f>IF(AND(E26&gt;0,OR(AK26="")),1,IF(AK26&gt;E26,1,0))</f>
        <v>0</v>
      </c>
    </row>
    <row r="27" spans="1:151" ht="15" customHeight="1" x14ac:dyDescent="0.25">
      <c r="A27" s="1993"/>
      <c r="B27" s="857" t="s">
        <v>49</v>
      </c>
      <c r="C27" s="847">
        <f t="shared" si="4"/>
        <v>0</v>
      </c>
      <c r="D27" s="803">
        <f t="shared" si="5"/>
        <v>0</v>
      </c>
      <c r="E27" s="804">
        <f t="shared" si="6"/>
        <v>0</v>
      </c>
      <c r="F27" s="843">
        <f t="shared" ref="F27:G27" si="16">SUM(F25:F26)</f>
        <v>0</v>
      </c>
      <c r="G27" s="844">
        <f t="shared" si="16"/>
        <v>0</v>
      </c>
      <c r="H27" s="858">
        <f>SUM(H25:H26)</f>
        <v>0</v>
      </c>
      <c r="I27" s="859">
        <f t="shared" ref="I27:AK27" si="17">SUM(I25:I26)</f>
        <v>0</v>
      </c>
      <c r="J27" s="858">
        <f t="shared" si="17"/>
        <v>0</v>
      </c>
      <c r="K27" s="859">
        <f t="shared" si="17"/>
        <v>0</v>
      </c>
      <c r="L27" s="858">
        <f t="shared" si="17"/>
        <v>0</v>
      </c>
      <c r="M27" s="860">
        <f t="shared" si="17"/>
        <v>0</v>
      </c>
      <c r="N27" s="858">
        <f t="shared" si="17"/>
        <v>0</v>
      </c>
      <c r="O27" s="861">
        <f t="shared" si="17"/>
        <v>0</v>
      </c>
      <c r="P27" s="858">
        <f t="shared" si="17"/>
        <v>0</v>
      </c>
      <c r="Q27" s="861">
        <f t="shared" si="17"/>
        <v>0</v>
      </c>
      <c r="R27" s="862">
        <f t="shared" si="17"/>
        <v>0</v>
      </c>
      <c r="S27" s="859">
        <f t="shared" si="17"/>
        <v>0</v>
      </c>
      <c r="T27" s="858">
        <f t="shared" si="17"/>
        <v>0</v>
      </c>
      <c r="U27" s="863">
        <f t="shared" si="17"/>
        <v>0</v>
      </c>
      <c r="V27" s="858">
        <f t="shared" si="17"/>
        <v>0</v>
      </c>
      <c r="W27" s="861">
        <f t="shared" si="17"/>
        <v>0</v>
      </c>
      <c r="X27" s="858">
        <f t="shared" si="17"/>
        <v>0</v>
      </c>
      <c r="Y27" s="861">
        <f t="shared" si="17"/>
        <v>0</v>
      </c>
      <c r="Z27" s="858">
        <f t="shared" si="17"/>
        <v>0</v>
      </c>
      <c r="AA27" s="861">
        <f t="shared" si="17"/>
        <v>0</v>
      </c>
      <c r="AB27" s="862">
        <f t="shared" si="17"/>
        <v>0</v>
      </c>
      <c r="AC27" s="863">
        <f t="shared" si="17"/>
        <v>0</v>
      </c>
      <c r="AD27" s="864">
        <f t="shared" si="17"/>
        <v>0</v>
      </c>
      <c r="AE27" s="861">
        <f t="shared" si="17"/>
        <v>0</v>
      </c>
      <c r="AF27" s="858">
        <f t="shared" si="17"/>
        <v>0</v>
      </c>
      <c r="AG27" s="861">
        <f t="shared" si="17"/>
        <v>0</v>
      </c>
      <c r="AH27" s="865">
        <f t="shared" si="17"/>
        <v>0</v>
      </c>
      <c r="AI27" s="860">
        <f t="shared" si="17"/>
        <v>0</v>
      </c>
      <c r="AJ27" s="858">
        <f t="shared" si="17"/>
        <v>0</v>
      </c>
      <c r="AK27" s="861">
        <f t="shared" si="17"/>
        <v>0</v>
      </c>
      <c r="AL27" s="470"/>
      <c r="AM27"/>
      <c r="AN27"/>
      <c r="AO27"/>
      <c r="AP27"/>
      <c r="AQ27"/>
      <c r="AR27"/>
      <c r="AS27"/>
      <c r="AT27"/>
      <c r="AU27"/>
      <c r="AV27"/>
      <c r="BF27" s="470"/>
      <c r="BG27" s="470"/>
      <c r="BH27" s="470"/>
      <c r="BI27" s="470"/>
      <c r="BJ27" s="470"/>
      <c r="BK27" s="470"/>
      <c r="BL27" s="470"/>
      <c r="BM27" s="470"/>
      <c r="BN27" s="470"/>
      <c r="BR27"/>
      <c r="BS27"/>
      <c r="CK27" s="468"/>
      <c r="DB27" s="468"/>
      <c r="DG27" s="468"/>
      <c r="DH27" s="468"/>
      <c r="DI27" s="468"/>
      <c r="DJ27" s="468"/>
      <c r="ER27" s="620"/>
      <c r="ES27" s="620"/>
      <c r="ET27" s="620"/>
      <c r="EU27" s="620"/>
    </row>
    <row r="28" spans="1:151" ht="15" customHeight="1" x14ac:dyDescent="0.25">
      <c r="A28" s="1993"/>
      <c r="B28" s="850" t="s">
        <v>230</v>
      </c>
      <c r="C28" s="855">
        <f t="shared" si="4"/>
        <v>0</v>
      </c>
      <c r="D28" s="819">
        <f t="shared" si="5"/>
        <v>0</v>
      </c>
      <c r="E28" s="820">
        <f t="shared" si="6"/>
        <v>0</v>
      </c>
      <c r="F28" s="821"/>
      <c r="G28" s="822"/>
      <c r="H28" s="866"/>
      <c r="I28" s="867"/>
      <c r="J28" s="866"/>
      <c r="K28" s="867"/>
      <c r="L28" s="866"/>
      <c r="M28" s="868"/>
      <c r="N28" s="866"/>
      <c r="O28" s="869"/>
      <c r="P28" s="821"/>
      <c r="Q28" s="823"/>
      <c r="R28" s="867"/>
      <c r="S28" s="867"/>
      <c r="T28" s="866"/>
      <c r="U28" s="870"/>
      <c r="V28" s="866"/>
      <c r="W28" s="869"/>
      <c r="X28" s="866"/>
      <c r="Y28" s="869"/>
      <c r="Z28" s="866"/>
      <c r="AA28" s="869"/>
      <c r="AB28" s="867"/>
      <c r="AC28" s="870"/>
      <c r="AD28" s="871"/>
      <c r="AE28" s="869"/>
      <c r="AF28" s="866"/>
      <c r="AG28" s="869"/>
      <c r="AH28" s="872"/>
      <c r="AI28" s="868"/>
      <c r="AJ28" s="866"/>
      <c r="AK28" s="869"/>
      <c r="AL28" s="470" t="str">
        <f>($DG28&amp;DH28&amp;DI28&amp;DJ28)</f>
        <v/>
      </c>
      <c r="AM28"/>
      <c r="AN28"/>
      <c r="AO28"/>
      <c r="AP28"/>
      <c r="AQ28"/>
      <c r="AR28"/>
      <c r="AS28"/>
      <c r="AT28"/>
      <c r="AU28"/>
      <c r="AV28"/>
      <c r="BF28" s="470"/>
      <c r="BG28" s="470"/>
      <c r="BH28" s="470"/>
      <c r="BI28" s="470"/>
      <c r="BJ28" s="470"/>
      <c r="BK28" s="470"/>
      <c r="BL28" s="470"/>
      <c r="BM28" s="470"/>
      <c r="BN28" s="470"/>
      <c r="BR28"/>
      <c r="BS28"/>
      <c r="CK28" s="468"/>
      <c r="DB28" s="468"/>
      <c r="DG28" s="620" t="str">
        <f>IF(AND(D28&gt;0,OR(AH28=""))," * No olvide digitar la variable Pueblos Originarios Hombres (Digite Cero si no tiene).",IF(AH28&gt;D28," * La variable Pueblos Originarios Hombres no puede ser Mayor al Total Hombres.",""))</f>
        <v/>
      </c>
      <c r="DH28" s="620" t="str">
        <f>IF(AND(E28&gt;0,OR(AI28=""))," * No olvide digitar la variable Pueblos Originarios Mujeres (Digite Cero si no tiene).",IF(AI28&gt;E28," * La variable Pueblos Originarios Mujeres no puede ser Mayor al Total Mujeres.",""))</f>
        <v/>
      </c>
      <c r="DI28" s="620" t="str">
        <f>IF(AND(D28&gt;0,OR(AJ28=""))," * No olvide digitar la variable Migrantes Hombres (Digite Cero si no tiene).",IF(AJ28&gt;D28," * La variable Migrantes Hombres no puede ser Mayor al Total.",""))</f>
        <v/>
      </c>
      <c r="DJ28" s="620" t="str">
        <f>IF(AND(E28&gt;0,OR(AK28=""))," * No olvide digitar la variable Migrantes Mujeres (Digite Cero si no tiene).",IF(AK28&gt;E28," * La variable Migrantes Mujeres no puede ser Mayor al Total.",""))</f>
        <v/>
      </c>
      <c r="ER28" s="501">
        <f>IF(AND(D28&gt;0,OR(AH28="")),1,IF(AH28&gt;D28,1,0))</f>
        <v>0</v>
      </c>
      <c r="ES28" s="501">
        <f>IF(AND(E28&gt;0,OR(AI28="")),1,IF(AI28&gt;E28,1,0))</f>
        <v>0</v>
      </c>
      <c r="ET28" s="501">
        <f>IF(AND(D28&gt;0,OR(AJ28="")),1,IF(AJ28&gt;D28,1,0))</f>
        <v>0</v>
      </c>
      <c r="EU28" s="501">
        <f>IF(AND(E28&gt;0,OR(AK28="")),1,IF(AK28&gt;E28,1,0))</f>
        <v>0</v>
      </c>
    </row>
    <row r="29" spans="1:151" ht="15" customHeight="1" x14ac:dyDescent="0.25">
      <c r="A29" s="1993"/>
      <c r="B29" s="830" t="s">
        <v>231</v>
      </c>
      <c r="C29" s="856">
        <f t="shared" si="4"/>
        <v>0</v>
      </c>
      <c r="D29" s="803">
        <f t="shared" si="5"/>
        <v>0</v>
      </c>
      <c r="E29" s="804">
        <f t="shared" si="6"/>
        <v>0</v>
      </c>
      <c r="F29" s="832"/>
      <c r="G29" s="833"/>
      <c r="H29" s="832"/>
      <c r="I29" s="836"/>
      <c r="J29" s="832"/>
      <c r="K29" s="836"/>
      <c r="L29" s="832"/>
      <c r="M29" s="835"/>
      <c r="N29" s="832"/>
      <c r="O29" s="834"/>
      <c r="P29" s="832"/>
      <c r="Q29" s="834"/>
      <c r="R29" s="836"/>
      <c r="S29" s="836"/>
      <c r="T29" s="832"/>
      <c r="U29" s="837"/>
      <c r="V29" s="832"/>
      <c r="W29" s="834"/>
      <c r="X29" s="832"/>
      <c r="Y29" s="834"/>
      <c r="Z29" s="832"/>
      <c r="AA29" s="834"/>
      <c r="AB29" s="836"/>
      <c r="AC29" s="837"/>
      <c r="AD29" s="838"/>
      <c r="AE29" s="834"/>
      <c r="AF29" s="832"/>
      <c r="AG29" s="834"/>
      <c r="AH29" s="839"/>
      <c r="AI29" s="835"/>
      <c r="AJ29" s="832"/>
      <c r="AK29" s="834"/>
      <c r="AL29" s="470" t="str">
        <f>($DG29&amp;DH29&amp;DI29&amp;DJ29)</f>
        <v/>
      </c>
      <c r="AM29"/>
      <c r="AN29"/>
      <c r="AO29"/>
      <c r="AP29"/>
      <c r="AQ29"/>
      <c r="AR29"/>
      <c r="AS29"/>
      <c r="AT29"/>
      <c r="AU29"/>
      <c r="AV29"/>
      <c r="BF29" s="470"/>
      <c r="BG29" s="470"/>
      <c r="BH29" s="470"/>
      <c r="BI29" s="470"/>
      <c r="BJ29" s="470"/>
      <c r="BK29" s="470"/>
      <c r="BL29" s="470"/>
      <c r="BM29" s="470"/>
      <c r="BN29" s="470"/>
      <c r="BR29"/>
      <c r="BS29"/>
      <c r="CK29" s="468"/>
      <c r="DB29" s="468"/>
      <c r="DG29" s="620" t="str">
        <f>IF(AND(D29&gt;0,OR(AH29=""))," * No olvide digitar la variable Pueblos Originarios Hombres (Digite Cero si no tiene).",IF(AH29&gt;D29," * La variable Pueblos Originarios Hombres no puede ser Mayor al Total Hombres.",""))</f>
        <v/>
      </c>
      <c r="DH29" s="620" t="str">
        <f>IF(AND(E29&gt;0,OR(AI29=""))," * No olvide digitar la variable Pueblos Originarios Mujeres (Digite Cero si no tiene).",IF(AI29&gt;E29," * La variable Pueblos Originarios Mujeres no puede ser Mayor al Total Mujeres.",""))</f>
        <v/>
      </c>
      <c r="DI29" s="620" t="str">
        <f>IF(AND(D29&gt;0,OR(AJ29=""))," * No olvide digitar la variable Migrantes Hombres (Digite Cero si no tiene).",IF(AJ29&gt;D29," * La variable Migrantes Hombres no puede ser Mayor al Total.",""))</f>
        <v/>
      </c>
      <c r="DJ29" s="620" t="str">
        <f>IF(AND(E29&gt;0,OR(AK29=""))," * No olvide digitar la variable Migrantes Mujeres (Digite Cero si no tiene).",IF(AK29&gt;E29," * La variable Migrantes Mujeres no puede ser Mayor al Total.",""))</f>
        <v/>
      </c>
      <c r="ER29" s="501">
        <f>IF(AND(D29&gt;0,OR(AH29="")),1,IF(AH29&gt;D29,1,0))</f>
        <v>0</v>
      </c>
      <c r="ES29" s="501">
        <f>IF(AND(E29&gt;0,OR(AI29="")),1,IF(AI29&gt;E29,1,0))</f>
        <v>0</v>
      </c>
      <c r="ET29" s="501">
        <f>IF(AND(D29&gt;0,OR(AJ29="")),1,IF(AJ29&gt;D29,1,0))</f>
        <v>0</v>
      </c>
      <c r="EU29" s="501">
        <f>IF(AND(E29&gt;0,OR(AK29="")),1,IF(AK29&gt;E29,1,0))</f>
        <v>0</v>
      </c>
    </row>
    <row r="30" spans="1:151" ht="15" customHeight="1" x14ac:dyDescent="0.25">
      <c r="A30" s="1993"/>
      <c r="B30" s="841" t="s">
        <v>89</v>
      </c>
      <c r="C30" s="847">
        <f>SUM(D30:E30)</f>
        <v>0</v>
      </c>
      <c r="D30" s="803">
        <f t="shared" si="5"/>
        <v>0</v>
      </c>
      <c r="E30" s="804">
        <f t="shared" si="6"/>
        <v>0</v>
      </c>
      <c r="F30" s="843">
        <f>SUM(F28:F29)</f>
        <v>0</v>
      </c>
      <c r="G30" s="844">
        <f t="shared" ref="G30" si="18">SUM(G28:G29)</f>
        <v>0</v>
      </c>
      <c r="H30" s="858">
        <f>SUM(H28:H29)</f>
        <v>0</v>
      </c>
      <c r="I30" s="859">
        <f t="shared" ref="I30:AK30" si="19">SUM(I28:I29)</f>
        <v>0</v>
      </c>
      <c r="J30" s="858">
        <f t="shared" si="19"/>
        <v>0</v>
      </c>
      <c r="K30" s="859">
        <f t="shared" si="19"/>
        <v>0</v>
      </c>
      <c r="L30" s="858">
        <f t="shared" si="19"/>
        <v>0</v>
      </c>
      <c r="M30" s="860">
        <f t="shared" si="19"/>
        <v>0</v>
      </c>
      <c r="N30" s="858">
        <f t="shared" si="19"/>
        <v>0</v>
      </c>
      <c r="O30" s="861">
        <f t="shared" si="19"/>
        <v>0</v>
      </c>
      <c r="P30" s="858">
        <f t="shared" si="19"/>
        <v>0</v>
      </c>
      <c r="Q30" s="861">
        <f t="shared" si="19"/>
        <v>0</v>
      </c>
      <c r="R30" s="862">
        <f t="shared" si="19"/>
        <v>0</v>
      </c>
      <c r="S30" s="859">
        <f t="shared" si="19"/>
        <v>0</v>
      </c>
      <c r="T30" s="858">
        <f t="shared" si="19"/>
        <v>0</v>
      </c>
      <c r="U30" s="863">
        <f t="shared" si="19"/>
        <v>0</v>
      </c>
      <c r="V30" s="858">
        <f t="shared" si="19"/>
        <v>0</v>
      </c>
      <c r="W30" s="861">
        <f t="shared" si="19"/>
        <v>0</v>
      </c>
      <c r="X30" s="858">
        <f t="shared" si="19"/>
        <v>0</v>
      </c>
      <c r="Y30" s="861">
        <f t="shared" si="19"/>
        <v>0</v>
      </c>
      <c r="Z30" s="858">
        <f t="shared" si="19"/>
        <v>0</v>
      </c>
      <c r="AA30" s="861">
        <f t="shared" si="19"/>
        <v>0</v>
      </c>
      <c r="AB30" s="862">
        <f t="shared" si="19"/>
        <v>0</v>
      </c>
      <c r="AC30" s="863">
        <f t="shared" si="19"/>
        <v>0</v>
      </c>
      <c r="AD30" s="864">
        <f t="shared" si="19"/>
        <v>0</v>
      </c>
      <c r="AE30" s="861">
        <f t="shared" si="19"/>
        <v>0</v>
      </c>
      <c r="AF30" s="858">
        <f t="shared" si="19"/>
        <v>0</v>
      </c>
      <c r="AG30" s="861">
        <f t="shared" si="19"/>
        <v>0</v>
      </c>
      <c r="AH30" s="865">
        <f t="shared" si="19"/>
        <v>0</v>
      </c>
      <c r="AI30" s="860">
        <f t="shared" si="19"/>
        <v>0</v>
      </c>
      <c r="AJ30" s="858">
        <f t="shared" si="19"/>
        <v>0</v>
      </c>
      <c r="AK30" s="861">
        <f t="shared" si="19"/>
        <v>0</v>
      </c>
      <c r="AL30" s="470"/>
      <c r="AM30"/>
      <c r="AN30"/>
      <c r="AO30"/>
      <c r="AP30"/>
      <c r="AQ30"/>
      <c r="AR30"/>
      <c r="AS30"/>
      <c r="AT30"/>
      <c r="AU30"/>
      <c r="AV30"/>
      <c r="BF30" s="470"/>
      <c r="BG30" s="470"/>
      <c r="BH30" s="470"/>
      <c r="BI30" s="470"/>
      <c r="BJ30" s="470"/>
      <c r="BK30" s="470"/>
      <c r="BL30" s="470"/>
      <c r="BM30" s="470"/>
      <c r="BN30" s="470"/>
      <c r="BR30"/>
      <c r="BS30"/>
      <c r="CK30" s="468"/>
      <c r="DB30" s="468"/>
      <c r="DG30" s="468"/>
      <c r="DH30" s="468"/>
      <c r="DI30" s="468"/>
      <c r="DJ30" s="468"/>
      <c r="ER30" s="620"/>
      <c r="ES30" s="620"/>
      <c r="ET30" s="620"/>
      <c r="EU30" s="620"/>
    </row>
    <row r="31" spans="1:151" ht="15" customHeight="1" x14ac:dyDescent="0.25">
      <c r="A31" s="1994"/>
      <c r="B31" s="874" t="s">
        <v>234</v>
      </c>
      <c r="C31" s="875">
        <f t="shared" si="4"/>
        <v>0</v>
      </c>
      <c r="D31" s="803">
        <f t="shared" si="5"/>
        <v>0</v>
      </c>
      <c r="E31" s="804">
        <f t="shared" si="6"/>
        <v>0</v>
      </c>
      <c r="F31" s="809"/>
      <c r="G31" s="876"/>
      <c r="H31" s="809"/>
      <c r="I31" s="810"/>
      <c r="J31" s="809"/>
      <c r="K31" s="810"/>
      <c r="L31" s="809"/>
      <c r="M31" s="877"/>
      <c r="N31" s="809"/>
      <c r="O31" s="810"/>
      <c r="P31" s="809"/>
      <c r="Q31" s="810"/>
      <c r="R31" s="816"/>
      <c r="S31" s="810"/>
      <c r="T31" s="809"/>
      <c r="U31" s="877"/>
      <c r="V31" s="809"/>
      <c r="W31" s="810"/>
      <c r="X31" s="805"/>
      <c r="Y31" s="807"/>
      <c r="Z31" s="805"/>
      <c r="AA31" s="807"/>
      <c r="AB31" s="809"/>
      <c r="AC31" s="812"/>
      <c r="AD31" s="878"/>
      <c r="AE31" s="807"/>
      <c r="AF31" s="805"/>
      <c r="AG31" s="807"/>
      <c r="AH31" s="879">
        <v>0</v>
      </c>
      <c r="AI31" s="808"/>
      <c r="AJ31" s="805"/>
      <c r="AK31" s="807"/>
      <c r="AL31" s="470" t="str">
        <f t="shared" ref="AL31:AL36" si="20">($DG31&amp;DH31&amp;DI31&amp;DJ31)</f>
        <v/>
      </c>
      <c r="AM31"/>
      <c r="AN31"/>
      <c r="AO31"/>
      <c r="AP31"/>
      <c r="AQ31"/>
      <c r="AR31"/>
      <c r="AS31"/>
      <c r="AT31"/>
      <c r="AU31"/>
      <c r="AV31"/>
      <c r="BF31" s="470"/>
      <c r="BG31" s="470"/>
      <c r="BH31" s="470"/>
      <c r="BI31" s="470"/>
      <c r="BJ31" s="470"/>
      <c r="BK31" s="470"/>
      <c r="BL31" s="470"/>
      <c r="BM31" s="470"/>
      <c r="BN31" s="470"/>
      <c r="BR31"/>
      <c r="BS31"/>
      <c r="CK31" s="468"/>
      <c r="DB31" s="468"/>
      <c r="DG31" s="620" t="str">
        <f t="shared" ref="DG31:DG36" si="21">IF(AND(D31&gt;0,OR(AH31=""))," * No olvide digitar la variable Pueblos Originarios Hombres (Digite Cero si no tiene).",IF(AH31&gt;D31," * La variable Pueblos Originarios Hombres no puede ser Mayor al Total Hombres.",""))</f>
        <v/>
      </c>
      <c r="DH31" s="620" t="str">
        <f t="shared" ref="DH31:DH36" si="22">IF(AND(E31&gt;0,OR(AI31=""))," * No olvide digitar la variable Pueblos Originarios Mujeres (Digite Cero si no tiene).",IF(AI31&gt;E31," * La variable Pueblos Originarios Mujeres no puede ser Mayor al Total Mujeres.",""))</f>
        <v/>
      </c>
      <c r="DI31" s="620" t="str">
        <f t="shared" ref="DI31:DI36" si="23">IF(AND(D31&gt;0,OR(AJ31=""))," * No olvide digitar la variable Migrantes Hombres (Digite Cero si no tiene).",IF(AJ31&gt;D31," * La variable Migrantes Hombres no puede ser Mayor al Total.",""))</f>
        <v/>
      </c>
      <c r="DJ31" s="620" t="str">
        <f t="shared" ref="DJ31:DJ36" si="24">IF(AND(E31&gt;0,OR(AK31=""))," * No olvide digitar la variable Migrantes Mujeres (Digite Cero si no tiene).",IF(AK31&gt;E31," * La variable Migrantes Mujeres no puede ser Mayor al Total.",""))</f>
        <v/>
      </c>
      <c r="ER31" s="501">
        <f t="shared" ref="ER31:ES36" si="25">IF(AND(D31&gt;0,OR(AH31="")),1,IF(AH31&gt;D31,1,0))</f>
        <v>0</v>
      </c>
      <c r="ES31" s="501">
        <f t="shared" si="25"/>
        <v>0</v>
      </c>
      <c r="ET31" s="501">
        <f t="shared" ref="ET31:EU36" si="26">IF(AND(D31&gt;0,OR(AJ31="")),1,IF(AJ31&gt;D31,1,0))</f>
        <v>0</v>
      </c>
      <c r="EU31" s="501">
        <f t="shared" si="26"/>
        <v>0</v>
      </c>
    </row>
    <row r="32" spans="1:151" ht="15" customHeight="1" x14ac:dyDescent="0.25">
      <c r="A32" s="1899" t="s">
        <v>895</v>
      </c>
      <c r="B32" s="850" t="s">
        <v>235</v>
      </c>
      <c r="C32" s="881">
        <f t="shared" si="4"/>
        <v>0</v>
      </c>
      <c r="D32" s="819">
        <f>+H32+J32+L32+N32+P32+R32+T32+V32+X32+Z32+AB32+AD32+AF32</f>
        <v>0</v>
      </c>
      <c r="E32" s="820">
        <f>+I32+K32+M32+O32+Q32+S32+U32+W32+Y32+AA32+AC32+AE32+AG32</f>
        <v>0</v>
      </c>
      <c r="F32" s="882"/>
      <c r="G32" s="883"/>
      <c r="H32" s="821"/>
      <c r="I32" s="823"/>
      <c r="J32" s="821"/>
      <c r="K32" s="823"/>
      <c r="L32" s="821"/>
      <c r="M32" s="824"/>
      <c r="N32" s="821"/>
      <c r="O32" s="823"/>
      <c r="P32" s="821"/>
      <c r="Q32" s="823"/>
      <c r="R32" s="825"/>
      <c r="S32" s="823"/>
      <c r="T32" s="821"/>
      <c r="U32" s="824"/>
      <c r="V32" s="821"/>
      <c r="W32" s="823"/>
      <c r="X32" s="821"/>
      <c r="Y32" s="823"/>
      <c r="Z32" s="821"/>
      <c r="AA32" s="823"/>
      <c r="AB32" s="825"/>
      <c r="AC32" s="824"/>
      <c r="AD32" s="827"/>
      <c r="AE32" s="823"/>
      <c r="AF32" s="821"/>
      <c r="AG32" s="823"/>
      <c r="AH32" s="828"/>
      <c r="AI32" s="824"/>
      <c r="AJ32" s="821"/>
      <c r="AK32" s="823"/>
      <c r="AL32" s="470" t="str">
        <f t="shared" si="20"/>
        <v/>
      </c>
      <c r="AM32"/>
      <c r="AN32"/>
      <c r="AO32"/>
      <c r="AP32"/>
      <c r="AQ32"/>
      <c r="AR32"/>
      <c r="AS32"/>
      <c r="AT32"/>
      <c r="AU32"/>
      <c r="AV32"/>
      <c r="BF32" s="470"/>
      <c r="BG32" s="470"/>
      <c r="BH32" s="470"/>
      <c r="BI32" s="470"/>
      <c r="BJ32" s="470"/>
      <c r="BK32" s="470"/>
      <c r="BL32" s="470"/>
      <c r="BM32" s="470"/>
      <c r="BN32" s="470"/>
      <c r="BR32"/>
      <c r="BS32"/>
      <c r="CK32" s="468"/>
      <c r="DB32" s="468"/>
      <c r="DG32" s="620" t="str">
        <f t="shared" si="21"/>
        <v/>
      </c>
      <c r="DH32" s="620" t="str">
        <f t="shared" si="22"/>
        <v/>
      </c>
      <c r="DI32" s="620" t="str">
        <f t="shared" si="23"/>
        <v/>
      </c>
      <c r="DJ32" s="620" t="str">
        <f t="shared" si="24"/>
        <v/>
      </c>
      <c r="ER32" s="501">
        <f t="shared" si="25"/>
        <v>0</v>
      </c>
      <c r="ES32" s="501">
        <f t="shared" si="25"/>
        <v>0</v>
      </c>
      <c r="ET32" s="501">
        <f t="shared" si="26"/>
        <v>0</v>
      </c>
      <c r="EU32" s="501">
        <f t="shared" si="26"/>
        <v>0</v>
      </c>
    </row>
    <row r="33" spans="1:151" ht="15" customHeight="1" x14ac:dyDescent="0.25">
      <c r="A33" s="1900"/>
      <c r="B33" s="817" t="s">
        <v>236</v>
      </c>
      <c r="C33" s="884">
        <f t="shared" si="4"/>
        <v>0</v>
      </c>
      <c r="D33" s="885">
        <f t="shared" ref="D33:D39" si="27">+H33+J33+L33+N33+P33+R33+T33+V33+X33+Z33+AB33+AD33+AF33</f>
        <v>0</v>
      </c>
      <c r="E33" s="886">
        <f t="shared" ref="E33:E39" si="28">+I33+K33+M33+O33+Q33+S33+U33+W33+Y33+AA33+AC33+AE33+AG33</f>
        <v>0</v>
      </c>
      <c r="F33" s="887"/>
      <c r="G33" s="888"/>
      <c r="H33" s="889"/>
      <c r="I33" s="890"/>
      <c r="J33" s="889"/>
      <c r="K33" s="890"/>
      <c r="L33" s="889"/>
      <c r="M33" s="891"/>
      <c r="N33" s="889"/>
      <c r="O33" s="890"/>
      <c r="P33" s="889"/>
      <c r="Q33" s="890"/>
      <c r="R33" s="892"/>
      <c r="S33" s="890"/>
      <c r="T33" s="889"/>
      <c r="U33" s="891"/>
      <c r="V33" s="889"/>
      <c r="W33" s="890"/>
      <c r="X33" s="889"/>
      <c r="Y33" s="890"/>
      <c r="Z33" s="889"/>
      <c r="AA33" s="890"/>
      <c r="AB33" s="892"/>
      <c r="AC33" s="891"/>
      <c r="AD33" s="893"/>
      <c r="AE33" s="890"/>
      <c r="AF33" s="889"/>
      <c r="AG33" s="890"/>
      <c r="AH33" s="894"/>
      <c r="AI33" s="891"/>
      <c r="AJ33" s="889"/>
      <c r="AK33" s="890"/>
      <c r="AL33" s="470" t="str">
        <f t="shared" si="20"/>
        <v/>
      </c>
      <c r="AM33"/>
      <c r="AN33"/>
      <c r="AO33"/>
      <c r="AP33"/>
      <c r="AQ33"/>
      <c r="AR33"/>
      <c r="AS33"/>
      <c r="AT33"/>
      <c r="AU33"/>
      <c r="AV33"/>
      <c r="BF33" s="470"/>
      <c r="BG33" s="470"/>
      <c r="BH33" s="470"/>
      <c r="BI33" s="470"/>
      <c r="BJ33" s="470"/>
      <c r="BK33" s="470"/>
      <c r="BL33" s="470"/>
      <c r="BM33" s="470"/>
      <c r="BN33" s="470"/>
      <c r="BR33"/>
      <c r="BS33"/>
      <c r="CK33" s="468"/>
      <c r="DB33" s="468"/>
      <c r="DG33" s="620" t="str">
        <f t="shared" si="21"/>
        <v/>
      </c>
      <c r="DH33" s="620" t="str">
        <f t="shared" si="22"/>
        <v/>
      </c>
      <c r="DI33" s="620" t="str">
        <f t="shared" si="23"/>
        <v/>
      </c>
      <c r="DJ33" s="620" t="str">
        <f t="shared" si="24"/>
        <v/>
      </c>
      <c r="ER33" s="501">
        <f t="shared" si="25"/>
        <v>0</v>
      </c>
      <c r="ES33" s="501">
        <f t="shared" si="25"/>
        <v>0</v>
      </c>
      <c r="ET33" s="501">
        <f t="shared" si="26"/>
        <v>0</v>
      </c>
      <c r="EU33" s="501">
        <f t="shared" si="26"/>
        <v>0</v>
      </c>
    </row>
    <row r="34" spans="1:151" ht="15" customHeight="1" x14ac:dyDescent="0.25">
      <c r="A34" s="1900"/>
      <c r="B34" s="817" t="s">
        <v>237</v>
      </c>
      <c r="C34" s="884">
        <f t="shared" si="4"/>
        <v>0</v>
      </c>
      <c r="D34" s="885">
        <f t="shared" si="27"/>
        <v>0</v>
      </c>
      <c r="E34" s="886">
        <f t="shared" si="28"/>
        <v>0</v>
      </c>
      <c r="F34" s="887"/>
      <c r="G34" s="888"/>
      <c r="H34" s="889"/>
      <c r="I34" s="890"/>
      <c r="J34" s="889"/>
      <c r="K34" s="890"/>
      <c r="L34" s="889"/>
      <c r="M34" s="891"/>
      <c r="N34" s="889"/>
      <c r="O34" s="890"/>
      <c r="P34" s="889"/>
      <c r="Q34" s="890"/>
      <c r="R34" s="892"/>
      <c r="S34" s="890"/>
      <c r="T34" s="889"/>
      <c r="U34" s="891"/>
      <c r="V34" s="889"/>
      <c r="W34" s="890"/>
      <c r="X34" s="889"/>
      <c r="Y34" s="890"/>
      <c r="Z34" s="889"/>
      <c r="AA34" s="890"/>
      <c r="AB34" s="892"/>
      <c r="AC34" s="891"/>
      <c r="AD34" s="893"/>
      <c r="AE34" s="890"/>
      <c r="AF34" s="889"/>
      <c r="AG34" s="890"/>
      <c r="AH34" s="894"/>
      <c r="AI34" s="891"/>
      <c r="AJ34" s="889"/>
      <c r="AK34" s="890"/>
      <c r="AL34" s="470" t="str">
        <f t="shared" si="20"/>
        <v/>
      </c>
      <c r="AM34"/>
      <c r="AN34"/>
      <c r="AO34"/>
      <c r="AP34"/>
      <c r="AQ34"/>
      <c r="AR34"/>
      <c r="AS34"/>
      <c r="AT34"/>
      <c r="AU34"/>
      <c r="AV34"/>
      <c r="BF34" s="470"/>
      <c r="BG34" s="470"/>
      <c r="BH34" s="470"/>
      <c r="BI34" s="470"/>
      <c r="BJ34" s="470"/>
      <c r="BK34" s="470"/>
      <c r="BL34" s="470"/>
      <c r="BM34" s="470"/>
      <c r="BN34" s="470"/>
      <c r="BR34"/>
      <c r="BS34"/>
      <c r="CK34" s="468"/>
      <c r="DB34" s="468"/>
      <c r="DG34" s="620" t="str">
        <f t="shared" si="21"/>
        <v/>
      </c>
      <c r="DH34" s="620" t="str">
        <f t="shared" si="22"/>
        <v/>
      </c>
      <c r="DI34" s="620" t="str">
        <f t="shared" si="23"/>
        <v/>
      </c>
      <c r="DJ34" s="620" t="str">
        <f t="shared" si="24"/>
        <v/>
      </c>
      <c r="ER34" s="501">
        <f t="shared" si="25"/>
        <v>0</v>
      </c>
      <c r="ES34" s="501">
        <f t="shared" si="25"/>
        <v>0</v>
      </c>
      <c r="ET34" s="501">
        <f t="shared" si="26"/>
        <v>0</v>
      </c>
      <c r="EU34" s="501">
        <f t="shared" si="26"/>
        <v>0</v>
      </c>
    </row>
    <row r="35" spans="1:151" ht="15" customHeight="1" x14ac:dyDescent="0.25">
      <c r="A35" s="1900"/>
      <c r="B35" s="817" t="s">
        <v>238</v>
      </c>
      <c r="C35" s="884">
        <f t="shared" si="4"/>
        <v>0</v>
      </c>
      <c r="D35" s="885">
        <f t="shared" si="27"/>
        <v>0</v>
      </c>
      <c r="E35" s="886">
        <f t="shared" si="28"/>
        <v>0</v>
      </c>
      <c r="F35" s="887"/>
      <c r="G35" s="888"/>
      <c r="H35" s="889"/>
      <c r="I35" s="890"/>
      <c r="J35" s="889"/>
      <c r="K35" s="890"/>
      <c r="L35" s="889"/>
      <c r="M35" s="891"/>
      <c r="N35" s="889"/>
      <c r="O35" s="890"/>
      <c r="P35" s="889"/>
      <c r="Q35" s="890"/>
      <c r="R35" s="892"/>
      <c r="S35" s="890"/>
      <c r="T35" s="889"/>
      <c r="U35" s="891"/>
      <c r="V35" s="889"/>
      <c r="W35" s="890"/>
      <c r="X35" s="889"/>
      <c r="Y35" s="890"/>
      <c r="Z35" s="889"/>
      <c r="AA35" s="890"/>
      <c r="AB35" s="892"/>
      <c r="AC35" s="891"/>
      <c r="AD35" s="893"/>
      <c r="AE35" s="890"/>
      <c r="AF35" s="889"/>
      <c r="AG35" s="890"/>
      <c r="AH35" s="894"/>
      <c r="AI35" s="891"/>
      <c r="AJ35" s="889"/>
      <c r="AK35" s="890"/>
      <c r="AL35" s="470" t="str">
        <f t="shared" si="20"/>
        <v/>
      </c>
      <c r="AM35"/>
      <c r="AN35"/>
      <c r="AO35"/>
      <c r="AP35"/>
      <c r="AQ35"/>
      <c r="AR35"/>
      <c r="AS35"/>
      <c r="AT35"/>
      <c r="AU35"/>
      <c r="AV35"/>
      <c r="BF35" s="470"/>
      <c r="BG35" s="470"/>
      <c r="BH35" s="470"/>
      <c r="BI35" s="470"/>
      <c r="BJ35" s="470"/>
      <c r="BK35" s="470"/>
      <c r="BL35" s="470"/>
      <c r="BM35" s="470"/>
      <c r="BN35" s="470"/>
      <c r="BR35"/>
      <c r="BS35"/>
      <c r="CK35" s="468"/>
      <c r="DB35" s="468"/>
      <c r="DG35" s="620" t="str">
        <f t="shared" si="21"/>
        <v/>
      </c>
      <c r="DH35" s="620" t="str">
        <f t="shared" si="22"/>
        <v/>
      </c>
      <c r="DI35" s="620" t="str">
        <f t="shared" si="23"/>
        <v/>
      </c>
      <c r="DJ35" s="620" t="str">
        <f t="shared" si="24"/>
        <v/>
      </c>
      <c r="ER35" s="501">
        <f t="shared" si="25"/>
        <v>0</v>
      </c>
      <c r="ES35" s="501">
        <f t="shared" si="25"/>
        <v>0</v>
      </c>
      <c r="ET35" s="501">
        <f t="shared" si="26"/>
        <v>0</v>
      </c>
      <c r="EU35" s="501">
        <f t="shared" si="26"/>
        <v>0</v>
      </c>
    </row>
    <row r="36" spans="1:151" ht="15" customHeight="1" x14ac:dyDescent="0.25">
      <c r="A36" s="1900"/>
      <c r="B36" s="830" t="s">
        <v>125</v>
      </c>
      <c r="C36" s="856">
        <f t="shared" si="4"/>
        <v>0</v>
      </c>
      <c r="D36" s="896">
        <f t="shared" si="27"/>
        <v>0</v>
      </c>
      <c r="E36" s="897">
        <f t="shared" si="28"/>
        <v>0</v>
      </c>
      <c r="F36" s="887"/>
      <c r="G36" s="888"/>
      <c r="H36" s="866"/>
      <c r="I36" s="869"/>
      <c r="J36" s="866"/>
      <c r="K36" s="869"/>
      <c r="L36" s="805"/>
      <c r="M36" s="812"/>
      <c r="N36" s="805"/>
      <c r="O36" s="807"/>
      <c r="P36" s="805"/>
      <c r="Q36" s="807"/>
      <c r="R36" s="867"/>
      <c r="S36" s="869"/>
      <c r="T36" s="866"/>
      <c r="U36" s="868"/>
      <c r="V36" s="805"/>
      <c r="W36" s="807"/>
      <c r="X36" s="805"/>
      <c r="Y36" s="807"/>
      <c r="Z36" s="805"/>
      <c r="AA36" s="807"/>
      <c r="AB36" s="867"/>
      <c r="AC36" s="868"/>
      <c r="AD36" s="878"/>
      <c r="AE36" s="807"/>
      <c r="AF36" s="805"/>
      <c r="AG36" s="807"/>
      <c r="AH36" s="879"/>
      <c r="AI36" s="808"/>
      <c r="AJ36" s="1588"/>
      <c r="AK36" s="898"/>
      <c r="AL36" s="470" t="str">
        <f t="shared" si="20"/>
        <v/>
      </c>
      <c r="AM36"/>
      <c r="AN36"/>
      <c r="AO36"/>
      <c r="AP36"/>
      <c r="AQ36"/>
      <c r="AR36"/>
      <c r="AS36"/>
      <c r="AT36"/>
      <c r="AU36"/>
      <c r="AV36"/>
      <c r="BF36" s="470"/>
      <c r="BG36" s="470"/>
      <c r="BH36" s="470"/>
      <c r="BI36" s="470"/>
      <c r="BJ36" s="470"/>
      <c r="BK36" s="470"/>
      <c r="BL36" s="470"/>
      <c r="BM36" s="470"/>
      <c r="BN36" s="470"/>
      <c r="BR36"/>
      <c r="BS36"/>
      <c r="CK36" s="468"/>
      <c r="DB36" s="468"/>
      <c r="DG36" s="620" t="str">
        <f t="shared" si="21"/>
        <v/>
      </c>
      <c r="DH36" s="620" t="str">
        <f t="shared" si="22"/>
        <v/>
      </c>
      <c r="DI36" s="620" t="str">
        <f t="shared" si="23"/>
        <v/>
      </c>
      <c r="DJ36" s="620" t="str">
        <f t="shared" si="24"/>
        <v/>
      </c>
      <c r="ER36" s="501">
        <f t="shared" si="25"/>
        <v>0</v>
      </c>
      <c r="ES36" s="501">
        <f t="shared" si="25"/>
        <v>0</v>
      </c>
      <c r="ET36" s="501">
        <f t="shared" si="26"/>
        <v>0</v>
      </c>
      <c r="EU36" s="501">
        <f t="shared" si="26"/>
        <v>0</v>
      </c>
    </row>
    <row r="37" spans="1:151" ht="15" customHeight="1" x14ac:dyDescent="0.25">
      <c r="A37" s="1900"/>
      <c r="B37" s="841" t="s">
        <v>239</v>
      </c>
      <c r="C37" s="899">
        <f>SUM(D37:E37)</f>
        <v>0</v>
      </c>
      <c r="D37" s="819">
        <f t="shared" si="27"/>
        <v>0</v>
      </c>
      <c r="E37" s="820">
        <f t="shared" si="28"/>
        <v>0</v>
      </c>
      <c r="F37" s="887"/>
      <c r="G37" s="888"/>
      <c r="H37" s="858">
        <f t="shared" ref="H37:AK37" si="29">SUM(H32:H36)</f>
        <v>0</v>
      </c>
      <c r="I37" s="859">
        <f t="shared" si="29"/>
        <v>0</v>
      </c>
      <c r="J37" s="858">
        <f t="shared" si="29"/>
        <v>0</v>
      </c>
      <c r="K37" s="859">
        <f t="shared" si="29"/>
        <v>0</v>
      </c>
      <c r="L37" s="858">
        <f t="shared" si="29"/>
        <v>0</v>
      </c>
      <c r="M37" s="861">
        <f t="shared" si="29"/>
        <v>0</v>
      </c>
      <c r="N37" s="862">
        <f t="shared" si="29"/>
        <v>0</v>
      </c>
      <c r="O37" s="861">
        <f t="shared" si="29"/>
        <v>0</v>
      </c>
      <c r="P37" s="862">
        <f t="shared" si="29"/>
        <v>0</v>
      </c>
      <c r="Q37" s="859">
        <f t="shared" si="29"/>
        <v>0</v>
      </c>
      <c r="R37" s="858">
        <f t="shared" si="29"/>
        <v>0</v>
      </c>
      <c r="S37" s="859">
        <f t="shared" si="29"/>
        <v>0</v>
      </c>
      <c r="T37" s="858">
        <f t="shared" si="29"/>
        <v>0</v>
      </c>
      <c r="U37" s="859">
        <f t="shared" si="29"/>
        <v>0</v>
      </c>
      <c r="V37" s="858">
        <f t="shared" si="29"/>
        <v>0</v>
      </c>
      <c r="W37" s="861">
        <f t="shared" si="29"/>
        <v>0</v>
      </c>
      <c r="X37" s="862">
        <f t="shared" si="29"/>
        <v>0</v>
      </c>
      <c r="Y37" s="861">
        <f t="shared" si="29"/>
        <v>0</v>
      </c>
      <c r="Z37" s="862">
        <f t="shared" si="29"/>
        <v>0</v>
      </c>
      <c r="AA37" s="859">
        <f t="shared" si="29"/>
        <v>0</v>
      </c>
      <c r="AB37" s="858">
        <f t="shared" si="29"/>
        <v>0</v>
      </c>
      <c r="AC37" s="863">
        <f t="shared" si="29"/>
        <v>0</v>
      </c>
      <c r="AD37" s="864">
        <f t="shared" si="29"/>
        <v>0</v>
      </c>
      <c r="AE37" s="861">
        <f t="shared" si="29"/>
        <v>0</v>
      </c>
      <c r="AF37" s="858">
        <f t="shared" si="29"/>
        <v>0</v>
      </c>
      <c r="AG37" s="859">
        <f t="shared" si="29"/>
        <v>0</v>
      </c>
      <c r="AH37" s="865">
        <f t="shared" si="29"/>
        <v>0</v>
      </c>
      <c r="AI37" s="1583">
        <f t="shared" si="29"/>
        <v>0</v>
      </c>
      <c r="AJ37" s="858">
        <f t="shared" si="29"/>
        <v>0</v>
      </c>
      <c r="AK37" s="861">
        <f t="shared" si="29"/>
        <v>0</v>
      </c>
      <c r="AL37" s="470"/>
      <c r="AM37"/>
      <c r="AN37"/>
      <c r="AO37"/>
      <c r="AP37"/>
      <c r="AQ37"/>
      <c r="AR37"/>
      <c r="AS37"/>
      <c r="AT37"/>
      <c r="AU37"/>
      <c r="AV37"/>
      <c r="BF37" s="470"/>
      <c r="BG37" s="470"/>
      <c r="BH37" s="470"/>
      <c r="BI37" s="470"/>
      <c r="BJ37" s="470"/>
      <c r="BK37" s="470"/>
      <c r="BL37" s="470"/>
      <c r="BM37" s="470"/>
      <c r="BN37" s="470"/>
      <c r="BR37"/>
      <c r="BS37"/>
      <c r="CK37" s="468"/>
      <c r="DB37" s="468"/>
      <c r="DG37" s="468"/>
      <c r="DH37" s="468"/>
      <c r="DI37" s="468"/>
      <c r="DJ37" s="468"/>
      <c r="ER37" s="620"/>
      <c r="ES37" s="620"/>
      <c r="ET37" s="620"/>
      <c r="EU37" s="620"/>
    </row>
    <row r="38" spans="1:151" ht="15" customHeight="1" x14ac:dyDescent="0.25">
      <c r="A38" s="1900"/>
      <c r="B38" s="900" t="s">
        <v>240</v>
      </c>
      <c r="C38" s="899">
        <f>SUM(D38:E38)</f>
        <v>0</v>
      </c>
      <c r="D38" s="819">
        <f t="shared" si="27"/>
        <v>0</v>
      </c>
      <c r="E38" s="820">
        <f t="shared" si="28"/>
        <v>0</v>
      </c>
      <c r="F38" s="887"/>
      <c r="G38" s="888"/>
      <c r="H38" s="866"/>
      <c r="I38" s="869"/>
      <c r="J38" s="866"/>
      <c r="K38" s="869"/>
      <c r="L38" s="809"/>
      <c r="M38" s="869"/>
      <c r="N38" s="816"/>
      <c r="O38" s="869"/>
      <c r="P38" s="816"/>
      <c r="Q38" s="825"/>
      <c r="R38" s="866"/>
      <c r="S38" s="869"/>
      <c r="T38" s="866"/>
      <c r="U38" s="869"/>
      <c r="V38" s="809"/>
      <c r="W38" s="869"/>
      <c r="X38" s="816"/>
      <c r="Y38" s="869"/>
      <c r="Z38" s="816"/>
      <c r="AA38" s="825"/>
      <c r="AB38" s="866"/>
      <c r="AC38" s="868"/>
      <c r="AD38" s="813"/>
      <c r="AE38" s="823"/>
      <c r="AF38" s="866"/>
      <c r="AG38" s="869"/>
      <c r="AH38" s="901"/>
      <c r="AI38" s="1584"/>
      <c r="AJ38" s="1588"/>
      <c r="AK38" s="898"/>
      <c r="AL38" s="470" t="str">
        <f>($DG38&amp;DH38&amp;DI38&amp;DJ38)</f>
        <v/>
      </c>
      <c r="AM38"/>
      <c r="AN38"/>
      <c r="AO38"/>
      <c r="AP38"/>
      <c r="AQ38"/>
      <c r="AR38"/>
      <c r="AS38"/>
      <c r="AU38"/>
      <c r="AV38"/>
      <c r="BF38" s="470"/>
      <c r="BG38" s="470"/>
      <c r="BH38" s="470"/>
      <c r="BI38" s="470"/>
      <c r="BJ38" s="470"/>
      <c r="BK38" s="470"/>
      <c r="BL38" s="470"/>
      <c r="BM38" s="470"/>
      <c r="BN38" s="470"/>
      <c r="BR38"/>
      <c r="BS38"/>
      <c r="CK38" s="468"/>
      <c r="DB38" s="468"/>
      <c r="DG38" s="620" t="str">
        <f>IF(AND(D38&gt;0,OR(AH38=""))," * No olvide digitar la variable Pueblos Originarios Hombres (Digite Cero si no tiene).",IF(AH38&gt;D38," * La variable Pueblos Originarios Hombres no puede ser Mayor al Total Hombres.",""))</f>
        <v/>
      </c>
      <c r="DH38" s="620" t="str">
        <f>IF(AND(E38&gt;0,OR(AI38=""))," * No olvide digitar la variable Pueblos Originarios Mujeres (Digite Cero si no tiene).",IF(AI38&gt;E38," * La variable Pueblos Originarios Mujeres no puede ser Mayor al Total Mujeres.",""))</f>
        <v/>
      </c>
      <c r="DI38" s="620" t="str">
        <f>IF(AND(D38&gt;0,OR(AJ38=""))," * No olvide digitar la variable Migrantes Hombres (Digite Cero si no tiene).",IF(AJ38&gt;D38," * La variable Migrantes Hombres no puede ser Mayor al Total.",""))</f>
        <v/>
      </c>
      <c r="DJ38" s="620" t="str">
        <f>IF(AND(E38&gt;0,OR(AK38=""))," * No olvide digitar la variable Migrantes Mujeres (Digite Cero si no tiene).",IF(AK38&gt;E38," * La variable Migrantes Mujeres no puede ser Mayor al Total.",""))</f>
        <v/>
      </c>
      <c r="ER38" s="501">
        <f>IF(AND(D38&gt;0,OR(AH38="")),1,IF(AH38&gt;D38,1,0))</f>
        <v>0</v>
      </c>
      <c r="ES38" s="501">
        <f>IF(AND(E38&gt;0,OR(AI38="")),1,IF(AI38&gt;E38,1,0))</f>
        <v>0</v>
      </c>
      <c r="ET38" s="501">
        <f>IF(AND(D38&gt;0,OR(AJ38="")),1,IF(AJ38&gt;D38,1,0))</f>
        <v>0</v>
      </c>
      <c r="EU38" s="501">
        <f>IF(AND(E38&gt;0,OR(AK38="")),1,IF(AK38&gt;E38,1,0))</f>
        <v>0</v>
      </c>
    </row>
    <row r="39" spans="1:151" ht="15" customHeight="1" x14ac:dyDescent="0.25">
      <c r="A39" s="1901"/>
      <c r="B39" s="792" t="s">
        <v>89</v>
      </c>
      <c r="C39" s="902">
        <f t="shared" si="4"/>
        <v>0</v>
      </c>
      <c r="D39" s="903">
        <f t="shared" si="27"/>
        <v>0</v>
      </c>
      <c r="E39" s="904">
        <f t="shared" si="28"/>
        <v>0</v>
      </c>
      <c r="F39" s="887"/>
      <c r="G39" s="888"/>
      <c r="H39" s="858">
        <f t="shared" ref="H39:AK39" si="30">SUM(H32:H36)+H38</f>
        <v>0</v>
      </c>
      <c r="I39" s="861">
        <f t="shared" si="30"/>
        <v>0</v>
      </c>
      <c r="J39" s="858">
        <f t="shared" si="30"/>
        <v>0</v>
      </c>
      <c r="K39" s="861">
        <f t="shared" si="30"/>
        <v>0</v>
      </c>
      <c r="L39" s="858">
        <f t="shared" si="30"/>
        <v>0</v>
      </c>
      <c r="M39" s="861">
        <f t="shared" si="30"/>
        <v>0</v>
      </c>
      <c r="N39" s="844">
        <f t="shared" si="30"/>
        <v>0</v>
      </c>
      <c r="O39" s="845">
        <f t="shared" si="30"/>
        <v>0</v>
      </c>
      <c r="P39" s="844">
        <f t="shared" si="30"/>
        <v>0</v>
      </c>
      <c r="Q39" s="904">
        <f t="shared" si="30"/>
        <v>0</v>
      </c>
      <c r="R39" s="843">
        <f t="shared" si="30"/>
        <v>0</v>
      </c>
      <c r="S39" s="904">
        <f t="shared" si="30"/>
        <v>0</v>
      </c>
      <c r="T39" s="843">
        <f t="shared" si="30"/>
        <v>0</v>
      </c>
      <c r="U39" s="904">
        <f t="shared" si="30"/>
        <v>0</v>
      </c>
      <c r="V39" s="843">
        <f t="shared" si="30"/>
        <v>0</v>
      </c>
      <c r="W39" s="845">
        <f t="shared" si="30"/>
        <v>0</v>
      </c>
      <c r="X39" s="844">
        <f t="shared" si="30"/>
        <v>0</v>
      </c>
      <c r="Y39" s="845">
        <f t="shared" si="30"/>
        <v>0</v>
      </c>
      <c r="Z39" s="844">
        <f t="shared" si="30"/>
        <v>0</v>
      </c>
      <c r="AA39" s="904">
        <f t="shared" si="30"/>
        <v>0</v>
      </c>
      <c r="AB39" s="843">
        <f t="shared" si="30"/>
        <v>0</v>
      </c>
      <c r="AC39" s="854">
        <f t="shared" si="30"/>
        <v>0</v>
      </c>
      <c r="AD39" s="847">
        <f t="shared" si="30"/>
        <v>0</v>
      </c>
      <c r="AE39" s="845">
        <f t="shared" si="30"/>
        <v>0</v>
      </c>
      <c r="AF39" s="843">
        <f t="shared" si="30"/>
        <v>0</v>
      </c>
      <c r="AG39" s="904">
        <f t="shared" si="30"/>
        <v>0</v>
      </c>
      <c r="AH39" s="848">
        <f t="shared" si="30"/>
        <v>0</v>
      </c>
      <c r="AI39" s="1585">
        <f t="shared" si="30"/>
        <v>0</v>
      </c>
      <c r="AJ39" s="843">
        <f t="shared" si="30"/>
        <v>0</v>
      </c>
      <c r="AK39" s="845">
        <f t="shared" si="30"/>
        <v>0</v>
      </c>
      <c r="AL39" s="470"/>
      <c r="AM39"/>
      <c r="AN39"/>
      <c r="AO39"/>
      <c r="AP39"/>
      <c r="AQ39"/>
      <c r="AR39"/>
      <c r="AS39"/>
      <c r="AT39"/>
      <c r="AU39"/>
      <c r="AV39"/>
      <c r="BF39" s="470"/>
      <c r="BG39" s="470"/>
      <c r="BH39" s="470"/>
      <c r="BI39" s="470"/>
      <c r="BJ39" s="470"/>
      <c r="BK39" s="470"/>
      <c r="BL39" s="470"/>
      <c r="BM39" s="470"/>
      <c r="BN39" s="470"/>
      <c r="BR39"/>
      <c r="BS39"/>
      <c r="CK39" s="468"/>
      <c r="DB39" s="468"/>
      <c r="DG39" s="468"/>
      <c r="DH39" s="468"/>
      <c r="DI39" s="468"/>
      <c r="DJ39" s="468"/>
      <c r="ER39" s="620"/>
      <c r="ES39" s="620"/>
      <c r="ET39" s="620"/>
      <c r="EU39" s="620"/>
    </row>
    <row r="40" spans="1:151" ht="22.5" customHeight="1" x14ac:dyDescent="0.25">
      <c r="A40" s="1987" t="s">
        <v>241</v>
      </c>
      <c r="B40" s="1988"/>
      <c r="C40" s="875">
        <f>SUM(D40:E40)</f>
        <v>0</v>
      </c>
      <c r="D40" s="803">
        <f t="shared" ref="D40" si="31">+F40+H40+J40+L40+N40+P40+R40+T40+V40+X40+Z40+AB40+AD40+AF40</f>
        <v>0</v>
      </c>
      <c r="E40" s="804">
        <f t="shared" ref="E40" si="32">+G40+I40+K40+M40+O40+Q40+S40+U40+W40+Y40+AA40+AC40+AE40+AG40</f>
        <v>0</v>
      </c>
      <c r="F40" s="809"/>
      <c r="G40" s="876"/>
      <c r="H40" s="809"/>
      <c r="I40" s="810"/>
      <c r="J40" s="809"/>
      <c r="K40" s="810"/>
      <c r="L40" s="809"/>
      <c r="M40" s="810"/>
      <c r="N40" s="816"/>
      <c r="O40" s="810"/>
      <c r="P40" s="816"/>
      <c r="Q40" s="816"/>
      <c r="R40" s="809"/>
      <c r="S40" s="810"/>
      <c r="T40" s="809"/>
      <c r="U40" s="810"/>
      <c r="V40" s="809"/>
      <c r="W40" s="810"/>
      <c r="X40" s="816"/>
      <c r="Y40" s="810"/>
      <c r="Z40" s="816"/>
      <c r="AA40" s="816"/>
      <c r="AB40" s="809"/>
      <c r="AC40" s="877"/>
      <c r="AD40" s="813"/>
      <c r="AE40" s="810"/>
      <c r="AF40" s="809"/>
      <c r="AG40" s="810"/>
      <c r="AH40" s="814"/>
      <c r="AI40" s="1586"/>
      <c r="AJ40" s="809"/>
      <c r="AK40" s="810"/>
      <c r="AL40" s="470" t="str">
        <f>($DG40&amp;DH40&amp;DI40&amp;DJ40)</f>
        <v/>
      </c>
      <c r="AM40"/>
      <c r="AN40"/>
      <c r="AO40"/>
      <c r="AP40"/>
      <c r="AQ40"/>
      <c r="AR40"/>
      <c r="AS40"/>
      <c r="AT40"/>
      <c r="AU40"/>
      <c r="AV40"/>
      <c r="BF40" s="470"/>
      <c r="BG40" s="470"/>
      <c r="BH40" s="470"/>
      <c r="BI40" s="470"/>
      <c r="BJ40" s="470"/>
      <c r="BK40" s="470"/>
      <c r="BL40" s="470"/>
      <c r="BM40" s="470"/>
      <c r="BN40" s="470"/>
      <c r="BR40"/>
      <c r="BS40"/>
      <c r="CK40" s="468"/>
      <c r="DB40" s="468"/>
      <c r="DG40" s="620" t="str">
        <f>IF(AND(D40&gt;0,OR(AH40=""))," * No olvide digitar la variable Pueblos Originarios Hombres (Digite Cero si no tiene).",IF(AH40&gt;D40," * La variable Pueblos Originarios Hombres no puede ser Mayor al Total Hombres.",""))</f>
        <v/>
      </c>
      <c r="DH40" s="620" t="str">
        <f>IF(AND(E40&gt;0,OR(AI40=""))," * No olvide digitar la variable Pueblos Originarios Mujeres (Digite Cero si no tiene).",IF(AI40&gt;E40," * La variable Pueblos Originarios Mujeres no puede ser Mayor al Total Mujeres.",""))</f>
        <v/>
      </c>
      <c r="DI40" s="620" t="str">
        <f>IF(AND(D40&gt;0,OR(AJ40=""))," * No olvide digitar la variable Migrantes Hombres (Digite Cero si no tiene).",IF(AJ40&gt;D40," * La variable Migrantes Hombres no puede ser Mayor al Total.",""))</f>
        <v/>
      </c>
      <c r="DJ40" s="620" t="str">
        <f>IF(AND(E40&gt;0,OR(AK40=""))," * No olvide digitar la variable Migrantes Mujeres (Digite Cero si no tiene).",IF(AK40&gt;E40," * La variable Migrantes Mujeres no puede ser Mayor al Total.",""))</f>
        <v/>
      </c>
      <c r="ER40" s="501">
        <f>IF(AND(D40&gt;0,OR(AH40="")),1,IF(AH40&gt;D40,1,0))</f>
        <v>0</v>
      </c>
      <c r="ES40" s="501">
        <f>IF(AND(E40&gt;0,OR(AI40="")),1,IF(AI40&gt;E40,1,0))</f>
        <v>0</v>
      </c>
      <c r="ET40" s="501">
        <f>IF(AND(D40&gt;0,OR(AJ40="")),1,IF(AJ40&gt;D40,1,0))</f>
        <v>0</v>
      </c>
      <c r="EU40" s="501">
        <f>IF(AND(E40&gt;0,OR(AK40="")),1,IF(AK40&gt;E40,1,0))</f>
        <v>0</v>
      </c>
    </row>
    <row r="41" spans="1:151" ht="17.100000000000001" customHeight="1" x14ac:dyDescent="0.15">
      <c r="A41" s="2031" t="s">
        <v>242</v>
      </c>
      <c r="B41" s="2031"/>
      <c r="C41" s="2031"/>
      <c r="D41" s="2031"/>
      <c r="E41" s="2031"/>
      <c r="F41" s="2031"/>
      <c r="G41" s="2031"/>
      <c r="H41" s="2031"/>
      <c r="I41" s="2031"/>
      <c r="J41" s="2031"/>
      <c r="K41" s="2031"/>
      <c r="L41" s="2031"/>
      <c r="M41" s="2031"/>
      <c r="N41" s="2031"/>
      <c r="O41" s="2031"/>
      <c r="P41" s="905"/>
      <c r="Q41" s="905"/>
      <c r="R41" s="853"/>
      <c r="S41" s="853"/>
      <c r="T41" s="853"/>
      <c r="U41" s="853"/>
      <c r="V41" s="853"/>
      <c r="W41" s="853"/>
      <c r="X41" s="853"/>
      <c r="Y41" s="853"/>
      <c r="Z41" s="853"/>
      <c r="AA41" s="853"/>
      <c r="AB41" s="853"/>
      <c r="AC41" s="853"/>
      <c r="AD41" s="853"/>
      <c r="AE41" s="853"/>
      <c r="AF41" s="853"/>
      <c r="AG41" s="853"/>
      <c r="AH41" s="853"/>
      <c r="AI41" s="853"/>
      <c r="AJ41" s="853"/>
      <c r="AK41" s="853"/>
      <c r="AL41" s="853"/>
      <c r="AM41" s="853"/>
      <c r="AN41" s="853"/>
      <c r="AO41" s="853"/>
      <c r="AP41" s="853"/>
      <c r="AQ41" s="853"/>
      <c r="AR41" s="853"/>
      <c r="AS41" s="853"/>
      <c r="AT41" s="853"/>
      <c r="AU41" s="853"/>
      <c r="AV41" s="853"/>
      <c r="AW41" s="470"/>
      <c r="AX41" s="470"/>
      <c r="AY41" s="470"/>
      <c r="AZ41" s="470"/>
      <c r="BA41" s="470"/>
      <c r="BB41" s="470"/>
      <c r="BC41" s="470"/>
      <c r="BD41" s="470"/>
      <c r="BE41" s="470"/>
      <c r="BF41" s="470"/>
      <c r="BG41" s="470"/>
      <c r="BH41" s="470"/>
      <c r="BI41" s="470"/>
      <c r="BJ41" s="470"/>
      <c r="BK41" s="470"/>
      <c r="BL41" s="470"/>
      <c r="BM41" s="470"/>
      <c r="BN41" s="470"/>
      <c r="BO41" s="470"/>
      <c r="BP41" s="470"/>
      <c r="BQ41" s="470"/>
      <c r="CA41" s="853"/>
    </row>
    <row r="42" spans="1:151" ht="27.75" customHeight="1" x14ac:dyDescent="0.25">
      <c r="A42" s="1918" t="s">
        <v>208</v>
      </c>
      <c r="B42" s="1919"/>
      <c r="C42" s="2004" t="s">
        <v>49</v>
      </c>
      <c r="D42" s="2004"/>
      <c r="E42" s="2005"/>
      <c r="F42" s="1932" t="s">
        <v>243</v>
      </c>
      <c r="G42" s="1933"/>
      <c r="H42" s="1933"/>
      <c r="I42" s="1933"/>
      <c r="J42" s="1933"/>
      <c r="K42" s="1933"/>
      <c r="L42" s="1933"/>
      <c r="M42" s="1933"/>
      <c r="N42" s="1933"/>
      <c r="O42" s="1933"/>
      <c r="P42" s="1933"/>
      <c r="Q42" s="1933"/>
      <c r="R42" s="1933"/>
      <c r="S42" s="1998"/>
      <c r="T42" s="472"/>
      <c r="U42" s="470"/>
      <c r="V42" s="470"/>
      <c r="W42" s="470"/>
      <c r="X42" s="470"/>
      <c r="Y42" s="470"/>
      <c r="Z42" s="470"/>
      <c r="AA42" s="470"/>
      <c r="AB42" s="470"/>
      <c r="AC42" s="470"/>
      <c r="AD42" s="470"/>
      <c r="AE42" s="470"/>
      <c r="AF42" s="470"/>
      <c r="AG42" s="470"/>
      <c r="AH42" s="470"/>
      <c r="AI42" s="470"/>
      <c r="AJ42" s="470"/>
      <c r="AK42" s="470"/>
      <c r="AL42" s="470"/>
      <c r="AM42" s="470"/>
      <c r="AN42" s="470"/>
      <c r="AO42" s="470"/>
      <c r="AP42" s="470"/>
      <c r="AQ42" s="470"/>
      <c r="AR42" s="470"/>
      <c r="AS42" s="470"/>
      <c r="AT42" s="470"/>
      <c r="AU42" s="470"/>
      <c r="AV42" s="470"/>
      <c r="AW42" s="470"/>
      <c r="AX42" s="470"/>
      <c r="AY42" s="470"/>
      <c r="AZ42" s="470"/>
      <c r="BA42" s="470"/>
      <c r="BB42" s="470"/>
      <c r="BR42"/>
      <c r="BS42"/>
      <c r="BT42"/>
      <c r="BU42"/>
      <c r="BV42"/>
      <c r="BW42"/>
    </row>
    <row r="43" spans="1:151" ht="24" customHeight="1" x14ac:dyDescent="0.25">
      <c r="A43" s="1920"/>
      <c r="B43" s="1921"/>
      <c r="C43" s="1912"/>
      <c r="D43" s="1912"/>
      <c r="E43" s="1913"/>
      <c r="F43" s="1896" t="s">
        <v>244</v>
      </c>
      <c r="G43" s="1897"/>
      <c r="H43" s="1896" t="s">
        <v>245</v>
      </c>
      <c r="I43" s="1897"/>
      <c r="J43" s="1896" t="s">
        <v>246</v>
      </c>
      <c r="K43" s="1897"/>
      <c r="L43" s="1896" t="s">
        <v>247</v>
      </c>
      <c r="M43" s="1897"/>
      <c r="N43" s="1896" t="s">
        <v>248</v>
      </c>
      <c r="O43" s="1897"/>
      <c r="P43" s="1996" t="s">
        <v>51</v>
      </c>
      <c r="Q43" s="1997"/>
      <c r="R43" s="1995" t="s">
        <v>52</v>
      </c>
      <c r="S43" s="1995"/>
      <c r="T43" s="472"/>
      <c r="U43" s="470"/>
      <c r="V43" s="470"/>
      <c r="W43" s="470"/>
      <c r="X43" s="470"/>
      <c r="Y43" s="470"/>
      <c r="Z43" s="470"/>
      <c r="AA43" s="470"/>
      <c r="AB43" s="470"/>
      <c r="AC43" s="470"/>
      <c r="AD43" s="470"/>
      <c r="AE43" s="470"/>
      <c r="AF43" s="470"/>
      <c r="AG43" s="470"/>
      <c r="AH43" s="470"/>
      <c r="AI43" s="470"/>
      <c r="AJ43" s="470"/>
      <c r="AK43" s="470"/>
      <c r="AL43" s="470"/>
      <c r="AM43" s="470"/>
      <c r="AN43" s="470"/>
      <c r="AO43" s="470"/>
      <c r="AP43" s="470"/>
      <c r="AQ43" s="470"/>
      <c r="AR43" s="470"/>
      <c r="AS43" s="470"/>
      <c r="AT43" s="470"/>
      <c r="AU43" s="470"/>
      <c r="AV43" s="470"/>
      <c r="AW43" s="470"/>
      <c r="AX43" s="470"/>
      <c r="AY43" s="470"/>
      <c r="AZ43" s="470"/>
      <c r="BA43" s="470"/>
      <c r="BB43" s="470"/>
      <c r="BR43"/>
      <c r="BS43"/>
      <c r="BT43"/>
      <c r="BU43"/>
      <c r="BV43"/>
      <c r="BW43"/>
    </row>
    <row r="44" spans="1:151" ht="32.25" customHeight="1" x14ac:dyDescent="0.25">
      <c r="A44" s="1922"/>
      <c r="B44" s="1923"/>
      <c r="C44" s="907" t="s">
        <v>224</v>
      </c>
      <c r="D44" s="798" t="s">
        <v>86</v>
      </c>
      <c r="E44" s="793" t="s">
        <v>225</v>
      </c>
      <c r="F44" s="908" t="s">
        <v>86</v>
      </c>
      <c r="G44" s="909" t="s">
        <v>225</v>
      </c>
      <c r="H44" s="908" t="s">
        <v>86</v>
      </c>
      <c r="I44" s="799" t="s">
        <v>225</v>
      </c>
      <c r="J44" s="910" t="s">
        <v>86</v>
      </c>
      <c r="K44" s="799" t="s">
        <v>225</v>
      </c>
      <c r="L44" s="910" t="s">
        <v>86</v>
      </c>
      <c r="M44" s="799" t="s">
        <v>225</v>
      </c>
      <c r="N44" s="910" t="s">
        <v>86</v>
      </c>
      <c r="O44" s="911" t="s">
        <v>225</v>
      </c>
      <c r="P44" s="912" t="s">
        <v>86</v>
      </c>
      <c r="Q44" s="1589" t="s">
        <v>225</v>
      </c>
      <c r="R44" s="798" t="s">
        <v>86</v>
      </c>
      <c r="S44" s="1591" t="s">
        <v>225</v>
      </c>
      <c r="T44" s="472"/>
      <c r="U44" s="470"/>
      <c r="V44" s="470"/>
      <c r="W44" s="470"/>
      <c r="X44" s="470"/>
      <c r="Y44" s="470"/>
      <c r="Z44" s="470"/>
      <c r="AA44" s="470"/>
      <c r="AB44" s="470"/>
      <c r="AC44" s="470"/>
      <c r="AD44" s="470"/>
      <c r="AE44" s="470"/>
      <c r="AF44" s="470"/>
      <c r="AG44" s="470"/>
      <c r="AH44" s="470"/>
      <c r="AI44" s="470"/>
      <c r="AJ44" s="470"/>
      <c r="AK44" s="470"/>
      <c r="AL44" s="470"/>
      <c r="AM44" s="470"/>
      <c r="AN44" s="470"/>
      <c r="AO44" s="470"/>
      <c r="AP44" s="470"/>
      <c r="AQ44" s="470"/>
      <c r="AR44" s="470"/>
      <c r="AS44" s="470"/>
      <c r="AT44" s="470"/>
      <c r="AU44" s="470"/>
      <c r="AV44" s="470"/>
      <c r="AW44" s="470"/>
      <c r="AX44" s="470"/>
      <c r="AY44" s="470"/>
      <c r="AZ44" s="470"/>
      <c r="BA44" s="470"/>
      <c r="BB44" s="470"/>
      <c r="BR44"/>
      <c r="BS44"/>
      <c r="BT44"/>
      <c r="BU44"/>
      <c r="BV44"/>
      <c r="BW44"/>
    </row>
    <row r="45" spans="1:151" ht="15" customHeight="1" x14ac:dyDescent="0.25">
      <c r="A45" s="1999" t="s">
        <v>249</v>
      </c>
      <c r="B45" s="2000"/>
      <c r="C45" s="914">
        <f>+D45+E45</f>
        <v>0</v>
      </c>
      <c r="D45" s="803">
        <f>+F45+H45+J45+L45+N45</f>
        <v>0</v>
      </c>
      <c r="E45" s="802">
        <f>+G45+I45+K45+M45+O45</f>
        <v>0</v>
      </c>
      <c r="F45" s="821"/>
      <c r="G45" s="823"/>
      <c r="H45" s="821"/>
      <c r="I45" s="823"/>
      <c r="J45" s="825"/>
      <c r="K45" s="823"/>
      <c r="L45" s="825"/>
      <c r="M45" s="823"/>
      <c r="N45" s="825"/>
      <c r="O45" s="824"/>
      <c r="P45" s="828"/>
      <c r="Q45" s="824"/>
      <c r="R45" s="821"/>
      <c r="S45" s="823"/>
      <c r="T45" s="704" t="str">
        <f>CA45&amp;CB45&amp; CC45&amp;CC45&amp;CD45&amp;CE45&amp;CF45&amp;CG45&amp;CH45&amp;CI45&amp;CJ45&amp;CK45&amp;CL45&amp;CM45&amp;CN45&amp;CO45&amp;CP45&amp;CQ45&amp;CR45</f>
        <v/>
      </c>
      <c r="U45" s="471"/>
      <c r="V45" s="471"/>
      <c r="W45" s="471"/>
      <c r="X45" s="471"/>
      <c r="Y45" s="471"/>
      <c r="Z45" s="471"/>
      <c r="AA45" s="471"/>
      <c r="AB45" s="471"/>
      <c r="AC45" s="471"/>
      <c r="AD45" s="471"/>
      <c r="AE45" s="471"/>
      <c r="AF45" s="471"/>
      <c r="AG45" s="471"/>
      <c r="AH45" s="471"/>
      <c r="AI45" s="471"/>
      <c r="AJ45" s="471"/>
      <c r="AK45" s="471"/>
      <c r="AL45" s="471"/>
      <c r="AM45" s="471"/>
      <c r="AN45" s="471"/>
      <c r="AO45" s="471"/>
      <c r="AP45" s="471"/>
      <c r="AQ45" s="471"/>
      <c r="AR45" s="471"/>
      <c r="AS45" s="471"/>
      <c r="AT45" s="471"/>
      <c r="AU45" s="471"/>
      <c r="AV45" s="471"/>
      <c r="AW45" s="471"/>
      <c r="AX45" s="471"/>
      <c r="AY45" s="471"/>
      <c r="AZ45" s="471"/>
      <c r="BA45" s="471"/>
      <c r="BB45" s="471"/>
      <c r="BR45"/>
      <c r="BS45"/>
      <c r="BT45"/>
      <c r="BU45"/>
      <c r="BV45"/>
      <c r="BW45"/>
      <c r="BY45" s="471"/>
      <c r="BZ45" s="471"/>
      <c r="CA45" s="620" t="str">
        <f>IF(F45&lt;&gt;SUM(F73:F74),"* El Total de Hombres en control de 5 a 5 años 11 meses no debe ser distinto al total Hombres del Diagnóstico Nutricional Integrado y niños sin evaluación.","")</f>
        <v/>
      </c>
      <c r="CB45" s="620" t="str">
        <f>IF(G45&lt;&gt;SUM(G73:G74),"* El Total de Mujeres en control de 5 a 5 años 11 meses no debe ser distinto al total Mujeres del Diagnóstico Nutricional Integrado y niños sin evaluación.","")</f>
        <v/>
      </c>
      <c r="CC45" s="620" t="str">
        <f>IF(H45&lt;&gt;SUM(H73:H74),"* El Total de Hombres en control de 6 a 6 años 11 meses no debe ser distinto al total Hombres del Diagnóstico Nutricional Integrado y niños sin evaluación.","")</f>
        <v/>
      </c>
      <c r="CD45" s="620" t="str">
        <f>IF(I45&lt;&gt;SUM(I73:I74),"* El Total de Mujeres en control de 6 a 6 años 11 meses no debe ser distinto al total Mujeres del Diagnóstico Nutricional Integrado y niños sin evaluación.","")</f>
        <v/>
      </c>
      <c r="CE45" s="620" t="str">
        <f>IF(J45&lt;&gt;SUM(J73:J74),"* El Total de Hombres en control de 7 a 7 años 11 meses no debe ser distinto al total Hombres del Diagnóstico Nutricional Integrado y niños sin evaluación.","")</f>
        <v/>
      </c>
      <c r="CF45" s="620" t="str">
        <f>IF(K45&lt;&gt;SUM(K73:K74),"* El Total de Mujeres en control de 7 a 7 años 11 meses no debe ser distinto al total Mujeres del Diagnóstico Nutricional Integrado y niños sin evaluación.","")</f>
        <v/>
      </c>
      <c r="CG45" s="620" t="str">
        <f>IF(L45&lt;&gt;SUM(L73:L74),"* El Total de Hombres en control de 8 a 8 años 11 meses no debe ser distinto al total Hombres del Diagnóstico Nutricional Integrado y niños sin evaluación.","")</f>
        <v/>
      </c>
      <c r="CH45" s="620" t="str">
        <f>IF(M45&lt;&gt;SUM(M73:M74),"* El Total de Mujeres en control de 8 a 8 años 11 meses no debe ser distinto al total Mujeres del Diagnóstico Nutricional Integrado y niños sin evaluación.","")</f>
        <v/>
      </c>
      <c r="CI45" s="620" t="str">
        <f>IF(N45&lt;&gt;SUM(N73:N74),"* El Total de Hombres en control de 9 a 9 años 11 meses no debe ser distinto al total Hombres del Diagnóstico Nutricional Integrado y niños sin evaluación.","")</f>
        <v/>
      </c>
      <c r="CJ45" s="620" t="str">
        <f>IF(O45&lt;&gt;SUM(O73:O74),"* El Total de Mujeres en control de 9 a 9 años 11 meses no debe ser distinto al total Mujeres del Diagnóstico Nutricional Integrado y niños sin evaluación.","")</f>
        <v/>
      </c>
      <c r="CK45" s="620" t="str">
        <f>IF(AND(D45&gt;0,OR(P45=""))," * No olvide digitar la variable Pueblos Originarios Hombres (Digite Cero si no tiene).",IF(P45&gt;D45," * La variable Pueblos Originarios Hombres no puede ser Mayor al Total Hombres.",""))</f>
        <v/>
      </c>
      <c r="CL45" s="620" t="str">
        <f>IF(AND(E45&gt;0,OR(Q45=""))," * No olvide digitar la variable Pueblos Originarios Mujeres (Digite Cero si no tiene).",IF(Q45&gt;E45," * La variable Pueblos Originarios Mujeres no puede ser Mayor al Total Mujeres.",""))</f>
        <v/>
      </c>
      <c r="CM45" s="620" t="str">
        <f>IF(AND(D45&gt;0,OR(R45=""))," * No olvide digitar la variable Migrantes Hombres (Digite Cero si no tiene).",IF(R45&gt;D45," * La variable Migrantes Hombres no puede ser Mayor al Total Hombres.",""))</f>
        <v/>
      </c>
      <c r="CN45" s="620" t="str">
        <f>IF(AND(E45&gt;0,OR(S45=""))," * No olvide digitar la variable Migrantes Mujeres (Digite Cero si no tiene).",IF(S45&gt;E45," * La variable Migrantes Mujeres no puede ser Mayor al Total Mujeres.",""))</f>
        <v/>
      </c>
      <c r="CO45" s="620" t="str">
        <f>IF(P45&lt;&gt;P73,"* El Total de Pueblos Originarios Hombres debe ser igual al Total de Pueblos Originarios Hombres según Diagnóstico Nutricional Integrado. ","")</f>
        <v/>
      </c>
      <c r="CP45" s="620" t="str">
        <f>IF(Q45&lt;&gt;Q73,"* El Total de Pueblos Originarios Mujeres debe ser igual al Total de Pueblos Originarios Hombres según Diagnóstico Nutricional Integrado. ","")</f>
        <v/>
      </c>
      <c r="CQ45" s="620" t="str">
        <f>IF(R45&lt;&gt;R73,"* El Total de Migrantes Hombres debe ser igual al Total de Migrantes Hombres según Diagnóstico Nutricional Integrado. ","")</f>
        <v/>
      </c>
      <c r="CR45" s="620" t="str">
        <f>IF(S45&lt;&gt;S73,"* El Total de Migrantes Mujeres debe ser igual al Total de Migrantes Mujeres según Diagnóstico Nutricional Integrado. ","")</f>
        <v/>
      </c>
      <c r="DB45" s="468"/>
      <c r="DC45" s="468"/>
      <c r="DD45" s="468"/>
      <c r="DE45" s="468"/>
      <c r="DF45" s="468"/>
      <c r="DG45" s="468"/>
      <c r="DP45" s="501">
        <f>IF(F45&lt;&gt;SUM(F73:F74),1,0)</f>
        <v>0</v>
      </c>
      <c r="DQ45" s="501">
        <f>IF(G45&lt;&gt;SUM(G73:G74),1,0)</f>
        <v>0</v>
      </c>
      <c r="DR45" s="501">
        <f t="shared" ref="DR45:DY45" si="33">IF(H45&lt;&gt;SUM(H73:H74),1,0)</f>
        <v>0</v>
      </c>
      <c r="DS45" s="501">
        <f t="shared" si="33"/>
        <v>0</v>
      </c>
      <c r="DT45" s="501">
        <f t="shared" si="33"/>
        <v>0</v>
      </c>
      <c r="DU45" s="501">
        <f t="shared" si="33"/>
        <v>0</v>
      </c>
      <c r="DV45" s="501">
        <f t="shared" si="33"/>
        <v>0</v>
      </c>
      <c r="DW45" s="501">
        <f t="shared" si="33"/>
        <v>0</v>
      </c>
      <c r="DX45" s="501">
        <f t="shared" si="33"/>
        <v>0</v>
      </c>
      <c r="DY45" s="501">
        <f t="shared" si="33"/>
        <v>0</v>
      </c>
      <c r="DZ45" s="501">
        <f t="shared" ref="DZ45:EA48" si="34">IF(AND(D45&gt;0,OR(P45="")),1,IF(P45&gt;D45,1,0))</f>
        <v>0</v>
      </c>
      <c r="EA45" s="501">
        <f t="shared" si="34"/>
        <v>0</v>
      </c>
      <c r="EB45" s="501">
        <f t="shared" ref="EB45:EC48" si="35">IF(AND(D45&gt;0,OR(R45="")),1,IF(R45&gt;D45,1,0))</f>
        <v>0</v>
      </c>
      <c r="EC45" s="501">
        <f t="shared" si="35"/>
        <v>0</v>
      </c>
      <c r="ED45" s="501">
        <f>IF(P45&lt;&gt;P73,1,0)</f>
        <v>0</v>
      </c>
      <c r="EE45" s="501">
        <f t="shared" ref="EE45:EF45" si="36">IF(Q45&lt;&gt;Q73,1,0)</f>
        <v>0</v>
      </c>
      <c r="EF45" s="501">
        <f t="shared" si="36"/>
        <v>0</v>
      </c>
      <c r="EG45" s="501">
        <f>IF(S45&lt;&gt;S73,1,0)</f>
        <v>0</v>
      </c>
    </row>
    <row r="46" spans="1:151" ht="15" customHeight="1" x14ac:dyDescent="0.25">
      <c r="A46" s="2001" t="s">
        <v>250</v>
      </c>
      <c r="B46" s="915" t="s">
        <v>251</v>
      </c>
      <c r="C46" s="855">
        <f>+D46+E46</f>
        <v>0</v>
      </c>
      <c r="D46" s="916">
        <f t="shared" ref="D46:D51" si="37">+F46+H46+J46+L46+N46</f>
        <v>0</v>
      </c>
      <c r="E46" s="820">
        <f t="shared" ref="E46:E48" si="38">+G46+I46+K46+M46+O46</f>
        <v>0</v>
      </c>
      <c r="F46" s="821"/>
      <c r="G46" s="823"/>
      <c r="H46" s="821"/>
      <c r="I46" s="823"/>
      <c r="J46" s="825"/>
      <c r="K46" s="823"/>
      <c r="L46" s="825"/>
      <c r="M46" s="823"/>
      <c r="N46" s="825"/>
      <c r="O46" s="824"/>
      <c r="P46" s="828"/>
      <c r="Q46" s="824"/>
      <c r="R46" s="821"/>
      <c r="S46" s="823"/>
      <c r="T46" s="704" t="str">
        <f>CK46&amp;CL46&amp;CM46&amp;CN46</f>
        <v/>
      </c>
      <c r="U46" s="471"/>
      <c r="V46" s="471"/>
      <c r="W46" s="471"/>
      <c r="X46" s="471"/>
      <c r="Y46" s="471"/>
      <c r="Z46" s="471"/>
      <c r="AA46" s="471"/>
      <c r="AB46" s="471"/>
      <c r="AC46" s="471"/>
      <c r="AD46" s="471"/>
      <c r="AE46" s="471"/>
      <c r="AF46" s="471"/>
      <c r="AG46" s="471"/>
      <c r="AH46" s="471"/>
      <c r="AI46" s="471"/>
      <c r="AJ46" s="471"/>
      <c r="AK46" s="471"/>
      <c r="AL46" s="471"/>
      <c r="AM46" s="471"/>
      <c r="AN46" s="471"/>
      <c r="AO46" s="471"/>
      <c r="AP46" s="471"/>
      <c r="AQ46" s="471"/>
      <c r="AR46" s="471"/>
      <c r="AS46" s="471"/>
      <c r="AT46" s="471"/>
      <c r="AU46" s="471"/>
      <c r="AV46" s="471"/>
      <c r="AW46" s="471"/>
      <c r="AX46" s="471"/>
      <c r="AY46" s="471"/>
      <c r="AZ46" s="471"/>
      <c r="BA46" s="471"/>
      <c r="BB46" s="471"/>
      <c r="BR46"/>
      <c r="BS46"/>
      <c r="BT46"/>
      <c r="BU46"/>
      <c r="BV46"/>
      <c r="BW46"/>
      <c r="BY46" s="471"/>
      <c r="BZ46" s="471"/>
      <c r="CK46" s="620" t="str">
        <f>IF(AND(D46&gt;0,OR(P46=""))," * No olvide digitar la variable Pueblos Originarios Hombres (Digite Cero si no tiene).",IF(P46&gt;D46," * La variable Pueblos Originarios Hombres no puede ser Mayor al Total Hombres.",""))</f>
        <v/>
      </c>
      <c r="CL46" s="620" t="str">
        <f>IF(AND(E46&gt;0,OR(Q46=""))," * No olvide digitar la variable Pueblos Originarios Mujeres (Digite Cero si no tiene).",IF(Q46&gt;E46," * La variable Pueblos Originarios Mujeres no puede ser Mayor al Total Mujeres.",""))</f>
        <v/>
      </c>
      <c r="CM46" s="620" t="str">
        <f>IF(AND(D46&gt;0,OR(R46=""))," * No olvide digitar la variable Migrantes Hombres (Digite Cero si no tiene).",IF(R46&gt;D46," * La variable Migrantes Hombres no puede ser Mayor al Total Hombres.",""))</f>
        <v/>
      </c>
      <c r="CN46" s="620" t="str">
        <f>IF(AND(E46&gt;0,OR(S46=""))," * No olvide digitar la variable Migrantes Mujeres (Digite Cero si no tiene).",IF(S46&gt;E46," * La variable Migrantes Mujeres no puede ser Mayor al Total Mujeres.",""))</f>
        <v/>
      </c>
      <c r="CO46" s="470"/>
      <c r="CP46" s="470"/>
      <c r="CQ46" s="470"/>
      <c r="CR46" s="470"/>
      <c r="CS46" s="470"/>
      <c r="CT46" s="470"/>
      <c r="CU46" s="470"/>
      <c r="CV46" s="470"/>
      <c r="CW46" s="470"/>
      <c r="CX46" s="470"/>
      <c r="CY46" s="470"/>
      <c r="CZ46" s="470"/>
      <c r="DA46" s="470"/>
      <c r="DZ46" s="501">
        <f t="shared" si="34"/>
        <v>0</v>
      </c>
      <c r="EA46" s="501">
        <f t="shared" si="34"/>
        <v>0</v>
      </c>
      <c r="EB46" s="501">
        <f t="shared" si="35"/>
        <v>0</v>
      </c>
      <c r="EC46" s="501">
        <f t="shared" si="35"/>
        <v>0</v>
      </c>
    </row>
    <row r="47" spans="1:151" ht="15" customHeight="1" x14ac:dyDescent="0.25">
      <c r="A47" s="2002"/>
      <c r="B47" s="917" t="s">
        <v>252</v>
      </c>
      <c r="C47" s="884">
        <f t="shared" ref="C47:C72" si="39">+D47+E47</f>
        <v>0</v>
      </c>
      <c r="D47" s="918">
        <f t="shared" si="37"/>
        <v>0</v>
      </c>
      <c r="E47" s="886">
        <f t="shared" si="38"/>
        <v>0</v>
      </c>
      <c r="F47" s="889"/>
      <c r="G47" s="890"/>
      <c r="H47" s="889"/>
      <c r="I47" s="890"/>
      <c r="J47" s="892"/>
      <c r="K47" s="890"/>
      <c r="L47" s="892"/>
      <c r="M47" s="890"/>
      <c r="N47" s="892"/>
      <c r="O47" s="891"/>
      <c r="P47" s="894"/>
      <c r="Q47" s="891"/>
      <c r="R47" s="889"/>
      <c r="S47" s="890"/>
      <c r="T47" s="704" t="str">
        <f t="shared" ref="T47:T69" si="40">CK47&amp;CL47&amp;CM47&amp;CN47</f>
        <v/>
      </c>
      <c r="U47" s="471"/>
      <c r="V47" s="471"/>
      <c r="W47" s="471"/>
      <c r="X47" s="471"/>
      <c r="Y47" s="471"/>
      <c r="Z47" s="471"/>
      <c r="AA47" s="471"/>
      <c r="AB47" s="471"/>
      <c r="AC47" s="471"/>
      <c r="AD47" s="471"/>
      <c r="AE47" s="471"/>
      <c r="AF47" s="471"/>
      <c r="AG47" s="471"/>
      <c r="AH47" s="471"/>
      <c r="AI47" s="471"/>
      <c r="AJ47" s="471"/>
      <c r="AK47" s="471"/>
      <c r="AL47" s="471"/>
      <c r="AM47" s="471"/>
      <c r="AN47" s="471"/>
      <c r="AO47" s="471"/>
      <c r="AP47" s="471"/>
      <c r="AQ47" s="471"/>
      <c r="AR47" s="471"/>
      <c r="AS47" s="471"/>
      <c r="AT47" s="471"/>
      <c r="AU47" s="471"/>
      <c r="AV47" s="471"/>
      <c r="AW47" s="471"/>
      <c r="AX47" s="471"/>
      <c r="AY47" s="471"/>
      <c r="AZ47" s="471"/>
      <c r="BA47" s="471"/>
      <c r="BB47" s="471"/>
      <c r="BR47"/>
      <c r="BS47"/>
      <c r="BT47"/>
      <c r="BU47"/>
      <c r="BV47"/>
      <c r="BW47"/>
      <c r="BY47" s="471"/>
      <c r="BZ47" s="471"/>
      <c r="CK47" s="620" t="str">
        <f>IF(AND(D47&gt;0,OR(P47=""))," * No olvide digitar la variable Pueblos Originarios Hombres (Digite Cero si no tiene).",IF(P47&gt;D47," * La variable Pueblos Originarios Hombres no puede ser Mayor al Total Hombres.",""))</f>
        <v/>
      </c>
      <c r="CL47" s="620" t="str">
        <f>IF(AND(E47&gt;0,OR(Q47=""))," * No olvide digitar la variable Pueblos Originarios Mujeres (Digite Cero si no tiene).",IF(Q47&gt;E47," * La variable Pueblos Originarios Mujeres no puede ser Mayor al Total Mujeres.",""))</f>
        <v/>
      </c>
      <c r="CM47" s="620" t="str">
        <f>IF(AND(D47&gt;0,OR(R47=""))," * No olvide digitar la variable Migrantes Hombres (Digite Cero si no tiene).",IF(R47&gt;D47," * La variable Migrantes Hombres no puede ser Mayor al Total Hombres.",""))</f>
        <v/>
      </c>
      <c r="CN47" s="620" t="str">
        <f>IF(AND(E47&gt;0,OR(S47=""))," * No olvide digitar la variable Migrantes Mujeres (Digite Cero si no tiene).",IF(S47&gt;E47," * La variable Migrantes Mujeres no puede ser Mayor al Total Mujeres.",""))</f>
        <v/>
      </c>
      <c r="CO47" s="470"/>
      <c r="CP47" s="470"/>
      <c r="CQ47" s="470"/>
      <c r="CR47" s="470"/>
      <c r="CS47" s="470"/>
      <c r="CT47" s="470"/>
      <c r="CU47" s="470"/>
      <c r="CV47" s="470"/>
      <c r="CW47" s="470"/>
      <c r="CX47" s="470"/>
      <c r="CY47" s="470"/>
      <c r="CZ47" s="470"/>
      <c r="DA47" s="470"/>
      <c r="DZ47" s="501">
        <f t="shared" si="34"/>
        <v>0</v>
      </c>
      <c r="EA47" s="501">
        <f t="shared" si="34"/>
        <v>0</v>
      </c>
      <c r="EB47" s="501">
        <f t="shared" si="35"/>
        <v>0</v>
      </c>
      <c r="EC47" s="501">
        <f t="shared" si="35"/>
        <v>0</v>
      </c>
    </row>
    <row r="48" spans="1:151" ht="15" customHeight="1" x14ac:dyDescent="0.25">
      <c r="A48" s="2002"/>
      <c r="B48" s="919" t="s">
        <v>253</v>
      </c>
      <c r="C48" s="920">
        <f t="shared" si="39"/>
        <v>0</v>
      </c>
      <c r="D48" s="921">
        <f t="shared" si="37"/>
        <v>0</v>
      </c>
      <c r="E48" s="922">
        <f t="shared" si="38"/>
        <v>0</v>
      </c>
      <c r="F48" s="832"/>
      <c r="G48" s="834"/>
      <c r="H48" s="832"/>
      <c r="I48" s="834"/>
      <c r="J48" s="836"/>
      <c r="K48" s="834"/>
      <c r="L48" s="836"/>
      <c r="M48" s="834"/>
      <c r="N48" s="836"/>
      <c r="O48" s="835"/>
      <c r="P48" s="839"/>
      <c r="Q48" s="835"/>
      <c r="R48" s="832"/>
      <c r="S48" s="834"/>
      <c r="T48" s="704" t="str">
        <f t="shared" si="40"/>
        <v/>
      </c>
      <c r="U48" s="471"/>
      <c r="V48" s="471"/>
      <c r="W48" s="471"/>
      <c r="X48" s="471"/>
      <c r="Y48" s="471"/>
      <c r="Z48" s="471"/>
      <c r="AA48" s="471"/>
      <c r="AB48" s="471"/>
      <c r="AC48" s="471"/>
      <c r="AD48" s="471"/>
      <c r="AE48" s="471"/>
      <c r="AF48" s="471"/>
      <c r="AG48" s="471"/>
      <c r="AH48" s="471"/>
      <c r="AI48" s="471"/>
      <c r="AJ48" s="471"/>
      <c r="AK48" s="471"/>
      <c r="AL48" s="471"/>
      <c r="AM48" s="471"/>
      <c r="AN48" s="471"/>
      <c r="AO48" s="471"/>
      <c r="AP48" s="471"/>
      <c r="AQ48" s="471"/>
      <c r="AR48" s="471"/>
      <c r="AS48" s="471"/>
      <c r="AT48" s="471"/>
      <c r="AU48" s="471"/>
      <c r="AV48" s="471"/>
      <c r="AW48" s="471"/>
      <c r="AX48" s="471"/>
      <c r="AY48" s="471"/>
      <c r="AZ48" s="471"/>
      <c r="BA48" s="471"/>
      <c r="BB48" s="471"/>
      <c r="BR48"/>
      <c r="BS48"/>
      <c r="BT48"/>
      <c r="BU48"/>
      <c r="BV48"/>
      <c r="BW48"/>
      <c r="BY48" s="471"/>
      <c r="BZ48" s="471"/>
      <c r="CK48" s="620" t="str">
        <f>IF(AND(D48&gt;0,OR(P48=""))," * No olvide digitar la variable Pueblos Originarios Hombres (Digite Cero si no tiene).",IF(P48&gt;D48," * La variable Pueblos Originarios Hombres no puede ser Mayor al Total Hombres.",""))</f>
        <v/>
      </c>
      <c r="CL48" s="620" t="str">
        <f>IF(AND(E48&gt;0,OR(Q48=""))," * No olvide digitar la variable Pueblos Originarios Mujeres (Digite Cero si no tiene).",IF(Q48&gt;E48," * La variable Pueblos Originarios Mujeres no puede ser Mayor al Total Mujeres.",""))</f>
        <v/>
      </c>
      <c r="CM48" s="620" t="str">
        <f>IF(AND(D48&gt;0,OR(R48=""))," * No olvide digitar la variable Migrantes Hombres (Digite Cero si no tiene).",IF(R48&gt;D48," * La variable Migrantes Hombres no puede ser Mayor al Total Hombres.",""))</f>
        <v/>
      </c>
      <c r="CN48" s="620" t="str">
        <f>IF(AND(E48&gt;0,OR(S48=""))," * No olvide digitar la variable Migrantes Mujeres (Digite Cero si no tiene).",IF(S48&gt;E48," * La variable Migrantes Mujeres no puede ser Mayor al Total Mujeres.",""))</f>
        <v/>
      </c>
      <c r="CO48" s="470"/>
      <c r="CP48" s="470"/>
      <c r="CQ48" s="470"/>
      <c r="CR48" s="470"/>
      <c r="CS48" s="470"/>
      <c r="CT48" s="470"/>
      <c r="CU48" s="470"/>
      <c r="CV48" s="470"/>
      <c r="CW48" s="470"/>
      <c r="CX48" s="470"/>
      <c r="CY48" s="470"/>
      <c r="CZ48" s="470"/>
      <c r="DA48" s="470"/>
      <c r="DZ48" s="501">
        <f t="shared" si="34"/>
        <v>0</v>
      </c>
      <c r="EA48" s="501">
        <f t="shared" si="34"/>
        <v>0</v>
      </c>
      <c r="EB48" s="501">
        <f t="shared" si="35"/>
        <v>0</v>
      </c>
      <c r="EC48" s="501">
        <f t="shared" si="35"/>
        <v>0</v>
      </c>
    </row>
    <row r="49" spans="1:133" ht="15" customHeight="1" x14ac:dyDescent="0.25">
      <c r="A49" s="2002"/>
      <c r="B49" s="923" t="s">
        <v>89</v>
      </c>
      <c r="C49" s="847">
        <f t="shared" si="39"/>
        <v>0</v>
      </c>
      <c r="D49" s="843">
        <f>+F49+H49+J49+L49+N49</f>
        <v>0</v>
      </c>
      <c r="E49" s="904">
        <f>+G49+I49+K49+M49+O49</f>
        <v>0</v>
      </c>
      <c r="F49" s="843">
        <f>SUM(F46:F48)</f>
        <v>0</v>
      </c>
      <c r="G49" s="904">
        <f t="shared" ref="G49:O49" si="41">SUM(G46:G48)</f>
        <v>0</v>
      </c>
      <c r="H49" s="843">
        <f t="shared" si="41"/>
        <v>0</v>
      </c>
      <c r="I49" s="845">
        <f t="shared" si="41"/>
        <v>0</v>
      </c>
      <c r="J49" s="844">
        <f t="shared" si="41"/>
        <v>0</v>
      </c>
      <c r="K49" s="845">
        <f t="shared" si="41"/>
        <v>0</v>
      </c>
      <c r="L49" s="844">
        <f t="shared" si="41"/>
        <v>0</v>
      </c>
      <c r="M49" s="845">
        <f t="shared" si="41"/>
        <v>0</v>
      </c>
      <c r="N49" s="844">
        <f t="shared" si="41"/>
        <v>0</v>
      </c>
      <c r="O49" s="854">
        <f t="shared" si="41"/>
        <v>0</v>
      </c>
      <c r="P49" s="848">
        <f t="shared" ref="P49:S49" si="42">SUM(P46:P48)</f>
        <v>0</v>
      </c>
      <c r="Q49" s="1585">
        <f t="shared" si="42"/>
        <v>0</v>
      </c>
      <c r="R49" s="843">
        <f t="shared" si="42"/>
        <v>0</v>
      </c>
      <c r="S49" s="1592">
        <f t="shared" si="42"/>
        <v>0</v>
      </c>
      <c r="T49" s="704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 s="471"/>
      <c r="AJ49" s="471"/>
      <c r="AK49" s="471"/>
      <c r="AL49" s="471"/>
      <c r="AM49" s="471"/>
      <c r="AN49" s="471"/>
      <c r="AO49" s="471"/>
      <c r="AP49" s="471"/>
      <c r="AQ49" s="471"/>
      <c r="AR49" s="471"/>
      <c r="AS49" s="471"/>
      <c r="AT49" s="471"/>
      <c r="AU49" s="471"/>
      <c r="AV49" s="471"/>
      <c r="AW49" s="471"/>
      <c r="AX49" s="471"/>
      <c r="AY49" s="471"/>
      <c r="AZ49" s="471"/>
      <c r="BA49" s="471"/>
      <c r="BB49" s="471"/>
      <c r="BR49"/>
      <c r="BS49"/>
      <c r="BT49"/>
      <c r="BU49"/>
      <c r="BV49"/>
      <c r="BW49"/>
      <c r="BY49" s="471"/>
      <c r="BZ49" s="471"/>
      <c r="CK49" s="783"/>
      <c r="CL49" s="783"/>
      <c r="CM49" s="783"/>
      <c r="CN49" s="783"/>
      <c r="CO49" s="470"/>
      <c r="CP49" s="470"/>
      <c r="CQ49" s="470"/>
      <c r="CR49" s="470"/>
      <c r="CS49" s="470"/>
      <c r="CT49" s="470"/>
      <c r="CU49" s="470"/>
      <c r="CV49" s="470"/>
      <c r="CW49" s="470"/>
      <c r="CX49" s="470"/>
      <c r="CY49" s="470"/>
      <c r="CZ49" s="470"/>
      <c r="DA49" s="470"/>
      <c r="DZ49" s="620"/>
      <c r="EA49" s="620"/>
      <c r="EB49" s="620"/>
      <c r="EC49" s="620"/>
    </row>
    <row r="50" spans="1:133" ht="15" customHeight="1" x14ac:dyDescent="0.25">
      <c r="A50" s="2002"/>
      <c r="B50" s="924" t="s">
        <v>254</v>
      </c>
      <c r="C50" s="881">
        <f t="shared" si="39"/>
        <v>0</v>
      </c>
      <c r="D50" s="925">
        <f>+F50+H50+J50+L50+N50</f>
        <v>0</v>
      </c>
      <c r="E50" s="897">
        <f t="shared" ref="E50:E51" si="43">+G50+I50+K50+M50+O50</f>
        <v>0</v>
      </c>
      <c r="F50" s="821"/>
      <c r="G50" s="823"/>
      <c r="H50" s="821"/>
      <c r="I50" s="823"/>
      <c r="J50" s="825"/>
      <c r="K50" s="823"/>
      <c r="L50" s="825"/>
      <c r="M50" s="823"/>
      <c r="N50" s="825"/>
      <c r="O50" s="824"/>
      <c r="P50" s="828"/>
      <c r="Q50" s="824"/>
      <c r="R50" s="821"/>
      <c r="S50" s="823"/>
      <c r="T50" s="704" t="str">
        <f t="shared" si="40"/>
        <v/>
      </c>
      <c r="U50" s="471"/>
      <c r="V50" s="471"/>
      <c r="W50" s="471"/>
      <c r="X50" s="471"/>
      <c r="Y50" s="471"/>
      <c r="Z50" s="471"/>
      <c r="AA50" s="471"/>
      <c r="AB50" s="471"/>
      <c r="AC50" s="471"/>
      <c r="AD50" s="471"/>
      <c r="AE50" s="471"/>
      <c r="AF50" s="471"/>
      <c r="AG50" s="471"/>
      <c r="AH50" s="471"/>
      <c r="AI50" s="471"/>
      <c r="AJ50" s="471"/>
      <c r="AK50" s="471"/>
      <c r="AL50" s="471"/>
      <c r="AM50" s="471"/>
      <c r="AN50" s="471"/>
      <c r="AO50" s="471"/>
      <c r="AP50" s="471"/>
      <c r="AQ50" s="471"/>
      <c r="AR50" s="471"/>
      <c r="AS50" s="471"/>
      <c r="AT50" s="471"/>
      <c r="AU50" s="471"/>
      <c r="AV50" s="471"/>
      <c r="AW50" s="471"/>
      <c r="AX50" s="471"/>
      <c r="AY50" s="471"/>
      <c r="AZ50" s="471"/>
      <c r="BA50" s="471"/>
      <c r="BB50" s="471"/>
      <c r="BR50"/>
      <c r="BS50"/>
      <c r="BT50"/>
      <c r="BU50"/>
      <c r="BV50"/>
      <c r="BW50"/>
      <c r="BY50" s="471"/>
      <c r="BZ50" s="471"/>
      <c r="CK50" s="620" t="str">
        <f>IF(AND(D50&gt;0,OR(P50=""))," * No olvide digitar la variable Pueblos Originarios Hombres (Digite Cero si no tiene).",IF(P50&gt;D50," * La variable Pueblos Originarios Hombres no puede ser Mayor al Total Hombres.",""))</f>
        <v/>
      </c>
      <c r="CL50" s="620" t="str">
        <f>IF(AND(E50&gt;0,OR(Q50=""))," * No olvide digitar la variable Pueblos Originarios Mujeres (Digite Cero si no tiene).",IF(Q50&gt;E50," * La variable Pueblos Originarios Mujeres no puede ser Mayor al Total Mujeres.",""))</f>
        <v/>
      </c>
      <c r="CM50" s="620" t="str">
        <f>IF(AND(D50&gt;0,OR(R50=""))," * No olvide digitar la variable Migrantes Hombres (Digite Cero si no tiene).",IF(R50&gt;D50," * La variable Migrantes Hombres no puede ser Mayor al Total Hombres.",""))</f>
        <v/>
      </c>
      <c r="CN50" s="620" t="str">
        <f>IF(AND(E50&gt;0,OR(S50=""))," * No olvide digitar la variable Migrantes Mujeres (Digite Cero si no tiene).",IF(S50&gt;E50," * La variable Migrantes Mujeres no puede ser Mayor al Total Mujeres.",""))</f>
        <v/>
      </c>
      <c r="CO50" s="470"/>
      <c r="CP50" s="470"/>
      <c r="CQ50" s="470"/>
      <c r="CR50" s="470"/>
      <c r="CS50" s="470"/>
      <c r="CT50" s="470"/>
      <c r="CU50" s="470"/>
      <c r="CV50" s="470"/>
      <c r="CW50" s="470"/>
      <c r="CX50" s="470"/>
      <c r="CY50" s="470"/>
      <c r="CZ50" s="470"/>
      <c r="DA50" s="470"/>
      <c r="DZ50" s="501">
        <f>IF(AND(D50&gt;0,OR(P50="")),1,IF(P50&gt;D50,1,0))</f>
        <v>0</v>
      </c>
      <c r="EA50" s="501">
        <f>IF(AND(E50&gt;0,OR(Q50="")),1,IF(Q50&gt;E50,1,0))</f>
        <v>0</v>
      </c>
      <c r="EB50" s="501">
        <f>IF(AND(D50&gt;0,OR(R50="")),1,IF(R50&gt;D50,1,0))</f>
        <v>0</v>
      </c>
      <c r="EC50" s="501">
        <f>IF(AND(E50&gt;0,OR(S50="")),1,IF(S50&gt;E50,1,0))</f>
        <v>0</v>
      </c>
    </row>
    <row r="51" spans="1:133" ht="15" customHeight="1" x14ac:dyDescent="0.25">
      <c r="A51" s="2002"/>
      <c r="B51" s="919" t="s">
        <v>231</v>
      </c>
      <c r="C51" s="920">
        <f>+D51+E51</f>
        <v>0</v>
      </c>
      <c r="D51" s="921">
        <f t="shared" si="37"/>
        <v>0</v>
      </c>
      <c r="E51" s="922">
        <f t="shared" si="43"/>
        <v>0</v>
      </c>
      <c r="F51" s="832"/>
      <c r="G51" s="834"/>
      <c r="H51" s="832"/>
      <c r="I51" s="834"/>
      <c r="J51" s="836"/>
      <c r="K51" s="834"/>
      <c r="L51" s="836"/>
      <c r="M51" s="834"/>
      <c r="N51" s="836"/>
      <c r="O51" s="835"/>
      <c r="P51" s="839"/>
      <c r="Q51" s="835"/>
      <c r="R51" s="832"/>
      <c r="S51" s="834"/>
      <c r="T51" s="704" t="str">
        <f t="shared" si="40"/>
        <v/>
      </c>
      <c r="U51" s="471"/>
      <c r="V51" s="471"/>
      <c r="W51" s="471"/>
      <c r="X51" s="471"/>
      <c r="Y51" s="471"/>
      <c r="Z51" s="471"/>
      <c r="AA51" s="471"/>
      <c r="AB51" s="471"/>
      <c r="AC51" s="471"/>
      <c r="AD51" s="471"/>
      <c r="AE51" s="471"/>
      <c r="AF51" s="471"/>
      <c r="AG51" s="471"/>
      <c r="AH51" s="471"/>
      <c r="AI51" s="471"/>
      <c r="AJ51" s="471"/>
      <c r="AK51" s="471"/>
      <c r="AL51" s="471"/>
      <c r="AM51" s="471"/>
      <c r="AN51" s="471"/>
      <c r="AO51" s="471"/>
      <c r="AP51" s="471"/>
      <c r="AQ51" s="471"/>
      <c r="AR51" s="471"/>
      <c r="AS51" s="471"/>
      <c r="AT51" s="471"/>
      <c r="AU51" s="471"/>
      <c r="AV51" s="471"/>
      <c r="AW51" s="471"/>
      <c r="AX51" s="471"/>
      <c r="AY51" s="471"/>
      <c r="AZ51" s="471"/>
      <c r="BA51" s="471"/>
      <c r="BB51" s="471"/>
      <c r="BR51"/>
      <c r="BS51"/>
      <c r="BT51"/>
      <c r="BU51"/>
      <c r="BV51"/>
      <c r="BW51"/>
      <c r="BY51" s="471"/>
      <c r="BZ51" s="471"/>
      <c r="CK51" s="620" t="str">
        <f>IF(AND(D51&gt;0,OR(P51=""))," * No olvide digitar la variable Pueblos Originarios Hombres (Digite Cero si no tiene).",IF(P51&gt;D51," * La variable Pueblos Originarios Hombres no puede ser Mayor al Total Hombres.",""))</f>
        <v/>
      </c>
      <c r="CL51" s="620" t="str">
        <f>IF(AND(E51&gt;0,OR(Q51=""))," * No olvide digitar la variable Pueblos Originarios Mujeres (Digite Cero si no tiene).",IF(Q51&gt;E51," * La variable Pueblos Originarios Mujeres no puede ser Mayor al Total Mujeres.",""))</f>
        <v/>
      </c>
      <c r="CM51" s="620" t="str">
        <f>IF(AND(D51&gt;0,OR(R51=""))," * No olvide digitar la variable Migrantes Hombres (Digite Cero si no tiene).",IF(R51&gt;D51," * La variable Migrantes Hombres no puede ser Mayor al Total Hombres.",""))</f>
        <v/>
      </c>
      <c r="CN51" s="620" t="str">
        <f>IF(AND(E51&gt;0,OR(S51=""))," * No olvide digitar la variable Migrantes Mujeres (Digite Cero si no tiene).",IF(S51&gt;E51," * La variable Migrantes Mujeres no puede ser Mayor al Total Mujeres.",""))</f>
        <v/>
      </c>
      <c r="CO51" s="470"/>
      <c r="CP51" s="470"/>
      <c r="CQ51" s="470"/>
      <c r="CR51" s="470"/>
      <c r="CS51" s="470"/>
      <c r="CT51" s="470"/>
      <c r="CU51" s="470"/>
      <c r="CV51" s="470"/>
      <c r="CW51" s="470"/>
      <c r="CX51" s="470"/>
      <c r="CY51" s="470"/>
      <c r="CZ51" s="470"/>
      <c r="DA51" s="470"/>
      <c r="DZ51" s="501">
        <f>IF(AND(D51&gt;0,OR(P51="")),1,IF(P51&gt;D51,1,0))</f>
        <v>0</v>
      </c>
      <c r="EA51" s="501">
        <f>IF(AND(E51&gt;0,OR(Q51="")),1,IF(Q51&gt;E51,1,0))</f>
        <v>0</v>
      </c>
      <c r="EB51" s="501">
        <f>IF(AND(D51&gt;0,OR(R51="")),1,IF(R51&gt;D51,1,0))</f>
        <v>0</v>
      </c>
      <c r="EC51" s="501">
        <f>IF(AND(E51&gt;0,OR(S51="")),1,IF(S51&gt;E51,1,0))</f>
        <v>0</v>
      </c>
    </row>
    <row r="52" spans="1:133" ht="15" customHeight="1" x14ac:dyDescent="0.25">
      <c r="A52" s="2002"/>
      <c r="B52" s="923" t="s">
        <v>89</v>
      </c>
      <c r="C52" s="847">
        <f t="shared" si="39"/>
        <v>0</v>
      </c>
      <c r="D52" s="843">
        <f>+F52+H52+J52+L52+N52</f>
        <v>0</v>
      </c>
      <c r="E52" s="904">
        <f>+G52+I52+K52+M52+O52</f>
        <v>0</v>
      </c>
      <c r="F52" s="858">
        <f>SUM(F50:F51)</f>
        <v>0</v>
      </c>
      <c r="G52" s="861">
        <f t="shared" ref="G52:O52" si="44">SUM(G50:G51)</f>
        <v>0</v>
      </c>
      <c r="H52" s="858">
        <f t="shared" si="44"/>
        <v>0</v>
      </c>
      <c r="I52" s="861">
        <f t="shared" si="44"/>
        <v>0</v>
      </c>
      <c r="J52" s="862">
        <f t="shared" si="44"/>
        <v>0</v>
      </c>
      <c r="K52" s="861">
        <f t="shared" si="44"/>
        <v>0</v>
      </c>
      <c r="L52" s="862">
        <f t="shared" si="44"/>
        <v>0</v>
      </c>
      <c r="M52" s="861">
        <f t="shared" si="44"/>
        <v>0</v>
      </c>
      <c r="N52" s="862">
        <f t="shared" si="44"/>
        <v>0</v>
      </c>
      <c r="O52" s="860">
        <f t="shared" si="44"/>
        <v>0</v>
      </c>
      <c r="P52" s="865">
        <f t="shared" ref="P52:S52" si="45">SUM(P50:P51)</f>
        <v>0</v>
      </c>
      <c r="Q52" s="860">
        <f t="shared" si="45"/>
        <v>0</v>
      </c>
      <c r="R52" s="858">
        <f t="shared" si="45"/>
        <v>0</v>
      </c>
      <c r="S52" s="861">
        <f t="shared" si="45"/>
        <v>0</v>
      </c>
      <c r="T52" s="704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 s="471"/>
      <c r="AJ52" s="471"/>
      <c r="AK52" s="471"/>
      <c r="AL52" s="471"/>
      <c r="AM52" s="471"/>
      <c r="AN52" s="471"/>
      <c r="AO52" s="471"/>
      <c r="AP52" s="471"/>
      <c r="AQ52" s="471"/>
      <c r="AR52" s="471"/>
      <c r="AS52" s="471"/>
      <c r="AT52" s="471"/>
      <c r="AU52" s="471"/>
      <c r="AV52" s="471"/>
      <c r="AW52" s="471"/>
      <c r="AX52" s="471"/>
      <c r="AY52" s="471"/>
      <c r="AZ52" s="471"/>
      <c r="BA52" s="471"/>
      <c r="BB52" s="471"/>
      <c r="BR52"/>
      <c r="BS52"/>
      <c r="BT52"/>
      <c r="BU52"/>
      <c r="BV52"/>
      <c r="BW52"/>
      <c r="BY52" s="471"/>
      <c r="BZ52" s="471"/>
      <c r="CK52" s="783"/>
      <c r="CL52" s="783"/>
      <c r="CM52" s="783"/>
      <c r="CN52" s="783"/>
      <c r="CO52" s="470"/>
      <c r="CP52" s="470"/>
      <c r="CQ52" s="470"/>
      <c r="CR52" s="470"/>
      <c r="CS52" s="470"/>
      <c r="CT52" s="470"/>
      <c r="CU52" s="470"/>
      <c r="CV52" s="470"/>
      <c r="CW52" s="470"/>
      <c r="CX52" s="470"/>
      <c r="CY52" s="470"/>
      <c r="CZ52" s="470"/>
      <c r="DA52" s="470"/>
      <c r="DZ52" s="620"/>
      <c r="EA52" s="620"/>
      <c r="EB52" s="620"/>
      <c r="EC52" s="620"/>
    </row>
    <row r="53" spans="1:133" ht="15" customHeight="1" x14ac:dyDescent="0.25">
      <c r="A53" s="2003"/>
      <c r="B53" s="926" t="s">
        <v>234</v>
      </c>
      <c r="C53" s="847">
        <f t="shared" si="39"/>
        <v>0</v>
      </c>
      <c r="D53" s="843">
        <f>+F53+H53+J53+L53+N53</f>
        <v>0</v>
      </c>
      <c r="E53" s="904">
        <f t="shared" ref="E53:E55" si="46">+G53+I53+K53+M53+O53</f>
        <v>0</v>
      </c>
      <c r="F53" s="809"/>
      <c r="G53" s="810"/>
      <c r="H53" s="809"/>
      <c r="I53" s="810"/>
      <c r="J53" s="816"/>
      <c r="K53" s="810"/>
      <c r="L53" s="816"/>
      <c r="M53" s="810"/>
      <c r="N53" s="816"/>
      <c r="O53" s="927"/>
      <c r="P53" s="816"/>
      <c r="Q53" s="877"/>
      <c r="R53" s="809"/>
      <c r="S53" s="810"/>
      <c r="T53" s="704" t="str">
        <f t="shared" si="40"/>
        <v/>
      </c>
      <c r="U53" s="471"/>
      <c r="V53" s="471"/>
      <c r="W53" s="471"/>
      <c r="X53" s="471"/>
      <c r="Y53" s="471"/>
      <c r="Z53" s="471"/>
      <c r="AA53" s="471"/>
      <c r="AB53" s="471"/>
      <c r="AC53" s="471"/>
      <c r="AD53" s="471"/>
      <c r="AE53" s="471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471"/>
      <c r="AS53" s="471"/>
      <c r="AT53" s="471"/>
      <c r="AU53" s="471"/>
      <c r="AV53" s="471"/>
      <c r="AW53" s="471"/>
      <c r="AX53" s="471"/>
      <c r="AY53" s="471"/>
      <c r="AZ53" s="471"/>
      <c r="BA53" s="471"/>
      <c r="BB53" s="471"/>
      <c r="BR53"/>
      <c r="BS53"/>
      <c r="BT53"/>
      <c r="BU53"/>
      <c r="BV53"/>
      <c r="BW53"/>
      <c r="BY53" s="471"/>
      <c r="BZ53" s="471"/>
      <c r="CK53" s="620" t="str">
        <f>IF(AND(D53&gt;0,OR(P53=""))," * No olvide digitar la variable Pueblos Originarios Hombres (Digite Cero si no tiene).",IF(P53&gt;D53," * La variable Pueblos Originarios Hombres no puede ser Mayor al Total Hombres.",""))</f>
        <v/>
      </c>
      <c r="CL53" s="620" t="str">
        <f>IF(AND(E53&gt;0,OR(Q53=""))," * No olvide digitar la variable Pueblos Originarios Mujeres (Digite Cero si no tiene).",IF(Q53&gt;E53," * La variable Pueblos Originarios Mujeres no puede ser Mayor al Total Mujeres.",""))</f>
        <v/>
      </c>
      <c r="CM53" s="620" t="str">
        <f>IF(AND(D53&gt;0,OR(R53=""))," * No olvide digitar la variable Migrantes Hombres (Digite Cero si no tiene).",IF(R53&gt;D53," * La variable Migrantes Hombres no puede ser Mayor al Total Hombres.",""))</f>
        <v/>
      </c>
      <c r="CN53" s="620" t="str">
        <f>IF(AND(E53&gt;0,OR(S53=""))," * No olvide digitar la variable Migrantes Mujeres (Digite Cero si no tiene).",IF(S53&gt;E53," * La variable Migrantes Mujeres no puede ser Mayor al Total Mujeres.",""))</f>
        <v/>
      </c>
      <c r="CO53" s="470"/>
      <c r="CP53" s="470"/>
      <c r="CQ53" s="470"/>
      <c r="CR53" s="470"/>
      <c r="CS53" s="470"/>
      <c r="CT53" s="470"/>
      <c r="CU53" s="470"/>
      <c r="CV53" s="470"/>
      <c r="CW53" s="470"/>
      <c r="CX53" s="470"/>
      <c r="CY53" s="470"/>
      <c r="CZ53" s="470"/>
      <c r="DA53" s="470"/>
      <c r="DZ53" s="501">
        <f t="shared" ref="DZ53:EA55" si="47">IF(AND(D53&gt;0,OR(P53="")),1,IF(P53&gt;D53,1,0))</f>
        <v>0</v>
      </c>
      <c r="EA53" s="501">
        <f t="shared" si="47"/>
        <v>0</v>
      </c>
      <c r="EB53" s="501">
        <f t="shared" ref="EB53:EC55" si="48">IF(AND(D53&gt;0,OR(R53="")),1,IF(R53&gt;D53,1,0))</f>
        <v>0</v>
      </c>
      <c r="EC53" s="501">
        <f t="shared" si="48"/>
        <v>0</v>
      </c>
    </row>
    <row r="54" spans="1:133" ht="15" customHeight="1" x14ac:dyDescent="0.25">
      <c r="A54" s="1989" t="s">
        <v>255</v>
      </c>
      <c r="B54" s="928" t="s">
        <v>228</v>
      </c>
      <c r="C54" s="929">
        <f t="shared" si="39"/>
        <v>0</v>
      </c>
      <c r="D54" s="930">
        <f t="shared" ref="D54:D55" si="49">+F54+H54+J54+L54+N54</f>
        <v>0</v>
      </c>
      <c r="E54" s="931">
        <f t="shared" si="46"/>
        <v>0</v>
      </c>
      <c r="F54" s="866"/>
      <c r="G54" s="867"/>
      <c r="H54" s="866"/>
      <c r="I54" s="869"/>
      <c r="J54" s="867"/>
      <c r="K54" s="869"/>
      <c r="L54" s="867"/>
      <c r="M54" s="869"/>
      <c r="N54" s="867"/>
      <c r="O54" s="932"/>
      <c r="P54" s="872"/>
      <c r="Q54" s="868"/>
      <c r="R54" s="866"/>
      <c r="S54" s="869"/>
      <c r="T54" s="704" t="str">
        <f t="shared" si="40"/>
        <v/>
      </c>
      <c r="U54" s="471"/>
      <c r="V54" s="471"/>
      <c r="W54" s="471"/>
      <c r="X54" s="471"/>
      <c r="Y54" s="471"/>
      <c r="Z54" s="471"/>
      <c r="AA54" s="471"/>
      <c r="AB54" s="471"/>
      <c r="AC54" s="471"/>
      <c r="AD54" s="471"/>
      <c r="AE54" s="471"/>
      <c r="AF54" s="471"/>
      <c r="AG54" s="471"/>
      <c r="AH54" s="471"/>
      <c r="AI54" s="471"/>
      <c r="AJ54" s="471"/>
      <c r="AK54" s="471"/>
      <c r="AL54" s="471"/>
      <c r="AM54" s="471"/>
      <c r="AN54" s="471"/>
      <c r="AO54" s="471"/>
      <c r="AP54" s="471"/>
      <c r="AQ54" s="471"/>
      <c r="AR54" s="471"/>
      <c r="AS54" s="471"/>
      <c r="AT54" s="471"/>
      <c r="AU54" s="471"/>
      <c r="AV54" s="471"/>
      <c r="AW54" s="471"/>
      <c r="AX54" s="471"/>
      <c r="AY54" s="471"/>
      <c r="AZ54" s="471"/>
      <c r="BA54" s="471"/>
      <c r="BB54" s="471"/>
      <c r="BR54"/>
      <c r="BS54"/>
      <c r="BT54"/>
      <c r="BU54"/>
      <c r="BV54"/>
      <c r="BW54"/>
      <c r="BY54" s="471"/>
      <c r="BZ54" s="471"/>
      <c r="CK54" s="620" t="str">
        <f>IF(AND(D54&gt;0,OR(P54=""))," * No olvide digitar la variable Pueblos Originarios Hombres (Digite Cero si no tiene).",IF(P54&gt;D54," * La variable Pueblos Originarios Hombres no puede ser Mayor al Total Hombres.",""))</f>
        <v/>
      </c>
      <c r="CL54" s="620" t="str">
        <f>IF(AND(E54&gt;0,OR(Q54=""))," * No olvide digitar la variable Pueblos Originarios Mujeres (Digite Cero si no tiene).",IF(Q54&gt;E54," * La variable Pueblos Originarios Mujeres no puede ser Mayor al Total Mujeres.",""))</f>
        <v/>
      </c>
      <c r="CM54" s="620" t="str">
        <f>IF(AND(D54&gt;0,OR(R54=""))," * No olvide digitar la variable Migrantes Hombres (Digite Cero si no tiene).",IF(R54&gt;D54," * La variable Migrantes Hombres no puede ser Mayor al Total Hombres.",""))</f>
        <v/>
      </c>
      <c r="CN54" s="620" t="str">
        <f>IF(AND(E54&gt;0,OR(S54=""))," * No olvide digitar la variable Migrantes Mujeres (Digite Cero si no tiene).",IF(S54&gt;E54," * La variable Migrantes Mujeres no puede ser Mayor al Total Mujeres.",""))</f>
        <v/>
      </c>
      <c r="CO54" s="470"/>
      <c r="CP54" s="470"/>
      <c r="CQ54" s="470"/>
      <c r="CR54" s="470"/>
      <c r="CS54" s="470"/>
      <c r="CT54" s="470"/>
      <c r="CU54" s="470"/>
      <c r="CV54" s="470"/>
      <c r="CW54" s="470"/>
      <c r="CX54" s="470"/>
      <c r="CY54" s="470"/>
      <c r="CZ54" s="470"/>
      <c r="DA54" s="470"/>
      <c r="DZ54" s="501">
        <f t="shared" si="47"/>
        <v>0</v>
      </c>
      <c r="EA54" s="501">
        <f t="shared" si="47"/>
        <v>0</v>
      </c>
      <c r="EB54" s="501">
        <f t="shared" si="48"/>
        <v>0</v>
      </c>
      <c r="EC54" s="501">
        <f t="shared" si="48"/>
        <v>0</v>
      </c>
    </row>
    <row r="55" spans="1:133" ht="15" customHeight="1" x14ac:dyDescent="0.25">
      <c r="A55" s="1990"/>
      <c r="B55" s="933" t="s">
        <v>229</v>
      </c>
      <c r="C55" s="934">
        <f t="shared" si="39"/>
        <v>0</v>
      </c>
      <c r="D55" s="935">
        <f t="shared" si="49"/>
        <v>0</v>
      </c>
      <c r="E55" s="936">
        <f t="shared" si="46"/>
        <v>0</v>
      </c>
      <c r="F55" s="832"/>
      <c r="G55" s="836"/>
      <c r="H55" s="832"/>
      <c r="I55" s="834"/>
      <c r="J55" s="836"/>
      <c r="K55" s="834"/>
      <c r="L55" s="836"/>
      <c r="M55" s="834"/>
      <c r="N55" s="836"/>
      <c r="O55" s="937"/>
      <c r="P55" s="839"/>
      <c r="Q55" s="835"/>
      <c r="R55" s="832"/>
      <c r="S55" s="834"/>
      <c r="T55" s="704" t="str">
        <f t="shared" si="40"/>
        <v/>
      </c>
      <c r="U55" s="471"/>
      <c r="V55" s="471"/>
      <c r="W55" s="471"/>
      <c r="X55" s="471"/>
      <c r="Y55" s="471"/>
      <c r="Z55" s="471"/>
      <c r="AA55" s="471"/>
      <c r="AB55" s="471"/>
      <c r="AC55" s="471"/>
      <c r="AD55" s="471"/>
      <c r="AE55" s="471"/>
      <c r="AF55" s="471"/>
      <c r="AG55" s="471"/>
      <c r="AH55" s="471"/>
      <c r="AI55" s="471"/>
      <c r="AJ55" s="471"/>
      <c r="AK55" s="471"/>
      <c r="AL55" s="471"/>
      <c r="AM55" s="471"/>
      <c r="AN55" s="471"/>
      <c r="AO55" s="471"/>
      <c r="AP55" s="471"/>
      <c r="AQ55" s="471"/>
      <c r="AR55" s="471"/>
      <c r="AS55" s="471"/>
      <c r="AT55" s="471"/>
      <c r="AU55" s="471"/>
      <c r="AV55" s="471"/>
      <c r="AW55" s="471"/>
      <c r="AX55" s="471"/>
      <c r="AY55" s="471"/>
      <c r="AZ55" s="471"/>
      <c r="BA55" s="471"/>
      <c r="BB55" s="471"/>
      <c r="BR55"/>
      <c r="BS55"/>
      <c r="BT55"/>
      <c r="BU55"/>
      <c r="BV55"/>
      <c r="BW55"/>
      <c r="BY55" s="471"/>
      <c r="BZ55" s="471"/>
      <c r="CK55" s="620" t="str">
        <f>IF(AND(D55&gt;0,OR(P55=""))," * No olvide digitar la variable Pueblos Originarios Hombres (Digite Cero si no tiene).",IF(P55&gt;D55," * La variable Pueblos Originarios Hombres no puede ser Mayor al Total Hombres.",""))</f>
        <v/>
      </c>
      <c r="CL55" s="620" t="str">
        <f>IF(AND(E55&gt;0,OR(Q55=""))," * No olvide digitar la variable Pueblos Originarios Mujeres (Digite Cero si no tiene).",IF(Q55&gt;E55," * La variable Pueblos Originarios Mujeres no puede ser Mayor al Total Mujeres.",""))</f>
        <v/>
      </c>
      <c r="CM55" s="620" t="str">
        <f>IF(AND(D55&gt;0,OR(R55=""))," * No olvide digitar la variable Migrantes Hombres (Digite Cero si no tiene).",IF(R55&gt;D55," * La variable Migrantes Hombres no puede ser Mayor al Total Hombres.",""))</f>
        <v/>
      </c>
      <c r="CN55" s="620" t="str">
        <f>IF(AND(E55&gt;0,OR(S55=""))," * No olvide digitar la variable Migrantes Mujeres (Digite Cero si no tiene).",IF(S55&gt;E55," * La variable Migrantes Mujeres no puede ser Mayor al Total Mujeres.",""))</f>
        <v/>
      </c>
      <c r="CO55" s="470"/>
      <c r="CP55" s="470"/>
      <c r="CQ55" s="470"/>
      <c r="CR55" s="470"/>
      <c r="CS55" s="470"/>
      <c r="CT55" s="470"/>
      <c r="CU55" s="470"/>
      <c r="CV55" s="470"/>
      <c r="CW55" s="470"/>
      <c r="CX55" s="470"/>
      <c r="CY55" s="470"/>
      <c r="CZ55" s="470"/>
      <c r="DA55" s="470"/>
      <c r="DZ55" s="501">
        <f t="shared" si="47"/>
        <v>0</v>
      </c>
      <c r="EA55" s="501">
        <f t="shared" si="47"/>
        <v>0</v>
      </c>
      <c r="EB55" s="501">
        <f t="shared" si="48"/>
        <v>0</v>
      </c>
      <c r="EC55" s="501">
        <f t="shared" si="48"/>
        <v>0</v>
      </c>
    </row>
    <row r="56" spans="1:133" ht="15" customHeight="1" x14ac:dyDescent="0.25">
      <c r="A56" s="1990"/>
      <c r="B56" s="938" t="s">
        <v>89</v>
      </c>
      <c r="C56" s="864">
        <f t="shared" si="39"/>
        <v>0</v>
      </c>
      <c r="D56" s="858">
        <f>+F56+H56+J56+L56+N56</f>
        <v>0</v>
      </c>
      <c r="E56" s="859">
        <f>+G56+I56+K56+M56+O56</f>
        <v>0</v>
      </c>
      <c r="F56" s="858">
        <f>SUM(F54:F55)</f>
        <v>0</v>
      </c>
      <c r="G56" s="862">
        <f t="shared" ref="G56:S56" si="50">SUM(G54:G55)</f>
        <v>0</v>
      </c>
      <c r="H56" s="858">
        <f t="shared" ref="H56:I56" si="51">SUM(H54:H55)</f>
        <v>0</v>
      </c>
      <c r="I56" s="861">
        <f t="shared" si="51"/>
        <v>0</v>
      </c>
      <c r="J56" s="862">
        <f t="shared" ref="J56:K56" si="52">SUM(J54:J55)</f>
        <v>0</v>
      </c>
      <c r="K56" s="861">
        <f t="shared" si="52"/>
        <v>0</v>
      </c>
      <c r="L56" s="862">
        <f t="shared" ref="L56:M56" si="53">SUM(L54:L55)</f>
        <v>0</v>
      </c>
      <c r="M56" s="861">
        <f t="shared" si="53"/>
        <v>0</v>
      </c>
      <c r="N56" s="862">
        <f t="shared" si="50"/>
        <v>0</v>
      </c>
      <c r="O56" s="939">
        <f t="shared" si="50"/>
        <v>0</v>
      </c>
      <c r="P56" s="865">
        <f t="shared" si="50"/>
        <v>0</v>
      </c>
      <c r="Q56" s="860">
        <f t="shared" si="50"/>
        <v>0</v>
      </c>
      <c r="R56" s="858">
        <f t="shared" si="50"/>
        <v>0</v>
      </c>
      <c r="S56" s="861">
        <f t="shared" si="50"/>
        <v>0</v>
      </c>
      <c r="T56" s="704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 s="471"/>
      <c r="AJ56" s="471"/>
      <c r="AK56" s="471"/>
      <c r="AL56" s="471"/>
      <c r="AM56" s="471"/>
      <c r="AN56" s="471"/>
      <c r="AO56" s="471"/>
      <c r="AP56" s="471"/>
      <c r="AQ56" s="471"/>
      <c r="AR56" s="471"/>
      <c r="AS56" s="471"/>
      <c r="AT56" s="471"/>
      <c r="AU56" s="471"/>
      <c r="AV56" s="471"/>
      <c r="AW56" s="471"/>
      <c r="AX56" s="471"/>
      <c r="AY56" s="471"/>
      <c r="AZ56" s="471"/>
      <c r="BA56" s="471"/>
      <c r="BB56" s="471"/>
      <c r="BR56"/>
      <c r="BS56"/>
      <c r="BT56"/>
      <c r="BU56"/>
      <c r="BV56"/>
      <c r="BW56"/>
      <c r="BY56" s="471"/>
      <c r="BZ56" s="471"/>
      <c r="CK56" s="783"/>
      <c r="CL56" s="783"/>
      <c r="CM56" s="783"/>
      <c r="CN56" s="783"/>
      <c r="CO56" s="470"/>
      <c r="CP56" s="470"/>
      <c r="CQ56" s="470"/>
      <c r="CR56" s="470"/>
      <c r="CS56" s="470"/>
      <c r="CT56" s="470"/>
      <c r="CU56" s="470"/>
      <c r="CV56" s="470"/>
      <c r="CW56" s="470"/>
      <c r="CX56" s="470"/>
      <c r="CY56" s="470"/>
      <c r="CZ56" s="470"/>
      <c r="DA56" s="470"/>
      <c r="DZ56" s="620"/>
      <c r="EA56" s="620"/>
      <c r="EB56" s="620"/>
      <c r="EC56" s="620"/>
    </row>
    <row r="57" spans="1:133" ht="15" customHeight="1" x14ac:dyDescent="0.25">
      <c r="A57" s="1990"/>
      <c r="B57" s="940" t="s">
        <v>230</v>
      </c>
      <c r="C57" s="929">
        <f t="shared" si="39"/>
        <v>0</v>
      </c>
      <c r="D57" s="930">
        <f t="shared" ref="D57:D58" si="54">+F57+H57+J57+L57+N57</f>
        <v>0</v>
      </c>
      <c r="E57" s="931">
        <f t="shared" ref="E57:E58" si="55">+G57+I57+K57+M57+O57</f>
        <v>0</v>
      </c>
      <c r="F57" s="866"/>
      <c r="G57" s="867"/>
      <c r="H57" s="866"/>
      <c r="I57" s="869"/>
      <c r="J57" s="867"/>
      <c r="K57" s="869"/>
      <c r="L57" s="867"/>
      <c r="M57" s="869"/>
      <c r="N57" s="867"/>
      <c r="O57" s="932"/>
      <c r="P57" s="872"/>
      <c r="Q57" s="868"/>
      <c r="R57" s="866"/>
      <c r="S57" s="869"/>
      <c r="T57" s="704" t="str">
        <f t="shared" si="40"/>
        <v/>
      </c>
      <c r="U57" s="471"/>
      <c r="V57" s="471"/>
      <c r="W57" s="471"/>
      <c r="X57" s="471"/>
      <c r="Y57" s="471"/>
      <c r="Z57" s="471"/>
      <c r="AA57" s="471"/>
      <c r="AB57" s="471"/>
      <c r="AC57" s="471"/>
      <c r="AD57" s="471"/>
      <c r="AE57" s="471"/>
      <c r="AF57" s="471"/>
      <c r="AG57" s="471"/>
      <c r="AH57" s="471"/>
      <c r="AI57" s="471"/>
      <c r="AJ57" s="471"/>
      <c r="AK57" s="471"/>
      <c r="AL57" s="471"/>
      <c r="AM57" s="471"/>
      <c r="AN57" s="471"/>
      <c r="AO57" s="471"/>
      <c r="AP57" s="471"/>
      <c r="AQ57" s="471"/>
      <c r="AR57" s="471"/>
      <c r="AS57" s="471"/>
      <c r="AT57" s="471"/>
      <c r="AU57" s="471"/>
      <c r="AV57" s="471"/>
      <c r="AW57" s="471"/>
      <c r="AX57" s="471"/>
      <c r="AY57" s="471"/>
      <c r="AZ57" s="471"/>
      <c r="BA57" s="471"/>
      <c r="BB57" s="471"/>
      <c r="BR57"/>
      <c r="BS57"/>
      <c r="BT57"/>
      <c r="BU57"/>
      <c r="BV57"/>
      <c r="BW57"/>
      <c r="BY57" s="471"/>
      <c r="BZ57" s="471"/>
      <c r="CK57" s="620" t="str">
        <f>IF(AND(D57&gt;0,OR(P57=""))," * No olvide digitar la variable Pueblos Originarios Hombres (Digite Cero si no tiene).",IF(P57&gt;D57," * La variable Pueblos Originarios Hombres no puede ser Mayor al Total Hombres.",""))</f>
        <v/>
      </c>
      <c r="CL57" s="620" t="str">
        <f>IF(AND(E57&gt;0,OR(Q57=""))," * No olvide digitar la variable Pueblos Originarios Mujeres (Digite Cero si no tiene).",IF(Q57&gt;E57," * La variable Pueblos Originarios Mujeres no puede ser Mayor al Total Mujeres.",""))</f>
        <v/>
      </c>
      <c r="CM57" s="620" t="str">
        <f>IF(AND(D57&gt;0,OR(R57=""))," * No olvide digitar la variable Migrantes Hombres (Digite Cero si no tiene).",IF(R57&gt;D57," * La variable Migrantes Hombres no puede ser Mayor al Total Hombres.",""))</f>
        <v/>
      </c>
      <c r="CN57" s="620" t="str">
        <f>IF(AND(E57&gt;0,OR(S57=""))," * No olvide digitar la variable Migrantes Mujeres (Digite Cero si no tiene).",IF(S57&gt;E57," * La variable Migrantes Mujeres no puede ser Mayor al Total Mujeres.",""))</f>
        <v/>
      </c>
      <c r="CO57" s="470"/>
      <c r="CP57" s="470"/>
      <c r="CQ57" s="470"/>
      <c r="CR57" s="470"/>
      <c r="CS57" s="470"/>
      <c r="CT57" s="470"/>
      <c r="CU57" s="470"/>
      <c r="CV57" s="470"/>
      <c r="CW57" s="470"/>
      <c r="CX57" s="470"/>
      <c r="CY57" s="470"/>
      <c r="CZ57" s="470"/>
      <c r="DA57" s="470"/>
      <c r="DZ57" s="501">
        <f>IF(AND(D57&gt;0,OR(P57="")),1,IF(P57&gt;D57,1,0))</f>
        <v>0</v>
      </c>
      <c r="EA57" s="501">
        <f>IF(AND(E57&gt;0,OR(Q57="")),1,IF(Q57&gt;E57,1,0))</f>
        <v>0</v>
      </c>
      <c r="EB57" s="501">
        <f>IF(AND(D57&gt;0,OR(R57="")),1,IF(R57&gt;D57,1,0))</f>
        <v>0</v>
      </c>
      <c r="EC57" s="501">
        <f>IF(AND(E57&gt;0,OR(S57="")),1,IF(S57&gt;E57,1,0))</f>
        <v>0</v>
      </c>
    </row>
    <row r="58" spans="1:133" ht="15" customHeight="1" x14ac:dyDescent="0.25">
      <c r="A58" s="1990"/>
      <c r="B58" s="933" t="s">
        <v>231</v>
      </c>
      <c r="C58" s="934">
        <f t="shared" si="39"/>
        <v>0</v>
      </c>
      <c r="D58" s="935">
        <f t="shared" si="54"/>
        <v>0</v>
      </c>
      <c r="E58" s="936">
        <f t="shared" si="55"/>
        <v>0</v>
      </c>
      <c r="F58" s="832"/>
      <c r="G58" s="836"/>
      <c r="H58" s="832"/>
      <c r="I58" s="834"/>
      <c r="J58" s="836"/>
      <c r="K58" s="834"/>
      <c r="L58" s="836"/>
      <c r="M58" s="834"/>
      <c r="N58" s="836"/>
      <c r="O58" s="937"/>
      <c r="P58" s="839"/>
      <c r="Q58" s="835"/>
      <c r="R58" s="832"/>
      <c r="S58" s="834"/>
      <c r="T58" s="704" t="str">
        <f t="shared" si="40"/>
        <v/>
      </c>
      <c r="U58" s="471"/>
      <c r="V58" s="471"/>
      <c r="W58" s="471"/>
      <c r="X58" s="471"/>
      <c r="Y58" s="471"/>
      <c r="Z58" s="471"/>
      <c r="AA58" s="471"/>
      <c r="AB58" s="471"/>
      <c r="AC58" s="471"/>
      <c r="AD58" s="471"/>
      <c r="AE58" s="471"/>
      <c r="AF58" s="471"/>
      <c r="AG58" s="471"/>
      <c r="AH58" s="471"/>
      <c r="AI58" s="471"/>
      <c r="AJ58" s="471"/>
      <c r="AK58" s="471"/>
      <c r="AL58" s="471"/>
      <c r="AM58" s="471"/>
      <c r="AN58" s="471"/>
      <c r="AO58" s="471"/>
      <c r="AP58" s="471"/>
      <c r="AQ58" s="471"/>
      <c r="AR58" s="471"/>
      <c r="AS58" s="471"/>
      <c r="AT58" s="471"/>
      <c r="AU58" s="471"/>
      <c r="AV58" s="471"/>
      <c r="AW58" s="471"/>
      <c r="AX58" s="471"/>
      <c r="AY58" s="471"/>
      <c r="AZ58" s="471"/>
      <c r="BA58" s="471"/>
      <c r="BB58" s="471"/>
      <c r="BR58"/>
      <c r="BS58"/>
      <c r="BT58"/>
      <c r="BU58"/>
      <c r="BV58"/>
      <c r="BW58"/>
      <c r="BY58" s="471"/>
      <c r="BZ58" s="471"/>
      <c r="CK58" s="620" t="str">
        <f>IF(AND(D58&gt;0,OR(P58=""))," * No olvide digitar la variable Pueblos Originarios Hombres (Digite Cero si no tiene).",IF(P58&gt;D58," * La variable Pueblos Originarios Hombres no puede ser Mayor al Total Hombres.",""))</f>
        <v/>
      </c>
      <c r="CL58" s="620" t="str">
        <f>IF(AND(E58&gt;0,OR(Q58=""))," * No olvide digitar la variable Pueblos Originarios Mujeres (Digite Cero si no tiene).",IF(Q58&gt;E58," * La variable Pueblos Originarios Mujeres no puede ser Mayor al Total Mujeres.",""))</f>
        <v/>
      </c>
      <c r="CM58" s="620" t="str">
        <f>IF(AND(D58&gt;0,OR(R58=""))," * No olvide digitar la variable Migrantes Hombres (Digite Cero si no tiene).",IF(R58&gt;D58," * La variable Migrantes Hombres no puede ser Mayor al Total Hombres.",""))</f>
        <v/>
      </c>
      <c r="CN58" s="620" t="str">
        <f>IF(AND(E58&gt;0,OR(S58=""))," * No olvide digitar la variable Migrantes Mujeres (Digite Cero si no tiene).",IF(S58&gt;E58," * La variable Migrantes Mujeres no puede ser Mayor al Total Mujeres.",""))</f>
        <v/>
      </c>
      <c r="CO58" s="470"/>
      <c r="CP58" s="470"/>
      <c r="CQ58" s="470"/>
      <c r="CR58" s="470"/>
      <c r="CS58" s="470"/>
      <c r="CT58" s="470"/>
      <c r="CU58" s="470"/>
      <c r="CV58" s="470"/>
      <c r="CW58" s="470"/>
      <c r="CX58" s="470"/>
      <c r="CY58" s="470"/>
      <c r="CZ58" s="470"/>
      <c r="DA58" s="470"/>
      <c r="DZ58" s="501">
        <f>IF(AND(D58&gt;0,OR(P58="")),1,IF(P58&gt;D58,1,0))</f>
        <v>0</v>
      </c>
      <c r="EA58" s="501">
        <f>IF(AND(E58&gt;0,OR(Q58="")),1,IF(Q58&gt;E58,1,0))</f>
        <v>0</v>
      </c>
      <c r="EB58" s="501">
        <f>IF(AND(D58&gt;0,OR(R58="")),1,IF(R58&gt;D58,1,0))</f>
        <v>0</v>
      </c>
      <c r="EC58" s="501">
        <f>IF(AND(E58&gt;0,OR(S58="")),1,IF(S58&gt;E58,1,0))</f>
        <v>0</v>
      </c>
    </row>
    <row r="59" spans="1:133" ht="15" customHeight="1" x14ac:dyDescent="0.25">
      <c r="A59" s="1990"/>
      <c r="B59" s="938" t="s">
        <v>89</v>
      </c>
      <c r="C59" s="864">
        <f t="shared" si="39"/>
        <v>0</v>
      </c>
      <c r="D59" s="858">
        <f>+F59+H59+J59+L59+N59</f>
        <v>0</v>
      </c>
      <c r="E59" s="859">
        <f>+G59+I59+K59+M59+O59</f>
        <v>0</v>
      </c>
      <c r="F59" s="858">
        <f>SUM(F57:F58)</f>
        <v>0</v>
      </c>
      <c r="G59" s="862">
        <f t="shared" ref="G59:S59" si="56">SUM(G57:G58)</f>
        <v>0</v>
      </c>
      <c r="H59" s="858">
        <f t="shared" ref="H59:I59" si="57">SUM(H57:H58)</f>
        <v>0</v>
      </c>
      <c r="I59" s="861">
        <f t="shared" si="57"/>
        <v>0</v>
      </c>
      <c r="J59" s="862">
        <f t="shared" ref="J59:K59" si="58">SUM(J57:J58)</f>
        <v>0</v>
      </c>
      <c r="K59" s="861">
        <f t="shared" si="58"/>
        <v>0</v>
      </c>
      <c r="L59" s="862">
        <f t="shared" ref="L59:M59" si="59">SUM(L57:L58)</f>
        <v>0</v>
      </c>
      <c r="M59" s="861">
        <f t="shared" si="59"/>
        <v>0</v>
      </c>
      <c r="N59" s="862">
        <f t="shared" si="56"/>
        <v>0</v>
      </c>
      <c r="O59" s="939">
        <f t="shared" si="56"/>
        <v>0</v>
      </c>
      <c r="P59" s="865">
        <f>SUM(P57:P58)</f>
        <v>0</v>
      </c>
      <c r="Q59" s="860">
        <f t="shared" si="56"/>
        <v>0</v>
      </c>
      <c r="R59" s="858">
        <f t="shared" si="56"/>
        <v>0</v>
      </c>
      <c r="S59" s="861">
        <f t="shared" si="56"/>
        <v>0</v>
      </c>
      <c r="T59" s="704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 s="471"/>
      <c r="AJ59" s="471"/>
      <c r="AK59" s="471"/>
      <c r="AL59" s="471"/>
      <c r="AM59" s="471"/>
      <c r="AN59" s="471"/>
      <c r="AO59" s="471"/>
      <c r="AP59" s="471"/>
      <c r="AQ59" s="471"/>
      <c r="AR59" s="471"/>
      <c r="AS59" s="471"/>
      <c r="AT59" s="471"/>
      <c r="AU59" s="471"/>
      <c r="AV59" s="471"/>
      <c r="AW59" s="471"/>
      <c r="AX59" s="471"/>
      <c r="AY59" s="471"/>
      <c r="AZ59" s="471"/>
      <c r="BA59" s="471"/>
      <c r="BB59" s="471"/>
      <c r="BR59"/>
      <c r="BS59"/>
      <c r="BT59"/>
      <c r="BU59"/>
      <c r="BV59"/>
      <c r="BW59"/>
      <c r="BY59" s="471"/>
      <c r="BZ59" s="471"/>
      <c r="CK59" s="783"/>
      <c r="CL59" s="783"/>
      <c r="CM59" s="783"/>
      <c r="CN59" s="783"/>
      <c r="CO59" s="470"/>
      <c r="CP59" s="470"/>
      <c r="CQ59" s="470"/>
      <c r="CR59" s="470"/>
      <c r="CS59" s="470"/>
      <c r="CT59" s="470"/>
      <c r="CU59" s="470"/>
      <c r="CV59" s="470"/>
      <c r="CW59" s="470"/>
      <c r="CX59" s="470"/>
      <c r="CY59" s="470"/>
      <c r="CZ59" s="470"/>
      <c r="DA59" s="470"/>
      <c r="DZ59" s="620"/>
      <c r="EA59" s="620"/>
      <c r="EB59" s="620"/>
      <c r="EC59" s="620"/>
    </row>
    <row r="60" spans="1:133" ht="15" customHeight="1" x14ac:dyDescent="0.25">
      <c r="A60" s="1991"/>
      <c r="B60" s="941" t="s">
        <v>234</v>
      </c>
      <c r="C60" s="942">
        <f t="shared" si="39"/>
        <v>0</v>
      </c>
      <c r="D60" s="943">
        <f t="shared" ref="D60:D63" si="60">+F60+H60+J60+L60+N60</f>
        <v>0</v>
      </c>
      <c r="E60" s="944">
        <f t="shared" ref="E60:E63" si="61">+G60+I60+K60+M60+O60</f>
        <v>0</v>
      </c>
      <c r="F60" s="805"/>
      <c r="G60" s="867"/>
      <c r="H60" s="805"/>
      <c r="I60" s="807"/>
      <c r="J60" s="811"/>
      <c r="K60" s="807"/>
      <c r="L60" s="811"/>
      <c r="M60" s="807"/>
      <c r="N60" s="811"/>
      <c r="O60" s="945"/>
      <c r="P60" s="879"/>
      <c r="Q60" s="808"/>
      <c r="R60" s="805"/>
      <c r="S60" s="807"/>
      <c r="T60" s="704" t="str">
        <f t="shared" si="40"/>
        <v/>
      </c>
      <c r="U60" s="471"/>
      <c r="V60" s="471"/>
      <c r="W60" s="471"/>
      <c r="X60" s="471"/>
      <c r="Y60" s="471"/>
      <c r="Z60" s="471"/>
      <c r="AA60" s="471"/>
      <c r="AB60" s="471"/>
      <c r="AC60" s="471"/>
      <c r="AD60" s="471"/>
      <c r="AE60" s="471"/>
      <c r="AF60" s="471"/>
      <c r="AG60" s="471"/>
      <c r="AH60" s="471"/>
      <c r="AI60" s="471"/>
      <c r="AJ60" s="471"/>
      <c r="AK60" s="471"/>
      <c r="AL60" s="471"/>
      <c r="AM60" s="471"/>
      <c r="AN60" s="471"/>
      <c r="AO60" s="471"/>
      <c r="AP60" s="471"/>
      <c r="AQ60" s="471"/>
      <c r="AR60" s="471"/>
      <c r="AS60" s="471"/>
      <c r="AT60" s="471"/>
      <c r="AU60" s="471"/>
      <c r="AV60" s="471"/>
      <c r="AW60" s="471"/>
      <c r="AX60" s="471"/>
      <c r="AY60" s="471"/>
      <c r="AZ60" s="471"/>
      <c r="BA60" s="471"/>
      <c r="BB60" s="471"/>
      <c r="BR60"/>
      <c r="BS60"/>
      <c r="BT60"/>
      <c r="BU60"/>
      <c r="BV60"/>
      <c r="BW60"/>
      <c r="BY60" s="471"/>
      <c r="BZ60" s="471"/>
      <c r="CK60" s="620" t="str">
        <f>IF(AND(D60&gt;0,OR(P60=""))," * No olvide digitar la variable Pueblos Originarios Hombres (Digite Cero si no tiene).",IF(P60&gt;D60," * La variable Pueblos Originarios Hombres no puede ser Mayor al Total Hombres.",""))</f>
        <v/>
      </c>
      <c r="CL60" s="620" t="str">
        <f>IF(AND(E60&gt;0,OR(Q60=""))," * No olvide digitar la variable Pueblos Originarios Mujeres (Digite Cero si no tiene).",IF(Q60&gt;E60," * La variable Pueblos Originarios Mujeres no puede ser Mayor al Total Mujeres.",""))</f>
        <v/>
      </c>
      <c r="CM60" s="620" t="str">
        <f>IF(AND(D60&gt;0,OR(R60=""))," * No olvide digitar la variable Migrantes Hombres (Digite Cero si no tiene).",IF(R60&gt;D60," * La variable Migrantes Hombres no puede ser Mayor al Total Hombres.",""))</f>
        <v/>
      </c>
      <c r="CN60" s="620" t="str">
        <f>IF(AND(E60&gt;0,OR(S60=""))," * No olvide digitar la variable Migrantes Mujeres (Digite Cero si no tiene).",IF(S60&gt;E60," * La variable Migrantes Mujeres no puede ser Mayor al Total Mujeres.",""))</f>
        <v/>
      </c>
      <c r="CO60" s="470"/>
      <c r="CP60" s="470"/>
      <c r="CQ60" s="470"/>
      <c r="CR60" s="470"/>
      <c r="CS60" s="470"/>
      <c r="CT60" s="470"/>
      <c r="CU60" s="470"/>
      <c r="CV60" s="470"/>
      <c r="CW60" s="470"/>
      <c r="CX60" s="470"/>
      <c r="CY60" s="470"/>
      <c r="CZ60" s="470"/>
      <c r="DA60" s="470"/>
      <c r="DZ60" s="501">
        <f t="shared" ref="DZ60:EA63" si="62">IF(AND(D60&gt;0,OR(P60="")),1,IF(P60&gt;D60,1,0))</f>
        <v>0</v>
      </c>
      <c r="EA60" s="501">
        <f t="shared" si="62"/>
        <v>0</v>
      </c>
      <c r="EB60" s="501">
        <f t="shared" ref="EB60:EC63" si="63">IF(AND(D60&gt;0,OR(R60="")),1,IF(R60&gt;D60,1,0))</f>
        <v>0</v>
      </c>
      <c r="EC60" s="501">
        <f t="shared" si="63"/>
        <v>0</v>
      </c>
    </row>
    <row r="61" spans="1:133" ht="15" customHeight="1" x14ac:dyDescent="0.25">
      <c r="A61" s="1992" t="s">
        <v>256</v>
      </c>
      <c r="B61" s="850" t="s">
        <v>257</v>
      </c>
      <c r="C61" s="881">
        <f t="shared" si="39"/>
        <v>0</v>
      </c>
      <c r="D61" s="925">
        <f t="shared" si="60"/>
        <v>0</v>
      </c>
      <c r="E61" s="897">
        <f t="shared" si="61"/>
        <v>0</v>
      </c>
      <c r="F61" s="821"/>
      <c r="G61" s="823"/>
      <c r="H61" s="821"/>
      <c r="I61" s="823"/>
      <c r="J61" s="825"/>
      <c r="K61" s="823"/>
      <c r="L61" s="825"/>
      <c r="M61" s="823"/>
      <c r="N61" s="825"/>
      <c r="O61" s="824"/>
      <c r="P61" s="828"/>
      <c r="Q61" s="824"/>
      <c r="R61" s="821"/>
      <c r="S61" s="823"/>
      <c r="T61" s="704" t="str">
        <f t="shared" si="40"/>
        <v/>
      </c>
      <c r="U61" s="471"/>
      <c r="V61" s="471"/>
      <c r="W61" s="471"/>
      <c r="X61" s="471"/>
      <c r="Y61" s="471"/>
      <c r="Z61" s="471"/>
      <c r="AA61" s="471"/>
      <c r="AB61" s="471"/>
      <c r="AC61" s="471"/>
      <c r="AD61" s="471"/>
      <c r="AE61" s="471"/>
      <c r="AF61" s="471"/>
      <c r="AG61" s="471"/>
      <c r="AH61" s="471"/>
      <c r="AI61" s="471"/>
      <c r="AJ61" s="471"/>
      <c r="AK61" s="471"/>
      <c r="AL61" s="471"/>
      <c r="AM61" s="471"/>
      <c r="AN61" s="471"/>
      <c r="AO61" s="471"/>
      <c r="AP61" s="471"/>
      <c r="AQ61" s="471"/>
      <c r="AR61" s="471"/>
      <c r="AS61" s="471"/>
      <c r="AT61" s="471"/>
      <c r="AU61" s="471"/>
      <c r="AV61" s="471"/>
      <c r="AW61" s="471"/>
      <c r="AX61" s="471"/>
      <c r="AY61" s="471"/>
      <c r="AZ61" s="471"/>
      <c r="BA61" s="471"/>
      <c r="BB61" s="471"/>
      <c r="BR61"/>
      <c r="BS61"/>
      <c r="BT61"/>
      <c r="BU61"/>
      <c r="BV61"/>
      <c r="BW61"/>
      <c r="BY61" s="471"/>
      <c r="BZ61" s="471"/>
      <c r="CK61" s="620" t="str">
        <f>IF(AND(D61&gt;0,OR(P61=""))," * No olvide digitar la variable Pueblos Originarios Hombres (Digite Cero si no tiene).",IF(P61&gt;D61," * La variable Pueblos Originarios Hombres no puede ser Mayor al Total Hombres.",""))</f>
        <v/>
      </c>
      <c r="CL61" s="620" t="str">
        <f>IF(AND(E61&gt;0,OR(Q61=""))," * No olvide digitar la variable Pueblos Originarios Mujeres (Digite Cero si no tiene).",IF(Q61&gt;E61," * La variable Pueblos Originarios Mujeres no puede ser Mayor al Total Mujeres.",""))</f>
        <v/>
      </c>
      <c r="CM61" s="620" t="str">
        <f>IF(AND(D61&gt;0,OR(R61=""))," * No olvide digitar la variable Migrantes Hombres (Digite Cero si no tiene).",IF(R61&gt;D61," * La variable Migrantes Hombres no puede ser Mayor al Total Hombres.",""))</f>
        <v/>
      </c>
      <c r="CN61" s="620" t="str">
        <f>IF(AND(E61&gt;0,OR(S61=""))," * No olvide digitar la variable Migrantes Mujeres (Digite Cero si no tiene).",IF(S61&gt;E61," * La variable Migrantes Mujeres no puede ser Mayor al Total Mujeres.",""))</f>
        <v/>
      </c>
      <c r="CO61" s="470"/>
      <c r="CP61" s="470"/>
      <c r="CQ61" s="470"/>
      <c r="CR61" s="470"/>
      <c r="CS61" s="470"/>
      <c r="CT61" s="470"/>
      <c r="CU61" s="470"/>
      <c r="CV61" s="470"/>
      <c r="CW61" s="470"/>
      <c r="CX61" s="470"/>
      <c r="CY61" s="470"/>
      <c r="CZ61" s="470"/>
      <c r="DA61" s="470"/>
      <c r="DZ61" s="501">
        <f t="shared" si="62"/>
        <v>0</v>
      </c>
      <c r="EA61" s="501">
        <f t="shared" si="62"/>
        <v>0</v>
      </c>
      <c r="EB61" s="501">
        <f t="shared" si="63"/>
        <v>0</v>
      </c>
      <c r="EC61" s="501">
        <f t="shared" si="63"/>
        <v>0</v>
      </c>
    </row>
    <row r="62" spans="1:133" ht="15" customHeight="1" x14ac:dyDescent="0.25">
      <c r="A62" s="1993"/>
      <c r="B62" s="817" t="s">
        <v>258</v>
      </c>
      <c r="C62" s="884">
        <f t="shared" si="39"/>
        <v>0</v>
      </c>
      <c r="D62" s="918">
        <f t="shared" si="60"/>
        <v>0</v>
      </c>
      <c r="E62" s="886">
        <f t="shared" si="61"/>
        <v>0</v>
      </c>
      <c r="F62" s="889"/>
      <c r="G62" s="890"/>
      <c r="H62" s="889"/>
      <c r="I62" s="890"/>
      <c r="J62" s="892"/>
      <c r="K62" s="890"/>
      <c r="L62" s="892"/>
      <c r="M62" s="890"/>
      <c r="N62" s="892"/>
      <c r="O62" s="891"/>
      <c r="P62" s="894"/>
      <c r="Q62" s="891"/>
      <c r="R62" s="889"/>
      <c r="S62" s="890"/>
      <c r="T62" s="704" t="str">
        <f t="shared" si="40"/>
        <v/>
      </c>
      <c r="U62" s="471"/>
      <c r="V62" s="471"/>
      <c r="W62" s="471"/>
      <c r="X62" s="471"/>
      <c r="Y62" s="471"/>
      <c r="Z62" s="471"/>
      <c r="AA62" s="471"/>
      <c r="AB62" s="471"/>
      <c r="AC62" s="471"/>
      <c r="AD62" s="471"/>
      <c r="AE62" s="471"/>
      <c r="AF62" s="471"/>
      <c r="AG62" s="471"/>
      <c r="AH62" s="471"/>
      <c r="AI62" s="471"/>
      <c r="AJ62" s="471"/>
      <c r="AK62" s="471"/>
      <c r="AL62" s="471"/>
      <c r="AM62" s="471"/>
      <c r="AN62" s="471"/>
      <c r="AO62" s="471"/>
      <c r="AP62" s="471"/>
      <c r="AQ62" s="471"/>
      <c r="AR62" s="471"/>
      <c r="AS62" s="471"/>
      <c r="AT62" s="471"/>
      <c r="AU62" s="471"/>
      <c r="AV62" s="471"/>
      <c r="AW62" s="471"/>
      <c r="AX62" s="471"/>
      <c r="AY62" s="471"/>
      <c r="AZ62" s="471"/>
      <c r="BA62" s="471"/>
      <c r="BB62" s="471"/>
      <c r="BR62"/>
      <c r="BS62"/>
      <c r="BT62"/>
      <c r="BU62"/>
      <c r="BV62"/>
      <c r="BW62"/>
      <c r="BY62" s="471"/>
      <c r="BZ62" s="471"/>
      <c r="CK62" s="620" t="str">
        <f>IF(AND(D62&gt;0,OR(P62=""))," * No olvide digitar la variable Pueblos Originarios Hombres (Digite Cero si no tiene).",IF(P62&gt;D62," * La variable Pueblos Originarios Hombres no puede ser Mayor al Total Hombres.",""))</f>
        <v/>
      </c>
      <c r="CL62" s="620" t="str">
        <f>IF(AND(E62&gt;0,OR(Q62=""))," * No olvide digitar la variable Pueblos Originarios Mujeres (Digite Cero si no tiene).",IF(Q62&gt;E62," * La variable Pueblos Originarios Mujeres no puede ser Mayor al Total Mujeres.",""))</f>
        <v/>
      </c>
      <c r="CM62" s="620" t="str">
        <f>IF(AND(D62&gt;0,OR(R62=""))," * No olvide digitar la variable Migrantes Hombres (Digite Cero si no tiene).",IF(R62&gt;D62," * La variable Migrantes Hombres no puede ser Mayor al Total Hombres.",""))</f>
        <v/>
      </c>
      <c r="CN62" s="620" t="str">
        <f>IF(AND(E62&gt;0,OR(S62=""))," * No olvide digitar la variable Migrantes Mujeres (Digite Cero si no tiene).",IF(S62&gt;E62," * La variable Migrantes Mujeres no puede ser Mayor al Total Mujeres.",""))</f>
        <v/>
      </c>
      <c r="CO62" s="470"/>
      <c r="CP62" s="470"/>
      <c r="CQ62" s="470"/>
      <c r="CR62" s="470"/>
      <c r="CS62" s="470"/>
      <c r="CT62" s="470"/>
      <c r="CU62" s="470"/>
      <c r="CV62" s="470"/>
      <c r="CW62" s="470"/>
      <c r="CX62" s="470"/>
      <c r="CY62" s="470"/>
      <c r="CZ62" s="470"/>
      <c r="DA62" s="470"/>
      <c r="DZ62" s="501">
        <f t="shared" si="62"/>
        <v>0</v>
      </c>
      <c r="EA62" s="501">
        <f t="shared" si="62"/>
        <v>0</v>
      </c>
      <c r="EB62" s="501">
        <f t="shared" si="63"/>
        <v>0</v>
      </c>
      <c r="EC62" s="501">
        <f t="shared" si="63"/>
        <v>0</v>
      </c>
    </row>
    <row r="63" spans="1:133" ht="15" customHeight="1" x14ac:dyDescent="0.25">
      <c r="A63" s="1993"/>
      <c r="B63" s="830" t="s">
        <v>259</v>
      </c>
      <c r="C63" s="920">
        <f t="shared" si="39"/>
        <v>0</v>
      </c>
      <c r="D63" s="921">
        <f t="shared" si="60"/>
        <v>0</v>
      </c>
      <c r="E63" s="922">
        <f t="shared" si="61"/>
        <v>0</v>
      </c>
      <c r="F63" s="832"/>
      <c r="G63" s="834"/>
      <c r="H63" s="832"/>
      <c r="I63" s="834"/>
      <c r="J63" s="836"/>
      <c r="K63" s="834"/>
      <c r="L63" s="836"/>
      <c r="M63" s="834"/>
      <c r="N63" s="836"/>
      <c r="O63" s="835"/>
      <c r="P63" s="839"/>
      <c r="Q63" s="835"/>
      <c r="R63" s="832"/>
      <c r="S63" s="834"/>
      <c r="T63" s="704" t="str">
        <f t="shared" si="40"/>
        <v/>
      </c>
      <c r="U63" s="471"/>
      <c r="V63" s="471"/>
      <c r="W63" s="471"/>
      <c r="X63" s="471"/>
      <c r="Y63" s="471"/>
      <c r="Z63" s="471"/>
      <c r="AA63" s="471"/>
      <c r="AB63" s="471"/>
      <c r="AC63" s="471"/>
      <c r="AD63" s="471"/>
      <c r="AE63" s="471"/>
      <c r="AF63" s="471"/>
      <c r="AG63" s="471"/>
      <c r="AH63" s="471"/>
      <c r="AI63" s="471"/>
      <c r="AJ63" s="471"/>
      <c r="AK63" s="471"/>
      <c r="AL63" s="471"/>
      <c r="AM63" s="471"/>
      <c r="AN63" s="471"/>
      <c r="AO63" s="471"/>
      <c r="AP63" s="471"/>
      <c r="AQ63" s="471"/>
      <c r="AR63" s="471"/>
      <c r="AS63" s="471"/>
      <c r="AT63" s="471"/>
      <c r="AU63" s="471"/>
      <c r="AV63" s="471"/>
      <c r="AW63" s="471"/>
      <c r="AX63" s="471"/>
      <c r="AY63" s="471"/>
      <c r="AZ63" s="471"/>
      <c r="BA63" s="471"/>
      <c r="BB63" s="471"/>
      <c r="BR63"/>
      <c r="BS63"/>
      <c r="BT63"/>
      <c r="BU63"/>
      <c r="BV63"/>
      <c r="BW63"/>
      <c r="BY63" s="471"/>
      <c r="BZ63" s="471"/>
      <c r="CK63" s="620" t="str">
        <f>IF(AND(D63&gt;0,OR(P63=""))," * No olvide digitar la variable Pueblos Originarios Hombres (Digite Cero si no tiene).",IF(P63&gt;D63," * La variable Pueblos Originarios Hombres no puede ser Mayor al Total Hombres.",""))</f>
        <v/>
      </c>
      <c r="CL63" s="620" t="str">
        <f>IF(AND(E63&gt;0,OR(Q63=""))," * No olvide digitar la variable Pueblos Originarios Mujeres (Digite Cero si no tiene).",IF(Q63&gt;E63," * La variable Pueblos Originarios Mujeres no puede ser Mayor al Total Mujeres.",""))</f>
        <v/>
      </c>
      <c r="CM63" s="620" t="str">
        <f>IF(AND(D63&gt;0,OR(R63=""))," * No olvide digitar la variable Migrantes Hombres (Digite Cero si no tiene).",IF(R63&gt;D63," * La variable Migrantes Hombres no puede ser Mayor al Total Hombres.",""))</f>
        <v/>
      </c>
      <c r="CN63" s="620" t="str">
        <f>IF(AND(E63&gt;0,OR(S63=""))," * No olvide digitar la variable Migrantes Mujeres (Digite Cero si no tiene).",IF(S63&gt;E63," * La variable Migrantes Mujeres no puede ser Mayor al Total Mujeres.",""))</f>
        <v/>
      </c>
      <c r="CO63" s="470"/>
      <c r="CP63" s="470"/>
      <c r="CQ63" s="470"/>
      <c r="CR63" s="470"/>
      <c r="CS63" s="470"/>
      <c r="CT63" s="470"/>
      <c r="CU63" s="470"/>
      <c r="CV63" s="470"/>
      <c r="CW63" s="470"/>
      <c r="CX63" s="470"/>
      <c r="CY63" s="470"/>
      <c r="CZ63" s="470"/>
      <c r="DA63" s="470"/>
      <c r="DZ63" s="501">
        <f t="shared" si="62"/>
        <v>0</v>
      </c>
      <c r="EA63" s="501">
        <f t="shared" si="62"/>
        <v>0</v>
      </c>
      <c r="EB63" s="501">
        <f t="shared" si="63"/>
        <v>0</v>
      </c>
      <c r="EC63" s="501">
        <f t="shared" si="63"/>
        <v>0</v>
      </c>
    </row>
    <row r="64" spans="1:133" ht="15" customHeight="1" x14ac:dyDescent="0.25">
      <c r="A64" s="1994"/>
      <c r="B64" s="841" t="s">
        <v>89</v>
      </c>
      <c r="C64" s="847">
        <f>+D64+E64</f>
        <v>0</v>
      </c>
      <c r="D64" s="843">
        <f>+F64+H64+J64+L64+N64</f>
        <v>0</v>
      </c>
      <c r="E64" s="904">
        <f>+G64+I64+K64+M64+O64</f>
        <v>0</v>
      </c>
      <c r="F64" s="858">
        <f>SUM(F61:F63)</f>
        <v>0</v>
      </c>
      <c r="G64" s="861">
        <f t="shared" ref="G64:R64" si="64">SUM(G61:G63)</f>
        <v>0</v>
      </c>
      <c r="H64" s="858">
        <f t="shared" ref="H64:I64" si="65">SUM(H61:H63)</f>
        <v>0</v>
      </c>
      <c r="I64" s="861">
        <f t="shared" si="65"/>
        <v>0</v>
      </c>
      <c r="J64" s="862">
        <f t="shared" ref="J64:K64" si="66">SUM(J61:J63)</f>
        <v>0</v>
      </c>
      <c r="K64" s="861">
        <f t="shared" si="66"/>
        <v>0</v>
      </c>
      <c r="L64" s="862">
        <f t="shared" ref="L64:M64" si="67">SUM(L61:L63)</f>
        <v>0</v>
      </c>
      <c r="M64" s="861">
        <f t="shared" si="67"/>
        <v>0</v>
      </c>
      <c r="N64" s="862">
        <f t="shared" si="64"/>
        <v>0</v>
      </c>
      <c r="O64" s="860">
        <f t="shared" si="64"/>
        <v>0</v>
      </c>
      <c r="P64" s="865">
        <f>SUM(P61:P63)</f>
        <v>0</v>
      </c>
      <c r="Q64" s="860">
        <f t="shared" si="64"/>
        <v>0</v>
      </c>
      <c r="R64" s="858">
        <f t="shared" si="64"/>
        <v>0</v>
      </c>
      <c r="S64" s="861">
        <f>SUM(S61:S63)</f>
        <v>0</v>
      </c>
      <c r="T64" s="704"/>
      <c r="U64" s="471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 s="471"/>
      <c r="AK64" s="471"/>
      <c r="AL64" s="471"/>
      <c r="AM64" s="471"/>
      <c r="AN64" s="471"/>
      <c r="AO64" s="471"/>
      <c r="AP64" s="471"/>
      <c r="AQ64" s="471"/>
      <c r="AR64" s="471"/>
      <c r="AS64" s="471"/>
      <c r="AT64" s="471"/>
      <c r="AU64" s="471"/>
      <c r="AV64" s="471"/>
      <c r="AW64" s="471"/>
      <c r="AX64" s="471"/>
      <c r="AY64" s="471"/>
      <c r="AZ64" s="471"/>
      <c r="BA64" s="471"/>
      <c r="BB64" s="471"/>
      <c r="BR64"/>
      <c r="BS64"/>
      <c r="BT64"/>
      <c r="BU64"/>
      <c r="BV64"/>
      <c r="BW64"/>
      <c r="BY64" s="471"/>
      <c r="BZ64" s="471"/>
      <c r="CK64" s="783"/>
      <c r="CL64" s="783"/>
      <c r="CM64" s="783"/>
      <c r="CN64" s="783"/>
      <c r="CO64" s="470"/>
      <c r="CP64" s="470"/>
      <c r="CQ64" s="470"/>
      <c r="CR64" s="470"/>
      <c r="CS64" s="470"/>
      <c r="CT64" s="470"/>
      <c r="CU64" s="470"/>
      <c r="CV64" s="470"/>
      <c r="CW64" s="470"/>
      <c r="CX64" s="470"/>
      <c r="CY64" s="470"/>
      <c r="CZ64" s="470"/>
      <c r="DA64" s="470"/>
      <c r="DZ64" s="620"/>
      <c r="EA64" s="620"/>
      <c r="EB64" s="620"/>
      <c r="EC64" s="620"/>
    </row>
    <row r="65" spans="1:133" ht="15" customHeight="1" x14ac:dyDescent="0.25">
      <c r="A65" s="2006" t="s">
        <v>895</v>
      </c>
      <c r="B65" s="850" t="s">
        <v>260</v>
      </c>
      <c r="C65" s="881">
        <f t="shared" si="39"/>
        <v>0</v>
      </c>
      <c r="D65" s="925">
        <f t="shared" ref="D65:D70" si="68">+F65+H65+J65+L65+N65</f>
        <v>0</v>
      </c>
      <c r="E65" s="897">
        <f t="shared" ref="E65:E69" si="69">+G65+I65+K65+M65+O65</f>
        <v>0</v>
      </c>
      <c r="F65" s="821"/>
      <c r="G65" s="823"/>
      <c r="H65" s="821"/>
      <c r="I65" s="823"/>
      <c r="J65" s="825"/>
      <c r="K65" s="823"/>
      <c r="L65" s="825"/>
      <c r="M65" s="823"/>
      <c r="N65" s="825"/>
      <c r="O65" s="824"/>
      <c r="P65" s="828"/>
      <c r="Q65" s="824"/>
      <c r="R65" s="821"/>
      <c r="S65" s="823"/>
      <c r="T65" s="704" t="str">
        <f t="shared" si="40"/>
        <v/>
      </c>
      <c r="U65" s="471"/>
      <c r="V65" s="471"/>
      <c r="W65" s="471"/>
      <c r="X65" s="471"/>
      <c r="Y65" s="471"/>
      <c r="Z65" s="471"/>
      <c r="AA65" s="471"/>
      <c r="AB65" s="471"/>
      <c r="AC65" s="471"/>
      <c r="AD65" s="471"/>
      <c r="AE65" s="471"/>
      <c r="AF65" s="471"/>
      <c r="AG65" s="471"/>
      <c r="AH65" s="471"/>
      <c r="AI65" s="471"/>
      <c r="AJ65" s="471"/>
      <c r="AK65" s="471"/>
      <c r="AL65" s="471"/>
      <c r="AM65" s="471"/>
      <c r="AN65" s="471"/>
      <c r="AO65" s="471"/>
      <c r="AP65" s="471"/>
      <c r="AQ65" s="471"/>
      <c r="AR65" s="471"/>
      <c r="AS65" s="471"/>
      <c r="AT65" s="471"/>
      <c r="AU65" s="471"/>
      <c r="AV65" s="471"/>
      <c r="AW65" s="471"/>
      <c r="AX65" s="471"/>
      <c r="AY65" s="471"/>
      <c r="AZ65" s="471"/>
      <c r="BA65" s="471"/>
      <c r="BB65" s="471"/>
      <c r="BR65"/>
      <c r="BS65"/>
      <c r="BT65"/>
      <c r="BU65"/>
      <c r="BV65"/>
      <c r="BW65"/>
      <c r="BY65" s="471"/>
      <c r="BZ65" s="471"/>
      <c r="CK65" s="620" t="str">
        <f t="shared" ref="CK65:CK70" si="70">IF(AND(D65&gt;0,OR(P65=""))," * No olvide digitar la variable Pueblos Originarios Hombres (Digite Cero si no tiene).",IF(P65&gt;D65," * La variable Pueblos Originarios Hombres no puede ser Mayor al Total Hombres.",""))</f>
        <v/>
      </c>
      <c r="CL65" s="620" t="str">
        <f t="shared" ref="CL65:CL70" si="71">IF(AND(E65&gt;0,OR(Q65=""))," * No olvide digitar la variable Pueblos Originarios Mujeres (Digite Cero si no tiene).",IF(Q65&gt;E65," * La variable Pueblos Originarios Mujeres no puede ser Mayor al Total Mujeres.",""))</f>
        <v/>
      </c>
      <c r="CM65" s="620" t="str">
        <f t="shared" ref="CM65:CM70" si="72">IF(AND(D65&gt;0,OR(R65=""))," * No olvide digitar la variable Migrantes Hombres (Digite Cero si no tiene).",IF(R65&gt;D65," * La variable Migrantes Hombres no puede ser Mayor al Total Hombres.",""))</f>
        <v/>
      </c>
      <c r="CN65" s="620" t="str">
        <f t="shared" ref="CN65:CN70" si="73">IF(AND(E65&gt;0,OR(S65=""))," * No olvide digitar la variable Migrantes Mujeres (Digite Cero si no tiene).",IF(S65&gt;E65," * La variable Migrantes Mujeres no puede ser Mayor al Total Mujeres.",""))</f>
        <v/>
      </c>
      <c r="CO65" s="470"/>
      <c r="CP65" s="470"/>
      <c r="CQ65" s="470"/>
      <c r="CR65" s="470"/>
      <c r="CS65" s="470"/>
      <c r="CT65" s="470"/>
      <c r="CU65" s="470"/>
      <c r="CV65" s="470"/>
      <c r="CW65" s="470"/>
      <c r="CX65" s="470"/>
      <c r="CY65" s="470"/>
      <c r="CZ65" s="470"/>
      <c r="DA65" s="470"/>
      <c r="DZ65" s="501">
        <f t="shared" ref="DZ65:EA70" si="74">IF(AND(D65&gt;0,OR(P65="")),1,IF(P65&gt;D65,1,0))</f>
        <v>0</v>
      </c>
      <c r="EA65" s="501">
        <f t="shared" si="74"/>
        <v>0</v>
      </c>
      <c r="EB65" s="501">
        <f t="shared" ref="EB65:EC70" si="75">IF(AND(D65&gt;0,OR(R65="")),1,IF(R65&gt;D65,1,0))</f>
        <v>0</v>
      </c>
      <c r="EC65" s="501">
        <f t="shared" si="75"/>
        <v>0</v>
      </c>
    </row>
    <row r="66" spans="1:133" ht="15" customHeight="1" x14ac:dyDescent="0.25">
      <c r="A66" s="2007"/>
      <c r="B66" s="817" t="s">
        <v>261</v>
      </c>
      <c r="C66" s="884">
        <f t="shared" si="39"/>
        <v>0</v>
      </c>
      <c r="D66" s="918">
        <f t="shared" si="68"/>
        <v>0</v>
      </c>
      <c r="E66" s="886">
        <f t="shared" si="69"/>
        <v>0</v>
      </c>
      <c r="F66" s="889"/>
      <c r="G66" s="890"/>
      <c r="H66" s="889"/>
      <c r="I66" s="890"/>
      <c r="J66" s="892"/>
      <c r="K66" s="890"/>
      <c r="L66" s="892"/>
      <c r="M66" s="890"/>
      <c r="N66" s="892"/>
      <c r="O66" s="891"/>
      <c r="P66" s="894"/>
      <c r="Q66" s="891"/>
      <c r="R66" s="889"/>
      <c r="S66" s="890"/>
      <c r="T66" s="704" t="str">
        <f t="shared" si="40"/>
        <v/>
      </c>
      <c r="U66" s="471"/>
      <c r="V66" s="471"/>
      <c r="W66" s="471"/>
      <c r="X66" s="471"/>
      <c r="Y66" s="471"/>
      <c r="Z66" s="471"/>
      <c r="AA66" s="471"/>
      <c r="AB66" s="471"/>
      <c r="AC66" s="471"/>
      <c r="AD66" s="471"/>
      <c r="AE66" s="471"/>
      <c r="AF66" s="471"/>
      <c r="AG66" s="471"/>
      <c r="AH66" s="471"/>
      <c r="AI66" s="471"/>
      <c r="AJ66" s="471"/>
      <c r="AK66" s="471"/>
      <c r="AL66" s="471"/>
      <c r="AM66" s="471"/>
      <c r="AN66" s="471"/>
      <c r="AO66" s="471"/>
      <c r="AP66" s="471"/>
      <c r="AQ66" s="471"/>
      <c r="AR66" s="471"/>
      <c r="AS66" s="471"/>
      <c r="AT66" s="471"/>
      <c r="AU66" s="471"/>
      <c r="AV66" s="471"/>
      <c r="AW66" s="471"/>
      <c r="AX66" s="471"/>
      <c r="AY66" s="471"/>
      <c r="AZ66" s="471"/>
      <c r="BA66" s="471"/>
      <c r="BB66" s="471"/>
      <c r="BR66"/>
      <c r="BS66"/>
      <c r="BT66"/>
      <c r="BU66"/>
      <c r="BV66"/>
      <c r="BW66"/>
      <c r="BY66" s="471"/>
      <c r="BZ66" s="471"/>
      <c r="CK66" s="620" t="str">
        <f t="shared" si="70"/>
        <v/>
      </c>
      <c r="CL66" s="620" t="str">
        <f t="shared" si="71"/>
        <v/>
      </c>
      <c r="CM66" s="620" t="str">
        <f t="shared" si="72"/>
        <v/>
      </c>
      <c r="CN66" s="620" t="str">
        <f t="shared" si="73"/>
        <v/>
      </c>
      <c r="CO66" s="470"/>
      <c r="CP66" s="470"/>
      <c r="CQ66" s="470"/>
      <c r="CR66" s="470"/>
      <c r="CS66" s="470"/>
      <c r="CT66" s="470"/>
      <c r="CU66" s="470"/>
      <c r="CV66" s="470"/>
      <c r="CW66" s="470"/>
      <c r="CX66" s="470"/>
      <c r="CY66" s="470"/>
      <c r="CZ66" s="470"/>
      <c r="DA66" s="470"/>
      <c r="DZ66" s="501">
        <f t="shared" si="74"/>
        <v>0</v>
      </c>
      <c r="EA66" s="501">
        <f t="shared" si="74"/>
        <v>0</v>
      </c>
      <c r="EB66" s="501">
        <f t="shared" si="75"/>
        <v>0</v>
      </c>
      <c r="EC66" s="501">
        <f t="shared" si="75"/>
        <v>0</v>
      </c>
    </row>
    <row r="67" spans="1:133" ht="15" customHeight="1" x14ac:dyDescent="0.25">
      <c r="A67" s="2007"/>
      <c r="B67" s="817" t="s">
        <v>262</v>
      </c>
      <c r="C67" s="884">
        <f t="shared" si="39"/>
        <v>0</v>
      </c>
      <c r="D67" s="918">
        <f t="shared" si="68"/>
        <v>0</v>
      </c>
      <c r="E67" s="886">
        <f t="shared" si="69"/>
        <v>0</v>
      </c>
      <c r="F67" s="889"/>
      <c r="G67" s="890"/>
      <c r="H67" s="889"/>
      <c r="I67" s="890"/>
      <c r="J67" s="892"/>
      <c r="K67" s="890"/>
      <c r="L67" s="892"/>
      <c r="M67" s="890"/>
      <c r="N67" s="892"/>
      <c r="O67" s="891"/>
      <c r="P67" s="894"/>
      <c r="Q67" s="891"/>
      <c r="R67" s="889"/>
      <c r="S67" s="890"/>
      <c r="T67" s="704" t="str">
        <f t="shared" si="40"/>
        <v/>
      </c>
      <c r="U67" s="471"/>
      <c r="V67" s="471"/>
      <c r="W67" s="471"/>
      <c r="X67" s="471"/>
      <c r="Y67" s="471"/>
      <c r="Z67" s="471"/>
      <c r="AA67" s="471"/>
      <c r="AB67" s="471"/>
      <c r="AC67" s="471"/>
      <c r="AD67" s="471"/>
      <c r="AE67" s="471"/>
      <c r="AF67" s="471"/>
      <c r="AG67" s="471"/>
      <c r="AH67" s="471"/>
      <c r="AI67" s="471"/>
      <c r="AJ67" s="471"/>
      <c r="AK67" s="471"/>
      <c r="AL67" s="471"/>
      <c r="AM67" s="471"/>
      <c r="AN67" s="471"/>
      <c r="AO67" s="471"/>
      <c r="AP67" s="471"/>
      <c r="AQ67" s="471"/>
      <c r="AR67" s="471"/>
      <c r="AS67" s="471"/>
      <c r="AT67" s="471"/>
      <c r="AU67" s="471"/>
      <c r="AV67" s="471"/>
      <c r="AW67" s="471"/>
      <c r="AX67" s="471"/>
      <c r="AY67" s="471"/>
      <c r="AZ67" s="471"/>
      <c r="BA67" s="471"/>
      <c r="BB67" s="471"/>
      <c r="BR67"/>
      <c r="BS67"/>
      <c r="BT67"/>
      <c r="BU67"/>
      <c r="BV67"/>
      <c r="BW67"/>
      <c r="BY67" s="471"/>
      <c r="BZ67" s="471"/>
      <c r="CK67" s="620" t="str">
        <f t="shared" si="70"/>
        <v/>
      </c>
      <c r="CL67" s="620" t="str">
        <f t="shared" si="71"/>
        <v/>
      </c>
      <c r="CM67" s="620" t="str">
        <f t="shared" si="72"/>
        <v/>
      </c>
      <c r="CN67" s="620" t="str">
        <f t="shared" si="73"/>
        <v/>
      </c>
      <c r="CO67" s="470"/>
      <c r="CP67" s="470"/>
      <c r="CQ67" s="470"/>
      <c r="CR67" s="470"/>
      <c r="CS67" s="470"/>
      <c r="CT67" s="470"/>
      <c r="CU67" s="470"/>
      <c r="CV67" s="470"/>
      <c r="CW67" s="470"/>
      <c r="CX67" s="470"/>
      <c r="CY67" s="470"/>
      <c r="CZ67" s="470"/>
      <c r="DA67" s="470"/>
      <c r="DZ67" s="501">
        <f t="shared" si="74"/>
        <v>0</v>
      </c>
      <c r="EA67" s="501">
        <f t="shared" si="74"/>
        <v>0</v>
      </c>
      <c r="EB67" s="501">
        <f t="shared" si="75"/>
        <v>0</v>
      </c>
      <c r="EC67" s="501">
        <f t="shared" si="75"/>
        <v>0</v>
      </c>
    </row>
    <row r="68" spans="1:133" ht="15" customHeight="1" x14ac:dyDescent="0.25">
      <c r="A68" s="2007"/>
      <c r="B68" s="817" t="s">
        <v>238</v>
      </c>
      <c r="C68" s="884">
        <f t="shared" si="39"/>
        <v>0</v>
      </c>
      <c r="D68" s="918">
        <f t="shared" si="68"/>
        <v>0</v>
      </c>
      <c r="E68" s="886">
        <f t="shared" si="69"/>
        <v>0</v>
      </c>
      <c r="F68" s="889"/>
      <c r="G68" s="890"/>
      <c r="H68" s="889"/>
      <c r="I68" s="890"/>
      <c r="J68" s="892"/>
      <c r="K68" s="890"/>
      <c r="L68" s="892"/>
      <c r="M68" s="890"/>
      <c r="N68" s="892"/>
      <c r="O68" s="891"/>
      <c r="P68" s="894"/>
      <c r="Q68" s="891"/>
      <c r="R68" s="889"/>
      <c r="S68" s="890"/>
      <c r="T68" s="704" t="str">
        <f t="shared" si="40"/>
        <v/>
      </c>
      <c r="U68" s="471"/>
      <c r="V68" s="471"/>
      <c r="W68" s="471"/>
      <c r="X68" s="471"/>
      <c r="Y68" s="471"/>
      <c r="Z68" s="471"/>
      <c r="AA68" s="471"/>
      <c r="AB68" s="471"/>
      <c r="AC68" s="471"/>
      <c r="AD68" s="471"/>
      <c r="AE68" s="471"/>
      <c r="AF68" s="471"/>
      <c r="AG68" s="471"/>
      <c r="AH68" s="471"/>
      <c r="AI68" s="471"/>
      <c r="AJ68" s="471"/>
      <c r="AK68" s="471"/>
      <c r="AL68" s="471"/>
      <c r="AM68" s="471"/>
      <c r="AN68" s="471"/>
      <c r="AO68" s="471"/>
      <c r="AP68" s="471"/>
      <c r="AQ68" s="471"/>
      <c r="AR68" s="471"/>
      <c r="AS68" s="471"/>
      <c r="AT68" s="471"/>
      <c r="AU68" s="471"/>
      <c r="AV68" s="471"/>
      <c r="AW68" s="471"/>
      <c r="AX68" s="471"/>
      <c r="AY68" s="471"/>
      <c r="AZ68" s="471"/>
      <c r="BA68" s="471"/>
      <c r="BB68" s="471"/>
      <c r="BR68"/>
      <c r="BS68"/>
      <c r="BT68"/>
      <c r="BU68"/>
      <c r="BV68"/>
      <c r="BW68"/>
      <c r="BY68" s="471"/>
      <c r="BZ68" s="471"/>
      <c r="CK68" s="620" t="str">
        <f t="shared" si="70"/>
        <v/>
      </c>
      <c r="CL68" s="620" t="str">
        <f t="shared" si="71"/>
        <v/>
      </c>
      <c r="CM68" s="620" t="str">
        <f t="shared" si="72"/>
        <v/>
      </c>
      <c r="CN68" s="620" t="str">
        <f t="shared" si="73"/>
        <v/>
      </c>
      <c r="CO68" s="470"/>
      <c r="CP68" s="470"/>
      <c r="CQ68" s="470"/>
      <c r="CR68" s="470"/>
      <c r="CS68" s="470"/>
      <c r="CT68" s="470"/>
      <c r="CU68" s="470"/>
      <c r="CV68" s="470"/>
      <c r="CW68" s="470"/>
      <c r="CX68" s="470"/>
      <c r="CY68" s="470"/>
      <c r="CZ68" s="470"/>
      <c r="DA68" s="470"/>
      <c r="DZ68" s="501">
        <f t="shared" si="74"/>
        <v>0</v>
      </c>
      <c r="EA68" s="501">
        <f t="shared" si="74"/>
        <v>0</v>
      </c>
      <c r="EB68" s="501">
        <f t="shared" si="75"/>
        <v>0</v>
      </c>
      <c r="EC68" s="501">
        <f t="shared" si="75"/>
        <v>0</v>
      </c>
    </row>
    <row r="69" spans="1:133" ht="15" customHeight="1" x14ac:dyDescent="0.25">
      <c r="A69" s="2007"/>
      <c r="B69" s="817" t="s">
        <v>263</v>
      </c>
      <c r="C69" s="884">
        <f t="shared" si="39"/>
        <v>0</v>
      </c>
      <c r="D69" s="918">
        <f t="shared" si="68"/>
        <v>0</v>
      </c>
      <c r="E69" s="886">
        <f t="shared" si="69"/>
        <v>0</v>
      </c>
      <c r="F69" s="889"/>
      <c r="G69" s="890"/>
      <c r="H69" s="889"/>
      <c r="I69" s="890"/>
      <c r="J69" s="892"/>
      <c r="K69" s="890"/>
      <c r="L69" s="892"/>
      <c r="M69" s="890"/>
      <c r="N69" s="892"/>
      <c r="O69" s="891"/>
      <c r="P69" s="894"/>
      <c r="Q69" s="891"/>
      <c r="R69" s="889"/>
      <c r="S69" s="890"/>
      <c r="T69" s="704" t="str">
        <f t="shared" si="40"/>
        <v/>
      </c>
      <c r="U69" s="471"/>
      <c r="V69" s="471"/>
      <c r="W69" s="471"/>
      <c r="X69" s="471"/>
      <c r="Y69" s="471"/>
      <c r="Z69" s="471"/>
      <c r="AA69" s="471"/>
      <c r="AB69" s="471"/>
      <c r="AC69" s="471"/>
      <c r="AD69" s="471"/>
      <c r="AE69" s="471"/>
      <c r="AF69" s="471"/>
      <c r="AG69" s="471"/>
      <c r="AH69" s="471"/>
      <c r="AI69" s="471"/>
      <c r="AJ69" s="471"/>
      <c r="AK69" s="471"/>
      <c r="AL69" s="471"/>
      <c r="AM69" s="471"/>
      <c r="AN69" s="471"/>
      <c r="AO69" s="471"/>
      <c r="AP69" s="471"/>
      <c r="AQ69" s="471"/>
      <c r="AR69" s="471"/>
      <c r="AS69" s="471"/>
      <c r="AT69" s="471"/>
      <c r="AU69" s="471"/>
      <c r="AV69" s="471"/>
      <c r="AW69" s="471"/>
      <c r="AX69" s="471"/>
      <c r="AY69" s="471"/>
      <c r="AZ69" s="471"/>
      <c r="BA69" s="471"/>
      <c r="BB69" s="471"/>
      <c r="BR69"/>
      <c r="BS69"/>
      <c r="BT69"/>
      <c r="BU69"/>
      <c r="BV69"/>
      <c r="BW69"/>
      <c r="BY69" s="471"/>
      <c r="BZ69" s="471"/>
      <c r="CK69" s="620" t="str">
        <f t="shared" si="70"/>
        <v/>
      </c>
      <c r="CL69" s="620" t="str">
        <f t="shared" si="71"/>
        <v/>
      </c>
      <c r="CM69" s="620" t="str">
        <f t="shared" si="72"/>
        <v/>
      </c>
      <c r="CN69" s="620" t="str">
        <f t="shared" si="73"/>
        <v/>
      </c>
      <c r="CO69" s="470"/>
      <c r="CP69" s="470"/>
      <c r="CQ69" s="470"/>
      <c r="CR69" s="470"/>
      <c r="CS69" s="470"/>
      <c r="CT69" s="470"/>
      <c r="CU69" s="470"/>
      <c r="CV69" s="470"/>
      <c r="CW69" s="470"/>
      <c r="CX69" s="470"/>
      <c r="CY69" s="470"/>
      <c r="CZ69" s="470"/>
      <c r="DA69" s="470"/>
      <c r="DZ69" s="501">
        <f t="shared" si="74"/>
        <v>0</v>
      </c>
      <c r="EA69" s="501">
        <f t="shared" si="74"/>
        <v>0</v>
      </c>
      <c r="EB69" s="501">
        <f t="shared" si="75"/>
        <v>0</v>
      </c>
      <c r="EC69" s="501">
        <f t="shared" si="75"/>
        <v>0</v>
      </c>
    </row>
    <row r="70" spans="1:133" ht="15" customHeight="1" x14ac:dyDescent="0.25">
      <c r="A70" s="2007"/>
      <c r="B70" s="830" t="s">
        <v>125</v>
      </c>
      <c r="C70" s="920">
        <f t="shared" si="39"/>
        <v>0</v>
      </c>
      <c r="D70" s="921">
        <f t="shared" si="68"/>
        <v>0</v>
      </c>
      <c r="E70" s="922">
        <f>+G70+I70+K70+M70+O70</f>
        <v>0</v>
      </c>
      <c r="F70" s="832"/>
      <c r="G70" s="834"/>
      <c r="H70" s="832"/>
      <c r="I70" s="834"/>
      <c r="J70" s="836"/>
      <c r="K70" s="834"/>
      <c r="L70" s="836"/>
      <c r="M70" s="834"/>
      <c r="N70" s="836"/>
      <c r="O70" s="835"/>
      <c r="P70" s="839"/>
      <c r="Q70" s="835"/>
      <c r="R70" s="832"/>
      <c r="S70" s="834"/>
      <c r="T70" s="704" t="str">
        <f>CK70&amp;CL70&amp;CM70&amp;CN70</f>
        <v/>
      </c>
      <c r="U70" s="471"/>
      <c r="V70" s="471"/>
      <c r="W70" s="471"/>
      <c r="X70" s="471"/>
      <c r="Y70" s="471"/>
      <c r="Z70" s="471"/>
      <c r="AA70" s="471"/>
      <c r="AB70" s="471"/>
      <c r="AC70" s="471"/>
      <c r="AD70" s="471"/>
      <c r="AE70" s="471"/>
      <c r="AF70" s="471"/>
      <c r="AG70" s="471"/>
      <c r="AH70" s="471"/>
      <c r="AI70" s="471"/>
      <c r="AJ70" s="471"/>
      <c r="AK70" s="471"/>
      <c r="AL70" s="471"/>
      <c r="AM70" s="471"/>
      <c r="AN70" s="471"/>
      <c r="AO70" s="471"/>
      <c r="AP70" s="471"/>
      <c r="AQ70" s="471"/>
      <c r="AR70" s="471"/>
      <c r="AS70" s="471"/>
      <c r="AT70" s="471"/>
      <c r="AU70" s="471"/>
      <c r="AV70" s="471"/>
      <c r="AW70" s="471"/>
      <c r="AX70" s="471"/>
      <c r="AY70" s="471"/>
      <c r="AZ70" s="471"/>
      <c r="BA70" s="471"/>
      <c r="BB70" s="471"/>
      <c r="BR70"/>
      <c r="BS70"/>
      <c r="BT70"/>
      <c r="BU70"/>
      <c r="BV70"/>
      <c r="BW70"/>
      <c r="BY70" s="471"/>
      <c r="BZ70" s="471"/>
      <c r="CK70" s="620" t="str">
        <f t="shared" si="70"/>
        <v/>
      </c>
      <c r="CL70" s="620" t="str">
        <f t="shared" si="71"/>
        <v/>
      </c>
      <c r="CM70" s="620" t="str">
        <f t="shared" si="72"/>
        <v/>
      </c>
      <c r="CN70" s="620" t="str">
        <f t="shared" si="73"/>
        <v/>
      </c>
      <c r="CO70" s="470"/>
      <c r="CP70" s="470"/>
      <c r="CQ70" s="470"/>
      <c r="CR70" s="470"/>
      <c r="CS70" s="470"/>
      <c r="CT70" s="470"/>
      <c r="CU70" s="470"/>
      <c r="CV70" s="470"/>
      <c r="CW70" s="470"/>
      <c r="CX70" s="470"/>
      <c r="CY70" s="470"/>
      <c r="CZ70" s="470"/>
      <c r="DA70" s="470"/>
      <c r="DZ70" s="501">
        <f t="shared" si="74"/>
        <v>0</v>
      </c>
      <c r="EA70" s="501">
        <f t="shared" si="74"/>
        <v>0</v>
      </c>
      <c r="EB70" s="501">
        <f t="shared" si="75"/>
        <v>0</v>
      </c>
      <c r="EC70" s="501">
        <f t="shared" si="75"/>
        <v>0</v>
      </c>
    </row>
    <row r="71" spans="1:133" ht="15" customHeight="1" x14ac:dyDescent="0.25">
      <c r="A71" s="2007"/>
      <c r="B71" s="841" t="s">
        <v>264</v>
      </c>
      <c r="C71" s="899">
        <f>+D71+E71</f>
        <v>0</v>
      </c>
      <c r="D71" s="903">
        <f>+F71+H71+J71+L71+N71</f>
        <v>0</v>
      </c>
      <c r="E71" s="904">
        <f>+G71+I71+K71+M71+O71</f>
        <v>0</v>
      </c>
      <c r="F71" s="858">
        <f>SUM(F65:F70)</f>
        <v>0</v>
      </c>
      <c r="G71" s="861">
        <f t="shared" ref="G71:S71" si="76">SUM(G65:G70)</f>
        <v>0</v>
      </c>
      <c r="H71" s="858">
        <f t="shared" ref="H71:I71" si="77">SUM(H65:H70)</f>
        <v>0</v>
      </c>
      <c r="I71" s="861">
        <f t="shared" si="77"/>
        <v>0</v>
      </c>
      <c r="J71" s="862">
        <f t="shared" ref="J71:K71" si="78">SUM(J65:J70)</f>
        <v>0</v>
      </c>
      <c r="K71" s="861">
        <f t="shared" si="78"/>
        <v>0</v>
      </c>
      <c r="L71" s="862">
        <f t="shared" ref="L71:M71" si="79">SUM(L65:L70)</f>
        <v>0</v>
      </c>
      <c r="M71" s="861">
        <f t="shared" si="79"/>
        <v>0</v>
      </c>
      <c r="N71" s="862">
        <f t="shared" si="76"/>
        <v>0</v>
      </c>
      <c r="O71" s="860">
        <f t="shared" si="76"/>
        <v>0</v>
      </c>
      <c r="P71" s="865">
        <f t="shared" si="76"/>
        <v>0</v>
      </c>
      <c r="Q71" s="860">
        <f t="shared" si="76"/>
        <v>0</v>
      </c>
      <c r="R71" s="858">
        <f t="shared" si="76"/>
        <v>0</v>
      </c>
      <c r="S71" s="861">
        <f t="shared" si="76"/>
        <v>0</v>
      </c>
      <c r="T71" s="704"/>
      <c r="U71" s="4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 s="471"/>
      <c r="AK71" s="471"/>
      <c r="AL71" s="471"/>
      <c r="AM71" s="471"/>
      <c r="AN71" s="471"/>
      <c r="AO71" s="471"/>
      <c r="AP71" s="471"/>
      <c r="AQ71" s="471"/>
      <c r="AR71" s="471"/>
      <c r="AS71" s="471"/>
      <c r="AT71" s="471"/>
      <c r="AU71" s="471"/>
      <c r="AV71" s="471"/>
      <c r="AW71" s="471"/>
      <c r="AX71" s="471"/>
      <c r="AY71" s="471"/>
      <c r="AZ71" s="471"/>
      <c r="BA71" s="471"/>
      <c r="BB71" s="471"/>
      <c r="BR71"/>
      <c r="BS71"/>
      <c r="BT71"/>
      <c r="BU71"/>
      <c r="BV71"/>
      <c r="BW71"/>
      <c r="BY71" s="471"/>
      <c r="BZ71" s="471"/>
      <c r="CK71" s="783"/>
      <c r="CL71" s="783"/>
      <c r="CM71" s="783"/>
      <c r="CN71" s="783"/>
      <c r="CO71" s="470"/>
      <c r="CP71" s="470"/>
      <c r="CQ71" s="470"/>
      <c r="CR71" s="470"/>
      <c r="CS71" s="470"/>
      <c r="CT71" s="470"/>
      <c r="CU71" s="470"/>
      <c r="CV71" s="470"/>
      <c r="CW71" s="470"/>
      <c r="CX71" s="470"/>
      <c r="CY71" s="470"/>
      <c r="CZ71" s="470"/>
      <c r="DA71" s="470"/>
      <c r="DZ71" s="620"/>
      <c r="EA71" s="620"/>
      <c r="EB71" s="620"/>
      <c r="EC71" s="620"/>
    </row>
    <row r="72" spans="1:133" ht="15" customHeight="1" x14ac:dyDescent="0.25">
      <c r="A72" s="2007"/>
      <c r="B72" s="857" t="s">
        <v>265</v>
      </c>
      <c r="C72" s="899">
        <f t="shared" si="39"/>
        <v>0</v>
      </c>
      <c r="D72" s="903">
        <f>+F72+H72+J72+L72+N72</f>
        <v>0</v>
      </c>
      <c r="E72" s="904">
        <f>+G72+I72+K72+M72+O72</f>
        <v>0</v>
      </c>
      <c r="F72" s="809"/>
      <c r="G72" s="810"/>
      <c r="H72" s="809"/>
      <c r="I72" s="810"/>
      <c r="J72" s="816"/>
      <c r="K72" s="810"/>
      <c r="L72" s="816"/>
      <c r="M72" s="810"/>
      <c r="N72" s="816"/>
      <c r="O72" s="877"/>
      <c r="P72" s="814"/>
      <c r="Q72" s="877"/>
      <c r="R72" s="809"/>
      <c r="S72" s="810"/>
      <c r="T72" s="704" t="str">
        <f>CK72&amp;CL72&amp;CM72&amp;CN72</f>
        <v/>
      </c>
      <c r="U72" s="471"/>
      <c r="V72" s="471"/>
      <c r="W72" s="471"/>
      <c r="X72" s="471"/>
      <c r="Y72" s="471"/>
      <c r="Z72" s="471"/>
      <c r="AA72" s="471"/>
      <c r="AB72" s="471"/>
      <c r="AC72" s="471"/>
      <c r="AD72" s="471"/>
      <c r="AE72" s="471"/>
      <c r="AF72" s="471"/>
      <c r="AG72" s="471"/>
      <c r="AH72" s="471"/>
      <c r="AI72" s="471"/>
      <c r="AJ72" s="471"/>
      <c r="AK72" s="471"/>
      <c r="AL72" s="471"/>
      <c r="AM72" s="471"/>
      <c r="AN72" s="471"/>
      <c r="AO72" s="471"/>
      <c r="AP72" s="471"/>
      <c r="AQ72" s="471"/>
      <c r="AR72" s="471"/>
      <c r="AS72" s="471"/>
      <c r="AT72" s="471"/>
      <c r="AU72" s="471"/>
      <c r="AV72" s="471"/>
      <c r="AW72" s="471"/>
      <c r="AX72" s="471"/>
      <c r="AY72" s="471"/>
      <c r="AZ72" s="471"/>
      <c r="BA72" s="471"/>
      <c r="BB72" s="471"/>
      <c r="BR72"/>
      <c r="BS72"/>
      <c r="BT72"/>
      <c r="BU72"/>
      <c r="BV72"/>
      <c r="BW72"/>
      <c r="BY72" s="471"/>
      <c r="BZ72" s="471"/>
      <c r="CK72" s="620" t="str">
        <f>IF(AND(D72&gt;0,OR(P72=""))," * No olvide digitar la variable Pueblos Originarios Hombres (Digite Cero si no tiene).",IF(P72&gt;D72," * La variable Pueblos Originarios Hombres no puede ser Mayor al Total Hombres.",""))</f>
        <v/>
      </c>
      <c r="CL72" s="620" t="str">
        <f>IF(AND(E72&gt;0,OR(Q72=""))," * No olvide digitar la variable Pueblos Originarios Mujeres (Digite Cero si no tiene).",IF(Q72&gt;E72," * La variable Pueblos Originarios Mujeres no puede ser Mayor al Total Mujeres.",""))</f>
        <v/>
      </c>
      <c r="CM72" s="620" t="str">
        <f>IF(AND(D72&gt;0,OR(R72=""))," * No olvide digitar la variable Migrantes Hombres (Digite Cero si no tiene).",IF(R72&gt;D72," * La variable Migrantes Hombres no puede ser Mayor al Total Hombres.",""))</f>
        <v/>
      </c>
      <c r="CN72" s="620" t="str">
        <f>IF(AND(E72&gt;0,OR(S72=""))," * No olvide digitar la variable Migrantes Mujeres (Digite Cero si no tiene).",IF(S72&gt;E72," * La variable Migrantes Mujeres no puede ser Mayor al Total Mujeres.",""))</f>
        <v/>
      </c>
      <c r="CO72" s="470"/>
      <c r="CP72" s="470"/>
      <c r="CQ72" s="470"/>
      <c r="CR72" s="470"/>
      <c r="CS72" s="470"/>
      <c r="CT72" s="470"/>
      <c r="CU72" s="470"/>
      <c r="CV72" s="470"/>
      <c r="CW72" s="470"/>
      <c r="CX72" s="470"/>
      <c r="CY72" s="470"/>
      <c r="CZ72" s="470"/>
      <c r="DA72" s="470"/>
      <c r="DZ72" s="501">
        <f>IF(AND(D72&gt;0,OR(P72="")),1,IF(P72&gt;D72,1,0))</f>
        <v>0</v>
      </c>
      <c r="EA72" s="501">
        <f>IF(AND(E72&gt;0,OR(Q72="")),1,IF(Q72&gt;E72,1,0))</f>
        <v>0</v>
      </c>
      <c r="EB72" s="501">
        <f>IF(AND(D72&gt;0,OR(R72="")),1,IF(R72&gt;D72,1,0))</f>
        <v>0</v>
      </c>
      <c r="EC72" s="501">
        <f>IF(AND(E72&gt;0,OR(S72="")),1,IF(S72&gt;E72,1,0))</f>
        <v>0</v>
      </c>
    </row>
    <row r="73" spans="1:133" ht="15" customHeight="1" x14ac:dyDescent="0.25">
      <c r="A73" s="2008"/>
      <c r="B73" s="841" t="s">
        <v>89</v>
      </c>
      <c r="C73" s="847">
        <f>SUM(D73:E73)</f>
        <v>0</v>
      </c>
      <c r="D73" s="843">
        <f t="shared" ref="D73:S73" si="80">SUM(D65:D70)+D72</f>
        <v>0</v>
      </c>
      <c r="E73" s="904">
        <f t="shared" si="80"/>
        <v>0</v>
      </c>
      <c r="F73" s="858">
        <f t="shared" si="80"/>
        <v>0</v>
      </c>
      <c r="G73" s="861">
        <f t="shared" si="80"/>
        <v>0</v>
      </c>
      <c r="H73" s="858">
        <f t="shared" si="80"/>
        <v>0</v>
      </c>
      <c r="I73" s="861">
        <f t="shared" si="80"/>
        <v>0</v>
      </c>
      <c r="J73" s="862">
        <f t="shared" si="80"/>
        <v>0</v>
      </c>
      <c r="K73" s="861">
        <f t="shared" si="80"/>
        <v>0</v>
      </c>
      <c r="L73" s="862">
        <f t="shared" si="80"/>
        <v>0</v>
      </c>
      <c r="M73" s="861">
        <f t="shared" si="80"/>
        <v>0</v>
      </c>
      <c r="N73" s="862">
        <f t="shared" si="80"/>
        <v>0</v>
      </c>
      <c r="O73" s="860">
        <f t="shared" si="80"/>
        <v>0</v>
      </c>
      <c r="P73" s="865">
        <f>SUM(P65:P70)+P72</f>
        <v>0</v>
      </c>
      <c r="Q73" s="860">
        <f t="shared" si="80"/>
        <v>0</v>
      </c>
      <c r="R73" s="858">
        <f t="shared" si="80"/>
        <v>0</v>
      </c>
      <c r="S73" s="861">
        <f t="shared" si="80"/>
        <v>0</v>
      </c>
      <c r="T73" s="704"/>
      <c r="U73" s="471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 s="471"/>
      <c r="AK73" s="471"/>
      <c r="AL73" s="471"/>
      <c r="AM73" s="471"/>
      <c r="AN73" s="471"/>
      <c r="AO73" s="471"/>
      <c r="AP73" s="471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R73"/>
      <c r="BS73"/>
      <c r="BT73"/>
      <c r="BU73"/>
      <c r="BV73"/>
      <c r="BW73"/>
      <c r="BY73" s="471"/>
      <c r="BZ73" s="471"/>
      <c r="CK73" s="783"/>
      <c r="CL73" s="783"/>
      <c r="CM73" s="783"/>
      <c r="CN73" s="783"/>
      <c r="CO73" s="470"/>
      <c r="CP73" s="470"/>
      <c r="CQ73" s="470"/>
      <c r="CR73" s="470"/>
      <c r="CS73" s="470"/>
      <c r="CT73" s="470"/>
      <c r="CU73" s="470"/>
      <c r="CV73" s="470"/>
      <c r="CW73" s="470"/>
      <c r="CX73" s="470"/>
      <c r="CY73" s="470"/>
      <c r="CZ73" s="470"/>
      <c r="DA73" s="470"/>
      <c r="DZ73" s="620"/>
      <c r="EA73" s="620"/>
      <c r="EB73" s="620"/>
      <c r="EC73" s="620"/>
    </row>
    <row r="74" spans="1:133" ht="22.5" customHeight="1" x14ac:dyDescent="0.25">
      <c r="A74" s="1987" t="s">
        <v>241</v>
      </c>
      <c r="B74" s="1988"/>
      <c r="C74" s="902">
        <f>SUM(D74:E74)</f>
        <v>0</v>
      </c>
      <c r="D74" s="903">
        <f>+F74+H74+J74+L74+N74</f>
        <v>0</v>
      </c>
      <c r="E74" s="904">
        <f>+G74+I74+K74+M74+O74</f>
        <v>0</v>
      </c>
      <c r="F74" s="809"/>
      <c r="G74" s="810"/>
      <c r="H74" s="809"/>
      <c r="I74" s="810"/>
      <c r="J74" s="816"/>
      <c r="K74" s="810"/>
      <c r="L74" s="816"/>
      <c r="M74" s="810"/>
      <c r="N74" s="816"/>
      <c r="O74" s="877"/>
      <c r="P74" s="814"/>
      <c r="Q74" s="877"/>
      <c r="R74" s="809"/>
      <c r="S74" s="810"/>
      <c r="T74" s="704" t="str">
        <f>CK74&amp;CL74&amp;CM74&amp;CN74</f>
        <v/>
      </c>
      <c r="U74" s="471"/>
      <c r="V74" s="471"/>
      <c r="W74" s="471"/>
      <c r="X74" s="471"/>
      <c r="Y74" s="471"/>
      <c r="Z74" s="471"/>
      <c r="AA74" s="471"/>
      <c r="AB74" s="471"/>
      <c r="AC74" s="471"/>
      <c r="AD74" s="471"/>
      <c r="AE74" s="471"/>
      <c r="AF74" s="471"/>
      <c r="AG74" s="471"/>
      <c r="AH74" s="471"/>
      <c r="AI74" s="471"/>
      <c r="AJ74" s="471"/>
      <c r="AK74" s="471"/>
      <c r="AL74" s="471"/>
      <c r="AM74" s="471"/>
      <c r="AN74" s="471"/>
      <c r="AO74" s="471"/>
      <c r="AP74" s="471"/>
      <c r="AQ74" s="471"/>
      <c r="AR74" s="471"/>
      <c r="AS74" s="471"/>
      <c r="AT74" s="471"/>
      <c r="AU74" s="471"/>
      <c r="AV74" s="471"/>
      <c r="AW74" s="471"/>
      <c r="AX74" s="471"/>
      <c r="AY74" s="471"/>
      <c r="AZ74" s="471"/>
      <c r="BA74" s="471"/>
      <c r="BB74" s="471"/>
      <c r="BR74"/>
      <c r="BS74"/>
      <c r="BT74"/>
      <c r="BU74"/>
      <c r="BV74"/>
      <c r="BW74"/>
      <c r="BY74" s="471"/>
      <c r="BZ74" s="471"/>
      <c r="CK74" s="620" t="str">
        <f>IF(AND(D74&gt;0,OR(P74=""))," * No olvide digitar la variable Pueblos Originarios Hombres (Digite Cero si no tiene).",IF(P74&gt;D74," * La variable Pueblos Originarios Hombres no puede ser Mayor al Total Hombres.",""))</f>
        <v/>
      </c>
      <c r="CL74" s="620" t="str">
        <f>IF(AND(E74&gt;0,OR(Q74=""))," * No olvide digitar la variable Pueblos Originarios Mujeres (Digite Cero si no tiene).",IF(Q74&gt;E74," * La variable Pueblos Originarios Mujeres no puede ser Mayor al Total Mujeres.",""))</f>
        <v/>
      </c>
      <c r="CM74" s="620" t="str">
        <f>IF(AND(D74&gt;0,OR(R74=""))," * No olvide digitar la variable Migrantes Hombres (Digite Cero si no tiene).",IF(R74&gt;D74," * La variable Migrantes Hombres no puede ser Mayor al Total Hombres.",""))</f>
        <v/>
      </c>
      <c r="CN74" s="620" t="str">
        <f>IF(AND(E74&gt;0,OR(S74=""))," * No olvide digitar la variable Migrantes Mujeres (Digite Cero si no tiene).",IF(S74&gt;E74," * La variable Migrantes Mujeres no puede ser Mayor al Total Mujeres.",""))</f>
        <v/>
      </c>
      <c r="CO74" s="470"/>
      <c r="CP74" s="470"/>
      <c r="CQ74" s="470"/>
      <c r="CR74" s="470"/>
      <c r="CS74" s="470"/>
      <c r="CT74" s="470"/>
      <c r="CU74" s="470"/>
      <c r="CV74" s="470"/>
      <c r="CW74" s="470"/>
      <c r="CX74" s="470"/>
      <c r="CY74" s="470"/>
      <c r="CZ74" s="470"/>
      <c r="DA74" s="470"/>
      <c r="DZ74" s="501">
        <f>IF(AND(D74&gt;0,OR(P74="")),1,IF(P74&gt;D74,1,0))</f>
        <v>0</v>
      </c>
      <c r="EA74" s="501">
        <f>IF(AND(E74&gt;0,OR(Q74="")),1,IF(Q74&gt;E74,1,0))</f>
        <v>0</v>
      </c>
      <c r="EB74" s="501">
        <f>IF(AND(D74&gt;0,OR(R74="")),1,IF(R74&gt;D74,1,0))</f>
        <v>0</v>
      </c>
      <c r="EC74" s="501">
        <f>IF(AND(E74&gt;0,OR(S74="")),1,IF(S74&gt;E74,1,0))</f>
        <v>0</v>
      </c>
    </row>
    <row r="75" spans="1:133" ht="15.75" customHeight="1" x14ac:dyDescent="0.25">
      <c r="A75" s="1974" t="s">
        <v>266</v>
      </c>
      <c r="B75" s="1974"/>
      <c r="C75" s="1974"/>
      <c r="D75" s="1974"/>
      <c r="E75" s="1974"/>
      <c r="F75" s="1974"/>
      <c r="G75" s="1974"/>
      <c r="H75" s="1974"/>
      <c r="I75" s="1974"/>
      <c r="J75" s="1974"/>
      <c r="K75" s="1974"/>
      <c r="L75" s="1974"/>
      <c r="M75" s="1974"/>
      <c r="N75" s="1974"/>
      <c r="O75" s="1974"/>
      <c r="P75" s="1974"/>
      <c r="Q75" s="1974"/>
      <c r="R75" s="1974"/>
      <c r="S75" s="1974"/>
      <c r="T75" s="1974"/>
      <c r="U75" s="853"/>
      <c r="V75" s="853"/>
      <c r="W75" s="853"/>
      <c r="X75" s="853"/>
      <c r="Y75" s="853"/>
      <c r="Z75" s="853"/>
      <c r="AA75" s="853"/>
      <c r="AB75" s="853"/>
      <c r="AC75" s="853"/>
      <c r="AD75" s="853"/>
      <c r="AE75" s="853"/>
      <c r="AF75" s="853"/>
      <c r="AG75" s="853"/>
      <c r="AH75" s="853"/>
      <c r="AI75" s="853"/>
      <c r="AJ75" s="853"/>
      <c r="AK75" s="853"/>
      <c r="AL75" s="853"/>
      <c r="AM75" s="853"/>
      <c r="AN75" s="853"/>
      <c r="AO75" s="853"/>
      <c r="AP75" s="853"/>
      <c r="AQ75" s="853"/>
      <c r="AR75" s="853"/>
      <c r="AS75" s="853"/>
      <c r="AT75" s="853"/>
      <c r="AU75" s="853"/>
      <c r="AV75" s="853"/>
      <c r="CA75" s="853"/>
    </row>
    <row r="76" spans="1:133" ht="17.100000000000001" customHeight="1" x14ac:dyDescent="0.25">
      <c r="A76" s="2030" t="s">
        <v>267</v>
      </c>
      <c r="B76" s="2030"/>
      <c r="C76" s="2030"/>
      <c r="D76" s="2030"/>
      <c r="E76" s="2030"/>
      <c r="F76" s="2030"/>
      <c r="G76" s="2030"/>
      <c r="H76" s="470"/>
      <c r="I76" s="470"/>
      <c r="J76" s="470"/>
      <c r="K76" s="905"/>
      <c r="L76" s="905"/>
      <c r="M76" s="905"/>
      <c r="N76" s="905"/>
      <c r="O76" s="470"/>
      <c r="P76" s="470"/>
      <c r="Q76" s="470"/>
      <c r="R76" s="47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  <c r="AE76" s="470"/>
      <c r="AF76" s="470"/>
      <c r="AG76" s="470"/>
      <c r="AH76" s="470"/>
      <c r="AI76" s="470"/>
      <c r="AJ76" s="470"/>
      <c r="AK76" s="470"/>
      <c r="AL76" s="470"/>
      <c r="AM76" s="470"/>
      <c r="AN76" s="470"/>
      <c r="AO76" s="470"/>
      <c r="AP76" s="470"/>
      <c r="AQ76" s="470"/>
      <c r="AR76" s="470"/>
      <c r="AS76" s="470"/>
      <c r="AT76" s="470"/>
      <c r="AU76" s="470"/>
      <c r="AV76" s="470"/>
    </row>
    <row r="77" spans="1:133" ht="24.75" customHeight="1" x14ac:dyDescent="0.25">
      <c r="A77" s="1811" t="s">
        <v>268</v>
      </c>
      <c r="B77" s="1812"/>
      <c r="C77" s="906" t="s">
        <v>49</v>
      </c>
      <c r="D77" s="698" t="s">
        <v>86</v>
      </c>
      <c r="E77" s="616" t="s">
        <v>225</v>
      </c>
      <c r="F77" s="1593" t="s">
        <v>51</v>
      </c>
      <c r="G77" s="1590" t="s">
        <v>108</v>
      </c>
      <c r="H77" s="470"/>
      <c r="I77" s="470"/>
      <c r="J77" s="946"/>
      <c r="K77" s="946"/>
      <c r="L77" s="946"/>
      <c r="M77" s="947"/>
      <c r="N77" s="947"/>
      <c r="O77" s="470"/>
      <c r="P77" s="470"/>
      <c r="Q77" s="470"/>
      <c r="R77" s="470"/>
      <c r="S77" s="470"/>
      <c r="T77" s="470"/>
      <c r="U77" s="470"/>
      <c r="V77" s="470"/>
      <c r="W77" s="470"/>
      <c r="X77" s="470"/>
      <c r="Y77" s="470"/>
      <c r="Z77" s="470"/>
      <c r="AA77" s="470"/>
      <c r="AB77" s="470"/>
      <c r="AC77" s="470"/>
      <c r="AD77" s="470"/>
      <c r="AE77" s="470"/>
      <c r="AF77" s="470"/>
      <c r="AG77" s="470"/>
      <c r="AH77" s="470"/>
      <c r="AI77" s="470"/>
      <c r="AJ77" s="470"/>
      <c r="AK77" s="470"/>
      <c r="AL77" s="470"/>
      <c r="AM77" s="470"/>
      <c r="AN77" s="470"/>
      <c r="AO77" s="470"/>
      <c r="AP77" s="470"/>
      <c r="AQ77" s="470"/>
      <c r="AR77" s="470"/>
      <c r="AS77" s="470"/>
      <c r="AT77" s="470"/>
      <c r="AU77" s="470"/>
      <c r="AV77"/>
      <c r="BQ77" s="470"/>
    </row>
    <row r="78" spans="1:133" ht="15" customHeight="1" x14ac:dyDescent="0.25">
      <c r="A78" s="1874" t="s">
        <v>125</v>
      </c>
      <c r="B78" s="948" t="s">
        <v>269</v>
      </c>
      <c r="C78" s="489">
        <f>SUM(D78:E78)</f>
        <v>0</v>
      </c>
      <c r="D78" s="531"/>
      <c r="E78" s="949"/>
      <c r="F78" s="1594"/>
      <c r="G78" s="653"/>
      <c r="H78" s="471" t="str">
        <f>CA78&amp;CB78&amp;CC78&amp;CD78</f>
        <v/>
      </c>
      <c r="I78"/>
      <c r="J78"/>
      <c r="K78"/>
      <c r="L78"/>
      <c r="M78"/>
      <c r="N78"/>
      <c r="O78"/>
      <c r="P78"/>
      <c r="Q78"/>
      <c r="R78"/>
      <c r="S78"/>
      <c r="U78"/>
      <c r="V78"/>
      <c r="W78" s="471"/>
      <c r="X78" s="471"/>
      <c r="AV78"/>
      <c r="BQ78" s="470"/>
      <c r="BR78" s="471"/>
      <c r="BS78" s="471"/>
      <c r="BT78" s="471"/>
      <c r="CA78" s="620" t="str">
        <f>IF(SUM(T12,R12,P12,N12,L12,J12,H12,F12)&lt;SUM(D78,D85,D92,D99),"* La suma de Población Hombre menor de 12 meses según resultado de Evaluación no puede ser mayor que la Población Hombres bajo control de la sección A. ","")</f>
        <v/>
      </c>
      <c r="CB78" s="620" t="str">
        <f>IF(SUM(U12,S12,Q12,O12,M12,K12,I12,G12)&lt;SUM(E78,E85,E92,E99),"* La suma de Población Mujeres menor de 12 meses según resultado de Evaluación no puede ser mayor que la Población Mujeres bajo control de la sección A. ","")</f>
        <v/>
      </c>
      <c r="CC78" s="620" t="str">
        <f t="shared" ref="CC78:CC105" si="81">IF(AND(C78&gt;0,OR(F78=""))," * No olvide digitar la variable Pueblos Originarios (Digite Cero si no tiene).",IF(F78&gt;C78," * La variable Pueblos Originarios no puede ser Mayor al Total.",""))</f>
        <v/>
      </c>
      <c r="CD78" s="620" t="str">
        <f t="shared" ref="CD78:CD104" si="82">IF(AND(C78&gt;0,OR(G78=""))," * No olvide digitar la variable Migrantes (Digite Cero si no tiene).",IF(G78&gt;C78," * La variable Migrantes no puede ser Mayor al Total.",""))</f>
        <v/>
      </c>
      <c r="DP78" s="501">
        <f>IF(SUM(F12,H12,J12,L12,N12,P12,R12,T12)&lt;SUM(D78,D85,D92,D99),1,0)</f>
        <v>0</v>
      </c>
      <c r="DQ78" s="501">
        <f>IF(SUM(G12,I12,K12,M12,O12,Q12,S12,U12)&lt;SUM(E78,E85,E92,E99),1,0)</f>
        <v>0</v>
      </c>
      <c r="DR78" s="501">
        <f>IF(F78&gt;$C78,1,0)</f>
        <v>0</v>
      </c>
      <c r="DS78" s="501">
        <f>IF(G78&gt;$C78,1,0)</f>
        <v>0</v>
      </c>
      <c r="DT78" s="501">
        <f>IF(AND($C78&lt;&gt;0,F78=""),1,0)</f>
        <v>0</v>
      </c>
      <c r="DU78" s="501">
        <f>IF(AND($C78&lt;&gt;0,G78=""),1,0)</f>
        <v>0</v>
      </c>
    </row>
    <row r="79" spans="1:133" ht="15" customHeight="1" x14ac:dyDescent="0.25">
      <c r="A79" s="1975"/>
      <c r="B79" s="950" t="s">
        <v>218</v>
      </c>
      <c r="C79" s="542">
        <f t="shared" ref="C79:C102" si="83">SUM(D79:E79)</f>
        <v>0</v>
      </c>
      <c r="D79" s="531"/>
      <c r="E79" s="949"/>
      <c r="F79" s="1594"/>
      <c r="G79" s="653"/>
      <c r="H79" s="471" t="str">
        <f t="shared" ref="H79:H105" si="84">CA79&amp;CB79&amp;CC79&amp;CD79</f>
        <v/>
      </c>
      <c r="J79" s="951"/>
      <c r="K79" s="951"/>
      <c r="L79" s="951"/>
      <c r="M79" s="951"/>
      <c r="N79" s="951"/>
      <c r="AV79"/>
      <c r="BQ79" s="470"/>
      <c r="BR79" s="471"/>
      <c r="BS79" s="471"/>
      <c r="BT79" s="471"/>
      <c r="CA79" s="620" t="str">
        <f>IF(SUM(V12)&lt;SUM(D79,D86,D93,D100),"* La suma de Población Hombre de 12 a 17 meses según resultado de Evaluación no puede ser mayor que la Población Hombres bajo control de la sección A. ","")</f>
        <v/>
      </c>
      <c r="CB79" s="620" t="str">
        <f>IF(SUM(W12)&lt;SUM(E79,E86,E93,E100),"* La suma de Población Mujeres 12 a 17 meses según resultado de Evaluación no puede ser mayor que la Población Mujeres bajo control de la sección A. ","")</f>
        <v/>
      </c>
      <c r="CC79" s="620" t="str">
        <f t="shared" si="81"/>
        <v/>
      </c>
      <c r="CD79" s="620" t="str">
        <f t="shared" si="82"/>
        <v/>
      </c>
      <c r="DP79" s="501">
        <f>IF(V$12&lt;SUM(D79,D86,D93,D100),1,0)</f>
        <v>0</v>
      </c>
      <c r="DQ79" s="501">
        <f>IF(W$12&lt;SUM(E79,E86,E93,E100),1,0)</f>
        <v>0</v>
      </c>
      <c r="DR79" s="501">
        <f t="shared" ref="DR79:DR84" si="85">IF(F78&gt;$C78,1,0)</f>
        <v>0</v>
      </c>
      <c r="DS79" s="501">
        <f t="shared" ref="DS79:DS84" si="86">IF(G78&gt;$C78,1,0)</f>
        <v>0</v>
      </c>
      <c r="DT79" s="501">
        <f t="shared" ref="DT79:DT84" si="87">IF(AND($C78&lt;&gt;0,F78=""),1,0)</f>
        <v>0</v>
      </c>
      <c r="DU79" s="501">
        <f t="shared" ref="DU79:DU84" si="88">IF(AND($C78&lt;&gt;0,G78=""),1,0)</f>
        <v>0</v>
      </c>
    </row>
    <row r="80" spans="1:133" ht="15" customHeight="1" x14ac:dyDescent="0.25">
      <c r="A80" s="1976"/>
      <c r="B80" s="950" t="s">
        <v>219</v>
      </c>
      <c r="C80" s="542">
        <f t="shared" si="83"/>
        <v>0</v>
      </c>
      <c r="D80" s="531"/>
      <c r="E80" s="949"/>
      <c r="F80" s="1594"/>
      <c r="G80" s="653"/>
      <c r="H80" s="471" t="str">
        <f t="shared" si="84"/>
        <v/>
      </c>
      <c r="J80" s="951"/>
      <c r="K80" s="951"/>
      <c r="L80" s="951"/>
      <c r="M80" s="951"/>
      <c r="N80" s="951"/>
      <c r="AV80"/>
      <c r="BQ80" s="470"/>
      <c r="BR80" s="471"/>
      <c r="BS80" s="471"/>
      <c r="BT80" s="471"/>
      <c r="CA80" s="620" t="str">
        <f>IF(SUM(X12)&lt;SUM(D80,D87,D94,D101),"* La suma de Población Hombre 18 a 23 meses según resultado de Evaluación no puede ser mayor que la Población Hombres bajo control de la sección A. ","")</f>
        <v/>
      </c>
      <c r="CB80" s="620" t="str">
        <f>IF(SUM(Y12)&lt;SUM(E80,E87,E94,E101),"* La suma de Población Mujeres de 18 a 23 meses según resultado de Evaluación no puede ser mayor que la Población Mujeres bajo control de la sección A. ","")</f>
        <v/>
      </c>
      <c r="CC80" s="620" t="str">
        <f t="shared" si="81"/>
        <v/>
      </c>
      <c r="CD80" s="620" t="str">
        <f t="shared" si="82"/>
        <v/>
      </c>
      <c r="DP80" s="501">
        <f>IF(X$12&lt;SUM(D80,D87,D94,D101),1,0)</f>
        <v>0</v>
      </c>
      <c r="DQ80" s="501">
        <f>IF(Y$12&lt;SUM(E80,E87,E94,E101),1,0)</f>
        <v>0</v>
      </c>
      <c r="DR80" s="501">
        <f t="shared" si="85"/>
        <v>0</v>
      </c>
      <c r="DS80" s="501">
        <f t="shared" si="86"/>
        <v>0</v>
      </c>
      <c r="DT80" s="501">
        <f t="shared" si="87"/>
        <v>0</v>
      </c>
      <c r="DU80" s="501">
        <f t="shared" si="88"/>
        <v>0</v>
      </c>
    </row>
    <row r="81" spans="1:125" ht="15" customHeight="1" x14ac:dyDescent="0.25">
      <c r="A81" s="1976"/>
      <c r="B81" s="950" t="s">
        <v>220</v>
      </c>
      <c r="C81" s="542">
        <f t="shared" si="83"/>
        <v>0</v>
      </c>
      <c r="D81" s="531"/>
      <c r="E81" s="949"/>
      <c r="F81" s="1594"/>
      <c r="G81" s="653"/>
      <c r="H81" s="471" t="str">
        <f t="shared" si="84"/>
        <v/>
      </c>
      <c r="J81" s="951"/>
      <c r="K81" s="951"/>
      <c r="L81" s="951"/>
      <c r="M81" s="951"/>
      <c r="N81" s="951"/>
      <c r="AV81"/>
      <c r="BQ81" s="470"/>
      <c r="BR81" s="471"/>
      <c r="BS81" s="471"/>
      <c r="BT81" s="471"/>
      <c r="CA81" s="620" t="str">
        <f>IF(SUM(Z12)&lt;SUM(D81,D88,D95,D102),"* La suma de Población Hombre 24 a 35 meses según resultado de Evaluación no puede ser mayor que la Población Hombres bajo control de la sección A. ","")</f>
        <v/>
      </c>
      <c r="CB81" s="620" t="str">
        <f>IF(SUM(AA12)&lt;SUM(E81,E88,E95,E102),"* La suma de Población Mujeres 24 a 35 meses según resultado de Evaluación no puede ser mayor que la Población Mujeres bajo control de la sección A. ","")</f>
        <v/>
      </c>
      <c r="CC81" s="620" t="str">
        <f t="shared" si="81"/>
        <v/>
      </c>
      <c r="CD81" s="620" t="str">
        <f t="shared" si="82"/>
        <v/>
      </c>
      <c r="DP81" s="501">
        <f>IF(Z$12&lt;SUM(D81,D88,D95,D102),1,0)</f>
        <v>0</v>
      </c>
      <c r="DQ81" s="501">
        <f>IF(AA$12&lt;SUM(E81,E88,E95,E101),1,0)</f>
        <v>0</v>
      </c>
      <c r="DR81" s="501">
        <f t="shared" si="85"/>
        <v>0</v>
      </c>
      <c r="DS81" s="501">
        <f t="shared" si="86"/>
        <v>0</v>
      </c>
      <c r="DT81" s="501">
        <f t="shared" si="87"/>
        <v>0</v>
      </c>
      <c r="DU81" s="501">
        <f t="shared" si="88"/>
        <v>0</v>
      </c>
    </row>
    <row r="82" spans="1:125" ht="15" customHeight="1" x14ac:dyDescent="0.25">
      <c r="A82" s="1976"/>
      <c r="B82" s="952" t="s">
        <v>221</v>
      </c>
      <c r="C82" s="654">
        <f t="shared" si="83"/>
        <v>0</v>
      </c>
      <c r="D82" s="537"/>
      <c r="E82" s="953"/>
      <c r="F82" s="1595"/>
      <c r="G82" s="778"/>
      <c r="H82" s="471" t="str">
        <f t="shared" si="84"/>
        <v/>
      </c>
      <c r="J82" s="951"/>
      <c r="K82" s="951"/>
      <c r="L82" s="951"/>
      <c r="M82" s="951"/>
      <c r="N82" s="951"/>
      <c r="AV82"/>
      <c r="BQ82" s="470"/>
      <c r="BR82" s="471"/>
      <c r="BS82" s="471"/>
      <c r="BT82" s="471"/>
      <c r="CA82" s="620" t="str">
        <f>IF(SUM(AB12)&lt;SUM(D82,D89,D96,D103),"* La suma de Población Hombre 36 a 41 meses según resultado de Evaluación no puede ser mayor que la Población Hombres bajo control de la sección A. ","")</f>
        <v/>
      </c>
      <c r="CB82" s="620" t="str">
        <f>IF(SUM(AC12)&lt;SUM(E82,E89,E96,E103),"* La suma de Población Mujeres 36 a 41 meses según resultado de Evaluación no puede ser mayor que la Población Mujeres bajo control de la sección A. ","")</f>
        <v/>
      </c>
      <c r="CC82" s="620" t="str">
        <f t="shared" si="81"/>
        <v/>
      </c>
      <c r="CD82" s="620" t="str">
        <f t="shared" si="82"/>
        <v/>
      </c>
      <c r="DP82" s="501">
        <f>IF(AB$12&lt;SUM(D82,D89,D96,D103),1,0)</f>
        <v>0</v>
      </c>
      <c r="DQ82" s="501">
        <f>IF(AC$12&lt;SUM(E82,E89,E96,E103),1,0)</f>
        <v>0</v>
      </c>
      <c r="DR82" s="501">
        <f t="shared" si="85"/>
        <v>0</v>
      </c>
      <c r="DS82" s="501">
        <f t="shared" si="86"/>
        <v>0</v>
      </c>
      <c r="DT82" s="501">
        <f t="shared" si="87"/>
        <v>0</v>
      </c>
      <c r="DU82" s="501">
        <f t="shared" si="88"/>
        <v>0</v>
      </c>
    </row>
    <row r="83" spans="1:125" ht="15" customHeight="1" x14ac:dyDescent="0.25">
      <c r="A83" s="1976"/>
      <c r="B83" s="952" t="s">
        <v>222</v>
      </c>
      <c r="C83" s="654">
        <f>SUM(D83:E83)</f>
        <v>0</v>
      </c>
      <c r="D83" s="537"/>
      <c r="E83" s="953"/>
      <c r="F83" s="1595"/>
      <c r="G83" s="778"/>
      <c r="H83" s="471" t="str">
        <f t="shared" si="84"/>
        <v/>
      </c>
      <c r="J83" s="951"/>
      <c r="K83" s="951"/>
      <c r="L83" s="951"/>
      <c r="M83" s="951"/>
      <c r="N83" s="951"/>
      <c r="AV83"/>
      <c r="BQ83" s="470"/>
      <c r="BR83" s="471"/>
      <c r="BS83" s="471"/>
      <c r="BT83" s="471"/>
      <c r="CA83" s="620" t="str">
        <f>IF(SUM(AD12)&lt;SUM(D83,D90,D97,D104),"* La suma de Población Hombre 42 a 47 meses según resultado de Evaluación no puede ser mayor que la Población Hombres bajo control de la sección A. ","")</f>
        <v/>
      </c>
      <c r="CB83" s="620" t="str">
        <f>IF(SUM(AE12)&lt;SUM(E83,E90,E97,E104),"* La suma de Población Mujeres 42 a 47 meses según resultado de Evaluación no puede ser mayor que la Población Mujeres bajo control de la sección A. ","")</f>
        <v/>
      </c>
      <c r="CC83" s="620" t="str">
        <f t="shared" si="81"/>
        <v/>
      </c>
      <c r="CD83" s="620" t="str">
        <f t="shared" si="82"/>
        <v/>
      </c>
      <c r="DP83" s="501">
        <f>IF(AD$12&lt;SUM(D83,D90,D97,D104),1,0)</f>
        <v>0</v>
      </c>
      <c r="DQ83" s="501">
        <f>IF(AE$12&lt;SUM(E83,E90,E97,E104),1,0)</f>
        <v>0</v>
      </c>
      <c r="DR83" s="501">
        <f t="shared" si="85"/>
        <v>0</v>
      </c>
      <c r="DS83" s="501">
        <f t="shared" si="86"/>
        <v>0</v>
      </c>
      <c r="DT83" s="501">
        <f t="shared" si="87"/>
        <v>0</v>
      </c>
      <c r="DU83" s="501">
        <f t="shared" si="88"/>
        <v>0</v>
      </c>
    </row>
    <row r="84" spans="1:125" ht="15" customHeight="1" x14ac:dyDescent="0.25">
      <c r="A84" s="1875"/>
      <c r="B84" s="954" t="s">
        <v>223</v>
      </c>
      <c r="C84" s="558">
        <f t="shared" si="83"/>
        <v>0</v>
      </c>
      <c r="D84" s="560"/>
      <c r="E84" s="955"/>
      <c r="F84" s="1596"/>
      <c r="G84" s="656"/>
      <c r="H84" s="471" t="str">
        <f t="shared" si="84"/>
        <v/>
      </c>
      <c r="J84" s="951"/>
      <c r="K84" s="951"/>
      <c r="L84" s="951"/>
      <c r="M84" s="951"/>
      <c r="N84" s="951"/>
      <c r="AV84"/>
      <c r="BQ84" s="470"/>
      <c r="BR84" s="471"/>
      <c r="BS84" s="471"/>
      <c r="BT84" s="471"/>
      <c r="CA84" s="620" t="str">
        <f>IF(SUM(AF12)&lt;SUM(D84,D91,D98,D105),"* La suma de Población Hombre 48 a 59 meses según resultado de Evaluación no puede ser mayor que la Población Hombres bajo control de la sección A. ","")</f>
        <v/>
      </c>
      <c r="CB84" s="620" t="str">
        <f>IF(SUM(AG12)&lt;SUM(E84,E91,E98,E105),"* La suma de Población Mujeres 48 a 59 meses según resultado de Evaluación no puede ser mayor que la Población Mujeres bajo control de la sección A. ","")</f>
        <v/>
      </c>
      <c r="CC84" s="620" t="str">
        <f t="shared" si="81"/>
        <v/>
      </c>
      <c r="CD84" s="620" t="str">
        <f t="shared" si="82"/>
        <v/>
      </c>
      <c r="DP84" s="501">
        <f>IF(AF$12&lt;SUM(D84,D91,D98,D105),1,0)</f>
        <v>0</v>
      </c>
      <c r="DQ84" s="501">
        <f>IF(AG$12&lt;SUM(E84,E91,E98,E105),1,0)</f>
        <v>0</v>
      </c>
      <c r="DR84" s="501">
        <f t="shared" si="85"/>
        <v>0</v>
      </c>
      <c r="DS84" s="501">
        <f t="shared" si="86"/>
        <v>0</v>
      </c>
      <c r="DT84" s="501">
        <f t="shared" si="87"/>
        <v>0</v>
      </c>
      <c r="DU84" s="501">
        <f t="shared" si="88"/>
        <v>0</v>
      </c>
    </row>
    <row r="85" spans="1:125" ht="15" customHeight="1" x14ac:dyDescent="0.25">
      <c r="A85" s="1874" t="s">
        <v>270</v>
      </c>
      <c r="B85" s="948" t="s">
        <v>269</v>
      </c>
      <c r="C85" s="489">
        <f>SUM(D85:E85)</f>
        <v>0</v>
      </c>
      <c r="D85" s="520"/>
      <c r="E85" s="956"/>
      <c r="F85" s="1597"/>
      <c r="G85" s="1599"/>
      <c r="H85" s="471" t="str">
        <f t="shared" si="84"/>
        <v/>
      </c>
      <c r="J85" s="957"/>
      <c r="K85" s="957"/>
      <c r="L85" s="957"/>
      <c r="M85" s="957"/>
      <c r="N85" s="957"/>
      <c r="AV85"/>
      <c r="BQ85" s="470"/>
      <c r="BR85" s="471"/>
      <c r="BS85" s="471"/>
      <c r="BT85" s="471"/>
      <c r="CC85" s="620" t="str">
        <f>IF(AND(C85&gt;0,OR(F85=""))," * No olvide digitar la variable Pueblos Originarios (Digite Cero si no tiene).",IF(F85&gt;C85," * La variable Pueblos Originarios no puede ser Mayor al Total.",""))</f>
        <v/>
      </c>
      <c r="CD85" s="620" t="str">
        <f t="shared" si="82"/>
        <v/>
      </c>
      <c r="DP85" s="501"/>
      <c r="DQ85" s="501"/>
      <c r="DR85" s="501"/>
      <c r="DS85" s="501"/>
      <c r="DT85" s="501"/>
      <c r="DU85" s="501"/>
    </row>
    <row r="86" spans="1:125" ht="15" customHeight="1" x14ac:dyDescent="0.25">
      <c r="A86" s="1975"/>
      <c r="B86" s="950" t="s">
        <v>218</v>
      </c>
      <c r="C86" s="542">
        <f t="shared" si="83"/>
        <v>0</v>
      </c>
      <c r="D86" s="531"/>
      <c r="E86" s="949"/>
      <c r="F86" s="1594"/>
      <c r="G86" s="653"/>
      <c r="H86" s="471" t="str">
        <f t="shared" si="84"/>
        <v/>
      </c>
      <c r="J86" s="951"/>
      <c r="K86" s="951"/>
      <c r="L86" s="951"/>
      <c r="M86" s="951"/>
      <c r="N86" s="951"/>
      <c r="AV86"/>
      <c r="BQ86" s="470"/>
      <c r="BR86" s="471"/>
      <c r="BS86" s="471"/>
      <c r="BT86" s="471"/>
      <c r="CC86" s="620" t="str">
        <f t="shared" si="81"/>
        <v/>
      </c>
      <c r="CD86" s="620" t="str">
        <f t="shared" si="82"/>
        <v/>
      </c>
      <c r="DR86" s="501">
        <f t="shared" ref="DR86:DR106" si="89">IF(F85&gt;$C85,1,0)</f>
        <v>0</v>
      </c>
      <c r="DS86" s="501">
        <f t="shared" ref="DS86:DS106" si="90">IF(G85&gt;$C85,1,0)</f>
        <v>0</v>
      </c>
      <c r="DT86" s="501">
        <f t="shared" ref="DT86:DT106" si="91">IF(AND($C85&lt;&gt;0,F85=""),1,0)</f>
        <v>0</v>
      </c>
      <c r="DU86" s="501">
        <f t="shared" ref="DU86:DU106" si="92">IF(AND($C85&lt;&gt;0,G85=""),1,0)</f>
        <v>0</v>
      </c>
    </row>
    <row r="87" spans="1:125" ht="15" customHeight="1" x14ac:dyDescent="0.25">
      <c r="A87" s="1976"/>
      <c r="B87" s="950" t="s">
        <v>219</v>
      </c>
      <c r="C87" s="542">
        <f t="shared" si="83"/>
        <v>0</v>
      </c>
      <c r="D87" s="531"/>
      <c r="E87" s="949"/>
      <c r="F87" s="1594"/>
      <c r="G87" s="653"/>
      <c r="H87" s="471" t="str">
        <f t="shared" si="84"/>
        <v/>
      </c>
      <c r="J87" s="951"/>
      <c r="K87" s="951"/>
      <c r="L87" s="951"/>
      <c r="M87" s="951"/>
      <c r="N87" s="951"/>
      <c r="AV87"/>
      <c r="BQ87" s="470"/>
      <c r="BR87" s="471"/>
      <c r="BS87" s="471"/>
      <c r="BT87" s="471"/>
      <c r="CC87" s="620" t="str">
        <f t="shared" si="81"/>
        <v/>
      </c>
      <c r="CD87" s="620" t="str">
        <f t="shared" si="82"/>
        <v/>
      </c>
      <c r="DR87" s="501">
        <f t="shared" si="89"/>
        <v>0</v>
      </c>
      <c r="DS87" s="501">
        <f t="shared" si="90"/>
        <v>0</v>
      </c>
      <c r="DT87" s="501">
        <f t="shared" si="91"/>
        <v>0</v>
      </c>
      <c r="DU87" s="501">
        <f t="shared" si="92"/>
        <v>0</v>
      </c>
    </row>
    <row r="88" spans="1:125" ht="15" customHeight="1" x14ac:dyDescent="0.25">
      <c r="A88" s="1976"/>
      <c r="B88" s="950" t="s">
        <v>220</v>
      </c>
      <c r="C88" s="542">
        <f t="shared" si="83"/>
        <v>0</v>
      </c>
      <c r="D88" s="531"/>
      <c r="E88" s="949"/>
      <c r="F88" s="1594"/>
      <c r="G88" s="653"/>
      <c r="H88" s="471" t="str">
        <f t="shared" si="84"/>
        <v/>
      </c>
      <c r="J88" s="951"/>
      <c r="K88" s="951"/>
      <c r="L88" s="951"/>
      <c r="M88" s="951"/>
      <c r="N88" s="951"/>
      <c r="AV88"/>
      <c r="BQ88" s="470"/>
      <c r="BR88" s="471"/>
      <c r="BS88" s="471"/>
      <c r="BT88" s="471"/>
      <c r="CC88" s="620" t="str">
        <f t="shared" si="81"/>
        <v/>
      </c>
      <c r="CD88" s="620" t="str">
        <f t="shared" si="82"/>
        <v/>
      </c>
      <c r="DR88" s="501">
        <f t="shared" si="89"/>
        <v>0</v>
      </c>
      <c r="DS88" s="501">
        <f t="shared" si="90"/>
        <v>0</v>
      </c>
      <c r="DT88" s="501">
        <f t="shared" si="91"/>
        <v>0</v>
      </c>
      <c r="DU88" s="501">
        <f t="shared" si="92"/>
        <v>0</v>
      </c>
    </row>
    <row r="89" spans="1:125" ht="15" customHeight="1" x14ac:dyDescent="0.25">
      <c r="A89" s="1976"/>
      <c r="B89" s="952" t="s">
        <v>221</v>
      </c>
      <c r="C89" s="654">
        <f t="shared" si="83"/>
        <v>0</v>
      </c>
      <c r="D89" s="537"/>
      <c r="E89" s="953"/>
      <c r="F89" s="1595"/>
      <c r="G89" s="778"/>
      <c r="H89" s="471" t="str">
        <f t="shared" si="84"/>
        <v/>
      </c>
      <c r="J89" s="951"/>
      <c r="K89" s="951"/>
      <c r="L89" s="951"/>
      <c r="M89" s="951"/>
      <c r="N89" s="951"/>
      <c r="AV89"/>
      <c r="BQ89" s="470"/>
      <c r="BR89" s="471"/>
      <c r="BS89" s="471"/>
      <c r="BT89" s="471"/>
      <c r="CC89" s="620" t="str">
        <f t="shared" si="81"/>
        <v/>
      </c>
      <c r="CD89" s="620" t="str">
        <f t="shared" si="82"/>
        <v/>
      </c>
      <c r="DR89" s="501">
        <f t="shared" si="89"/>
        <v>0</v>
      </c>
      <c r="DS89" s="501">
        <f t="shared" si="90"/>
        <v>0</v>
      </c>
      <c r="DT89" s="501">
        <f t="shared" si="91"/>
        <v>0</v>
      </c>
      <c r="DU89" s="501">
        <f t="shared" si="92"/>
        <v>0</v>
      </c>
    </row>
    <row r="90" spans="1:125" ht="15" customHeight="1" x14ac:dyDescent="0.25">
      <c r="A90" s="1976"/>
      <c r="B90" s="952" t="s">
        <v>222</v>
      </c>
      <c r="C90" s="654">
        <f>SUM(D90:E90)</f>
        <v>0</v>
      </c>
      <c r="D90" s="537"/>
      <c r="E90" s="953"/>
      <c r="F90" s="1595"/>
      <c r="G90" s="778"/>
      <c r="H90" s="471" t="str">
        <f t="shared" si="84"/>
        <v/>
      </c>
      <c r="J90" s="951"/>
      <c r="K90" s="951"/>
      <c r="L90" s="951"/>
      <c r="M90" s="951"/>
      <c r="N90" s="951"/>
      <c r="AV90"/>
      <c r="BQ90" s="470"/>
      <c r="BR90" s="471"/>
      <c r="BS90" s="471"/>
      <c r="BT90" s="471"/>
      <c r="CC90" s="620" t="str">
        <f t="shared" si="81"/>
        <v/>
      </c>
      <c r="CD90" s="620" t="str">
        <f t="shared" si="82"/>
        <v/>
      </c>
      <c r="DR90" s="501">
        <f t="shared" si="89"/>
        <v>0</v>
      </c>
      <c r="DS90" s="501">
        <f t="shared" si="90"/>
        <v>0</v>
      </c>
      <c r="DT90" s="501">
        <f t="shared" si="91"/>
        <v>0</v>
      </c>
      <c r="DU90" s="501">
        <f t="shared" si="92"/>
        <v>0</v>
      </c>
    </row>
    <row r="91" spans="1:125" ht="15" customHeight="1" x14ac:dyDescent="0.25">
      <c r="A91" s="1875"/>
      <c r="B91" s="954" t="s">
        <v>223</v>
      </c>
      <c r="C91" s="558">
        <f t="shared" si="83"/>
        <v>0</v>
      </c>
      <c r="D91" s="560"/>
      <c r="E91" s="955"/>
      <c r="F91" s="1596"/>
      <c r="G91" s="656"/>
      <c r="H91" s="471" t="str">
        <f t="shared" si="84"/>
        <v/>
      </c>
      <c r="J91" s="951"/>
      <c r="K91" s="951"/>
      <c r="L91" s="951"/>
      <c r="M91" s="951"/>
      <c r="N91" s="951"/>
      <c r="AV91"/>
      <c r="BQ91" s="470"/>
      <c r="BR91" s="471"/>
      <c r="BS91" s="471"/>
      <c r="BT91" s="471"/>
      <c r="CC91" s="620" t="str">
        <f t="shared" si="81"/>
        <v/>
      </c>
      <c r="CD91" s="620" t="str">
        <f t="shared" si="82"/>
        <v/>
      </c>
      <c r="DR91" s="501">
        <f t="shared" si="89"/>
        <v>0</v>
      </c>
      <c r="DS91" s="501">
        <f t="shared" si="90"/>
        <v>0</v>
      </c>
      <c r="DT91" s="501">
        <f t="shared" si="91"/>
        <v>0</v>
      </c>
      <c r="DU91" s="501">
        <f t="shared" si="92"/>
        <v>0</v>
      </c>
    </row>
    <row r="92" spans="1:125" ht="15" customHeight="1" x14ac:dyDescent="0.25">
      <c r="A92" s="1874" t="s">
        <v>271</v>
      </c>
      <c r="B92" s="948" t="s">
        <v>269</v>
      </c>
      <c r="C92" s="489">
        <f t="shared" si="83"/>
        <v>0</v>
      </c>
      <c r="D92" s="520"/>
      <c r="E92" s="956"/>
      <c r="F92" s="1597"/>
      <c r="G92" s="1599"/>
      <c r="H92" s="471" t="str">
        <f t="shared" si="84"/>
        <v/>
      </c>
      <c r="J92" s="957"/>
      <c r="K92" s="957"/>
      <c r="L92" s="957"/>
      <c r="M92" s="957"/>
      <c r="N92" s="957"/>
      <c r="AV92"/>
      <c r="BQ92" s="470"/>
      <c r="BR92" s="471"/>
      <c r="BS92" s="471"/>
      <c r="BT92" s="471"/>
      <c r="CC92" s="620" t="str">
        <f t="shared" si="81"/>
        <v/>
      </c>
      <c r="CD92" s="620" t="str">
        <f t="shared" si="82"/>
        <v/>
      </c>
      <c r="DR92" s="501">
        <f t="shared" si="89"/>
        <v>0</v>
      </c>
      <c r="DS92" s="501">
        <f t="shared" si="90"/>
        <v>0</v>
      </c>
      <c r="DT92" s="501">
        <f t="shared" si="91"/>
        <v>0</v>
      </c>
      <c r="DU92" s="501">
        <f t="shared" si="92"/>
        <v>0</v>
      </c>
    </row>
    <row r="93" spans="1:125" ht="15" customHeight="1" x14ac:dyDescent="0.25">
      <c r="A93" s="1975"/>
      <c r="B93" s="950" t="s">
        <v>218</v>
      </c>
      <c r="C93" s="542">
        <f t="shared" si="83"/>
        <v>0</v>
      </c>
      <c r="D93" s="531"/>
      <c r="E93" s="949"/>
      <c r="F93" s="1594"/>
      <c r="G93" s="653"/>
      <c r="H93" s="471" t="str">
        <f t="shared" si="84"/>
        <v/>
      </c>
      <c r="J93" s="951"/>
      <c r="K93" s="951"/>
      <c r="L93" s="951"/>
      <c r="M93" s="951"/>
      <c r="N93" s="951"/>
      <c r="AV93"/>
      <c r="BQ93" s="470"/>
      <c r="BR93" s="471"/>
      <c r="BS93" s="471"/>
      <c r="BT93" s="471"/>
      <c r="CC93" s="620" t="str">
        <f t="shared" si="81"/>
        <v/>
      </c>
      <c r="CD93" s="620" t="str">
        <f t="shared" si="82"/>
        <v/>
      </c>
      <c r="DR93" s="501">
        <f t="shared" si="89"/>
        <v>0</v>
      </c>
      <c r="DS93" s="501">
        <f t="shared" si="90"/>
        <v>0</v>
      </c>
      <c r="DT93" s="501">
        <f t="shared" si="91"/>
        <v>0</v>
      </c>
      <c r="DU93" s="501">
        <f t="shared" si="92"/>
        <v>0</v>
      </c>
    </row>
    <row r="94" spans="1:125" ht="15" customHeight="1" x14ac:dyDescent="0.25">
      <c r="A94" s="1976"/>
      <c r="B94" s="950" t="s">
        <v>219</v>
      </c>
      <c r="C94" s="542">
        <f t="shared" si="83"/>
        <v>0</v>
      </c>
      <c r="D94" s="531"/>
      <c r="E94" s="949"/>
      <c r="F94" s="1594"/>
      <c r="G94" s="653"/>
      <c r="H94" s="471" t="str">
        <f t="shared" si="84"/>
        <v/>
      </c>
      <c r="J94" s="951"/>
      <c r="K94" s="951"/>
      <c r="L94" s="951"/>
      <c r="M94" s="951"/>
      <c r="N94" s="951"/>
      <c r="AV94"/>
      <c r="BQ94" s="470"/>
      <c r="BR94" s="471"/>
      <c r="BS94" s="471"/>
      <c r="BT94" s="471"/>
      <c r="CC94" s="620" t="str">
        <f t="shared" si="81"/>
        <v/>
      </c>
      <c r="CD94" s="620" t="str">
        <f t="shared" si="82"/>
        <v/>
      </c>
      <c r="DR94" s="501">
        <f t="shared" si="89"/>
        <v>0</v>
      </c>
      <c r="DS94" s="501">
        <f t="shared" si="90"/>
        <v>0</v>
      </c>
      <c r="DT94" s="501">
        <f t="shared" si="91"/>
        <v>0</v>
      </c>
      <c r="DU94" s="501">
        <f t="shared" si="92"/>
        <v>0</v>
      </c>
    </row>
    <row r="95" spans="1:125" ht="15" customHeight="1" x14ac:dyDescent="0.25">
      <c r="A95" s="1976"/>
      <c r="B95" s="950" t="s">
        <v>220</v>
      </c>
      <c r="C95" s="542">
        <f t="shared" si="83"/>
        <v>0</v>
      </c>
      <c r="D95" s="531"/>
      <c r="E95" s="949"/>
      <c r="F95" s="1594"/>
      <c r="G95" s="653"/>
      <c r="H95" s="471" t="str">
        <f t="shared" si="84"/>
        <v/>
      </c>
      <c r="J95" s="951"/>
      <c r="K95" s="951"/>
      <c r="L95" s="951"/>
      <c r="M95" s="951"/>
      <c r="N95" s="951"/>
      <c r="AV95"/>
      <c r="BQ95" s="470"/>
      <c r="BR95" s="471"/>
      <c r="BS95" s="471"/>
      <c r="BT95" s="471"/>
      <c r="CC95" s="620" t="str">
        <f t="shared" si="81"/>
        <v/>
      </c>
      <c r="CD95" s="620" t="str">
        <f t="shared" si="82"/>
        <v/>
      </c>
      <c r="DR95" s="501">
        <f t="shared" si="89"/>
        <v>0</v>
      </c>
      <c r="DS95" s="501">
        <f t="shared" si="90"/>
        <v>0</v>
      </c>
      <c r="DT95" s="501">
        <f t="shared" si="91"/>
        <v>0</v>
      </c>
      <c r="DU95" s="501">
        <f t="shared" si="92"/>
        <v>0</v>
      </c>
    </row>
    <row r="96" spans="1:125" ht="15" customHeight="1" x14ac:dyDescent="0.25">
      <c r="A96" s="1976"/>
      <c r="B96" s="952" t="s">
        <v>221</v>
      </c>
      <c r="C96" s="542">
        <f t="shared" si="83"/>
        <v>0</v>
      </c>
      <c r="D96" s="537"/>
      <c r="E96" s="953"/>
      <c r="F96" s="1595"/>
      <c r="G96" s="778"/>
      <c r="H96" s="471" t="str">
        <f t="shared" si="84"/>
        <v/>
      </c>
      <c r="J96" s="951"/>
      <c r="K96" s="951"/>
      <c r="L96" s="951"/>
      <c r="M96" s="951"/>
      <c r="N96" s="951"/>
      <c r="AV96"/>
      <c r="BQ96" s="470"/>
      <c r="BR96" s="471"/>
      <c r="BS96" s="471"/>
      <c r="BT96" s="471"/>
      <c r="CC96" s="620" t="str">
        <f t="shared" si="81"/>
        <v/>
      </c>
      <c r="CD96" s="620" t="str">
        <f t="shared" si="82"/>
        <v/>
      </c>
      <c r="DR96" s="501">
        <f t="shared" si="89"/>
        <v>0</v>
      </c>
      <c r="DS96" s="501">
        <f t="shared" si="90"/>
        <v>0</v>
      </c>
      <c r="DT96" s="501">
        <f t="shared" si="91"/>
        <v>0</v>
      </c>
      <c r="DU96" s="501">
        <f t="shared" si="92"/>
        <v>0</v>
      </c>
    </row>
    <row r="97" spans="1:125" ht="15" customHeight="1" x14ac:dyDescent="0.25">
      <c r="A97" s="1976"/>
      <c r="B97" s="952" t="s">
        <v>222</v>
      </c>
      <c r="C97" s="542">
        <f t="shared" si="83"/>
        <v>0</v>
      </c>
      <c r="D97" s="537"/>
      <c r="E97" s="953"/>
      <c r="F97" s="1595"/>
      <c r="G97" s="778"/>
      <c r="H97" s="471" t="str">
        <f t="shared" si="84"/>
        <v/>
      </c>
      <c r="J97" s="951"/>
      <c r="K97" s="951"/>
      <c r="L97" s="951"/>
      <c r="M97" s="951"/>
      <c r="N97" s="951"/>
      <c r="AV97"/>
      <c r="BQ97" s="470"/>
      <c r="BR97" s="471"/>
      <c r="BS97" s="471"/>
      <c r="BT97" s="471"/>
      <c r="CC97" s="620" t="str">
        <f t="shared" si="81"/>
        <v/>
      </c>
      <c r="CD97" s="620" t="str">
        <f t="shared" si="82"/>
        <v/>
      </c>
      <c r="DR97" s="501">
        <f t="shared" si="89"/>
        <v>0</v>
      </c>
      <c r="DS97" s="501">
        <f t="shared" si="90"/>
        <v>0</v>
      </c>
      <c r="DT97" s="501">
        <f t="shared" si="91"/>
        <v>0</v>
      </c>
      <c r="DU97" s="501">
        <f t="shared" si="92"/>
        <v>0</v>
      </c>
    </row>
    <row r="98" spans="1:125" ht="15" customHeight="1" x14ac:dyDescent="0.25">
      <c r="A98" s="1875"/>
      <c r="B98" s="954" t="s">
        <v>223</v>
      </c>
      <c r="C98" s="558">
        <f t="shared" si="83"/>
        <v>0</v>
      </c>
      <c r="D98" s="537"/>
      <c r="E98" s="953"/>
      <c r="F98" s="1595"/>
      <c r="G98" s="778"/>
      <c r="H98" s="471" t="str">
        <f t="shared" si="84"/>
        <v/>
      </c>
      <c r="J98" s="951"/>
      <c r="K98" s="951"/>
      <c r="L98" s="951"/>
      <c r="M98" s="951"/>
      <c r="N98" s="951"/>
      <c r="AV98"/>
      <c r="BQ98" s="470"/>
      <c r="BR98" s="471"/>
      <c r="BS98" s="471"/>
      <c r="BT98" s="471"/>
      <c r="CC98" s="620" t="str">
        <f t="shared" si="81"/>
        <v/>
      </c>
      <c r="CD98" s="620" t="str">
        <f t="shared" si="82"/>
        <v/>
      </c>
      <c r="DR98" s="501">
        <f t="shared" si="89"/>
        <v>0</v>
      </c>
      <c r="DS98" s="501">
        <f t="shared" si="90"/>
        <v>0</v>
      </c>
      <c r="DT98" s="501">
        <f t="shared" si="91"/>
        <v>0</v>
      </c>
      <c r="DU98" s="501">
        <f t="shared" si="92"/>
        <v>0</v>
      </c>
    </row>
    <row r="99" spans="1:125" ht="15" customHeight="1" x14ac:dyDescent="0.25">
      <c r="A99" s="1874" t="s">
        <v>272</v>
      </c>
      <c r="B99" s="948" t="s">
        <v>269</v>
      </c>
      <c r="C99" s="489">
        <f t="shared" si="83"/>
        <v>0</v>
      </c>
      <c r="D99" s="494"/>
      <c r="E99" s="618"/>
      <c r="F99" s="1598"/>
      <c r="G99" s="619"/>
      <c r="H99" s="471" t="str">
        <f t="shared" si="84"/>
        <v/>
      </c>
      <c r="J99" s="951"/>
      <c r="K99" s="951"/>
      <c r="L99" s="951"/>
      <c r="M99" s="951"/>
      <c r="N99" s="951"/>
      <c r="AV99"/>
      <c r="BQ99" s="470"/>
      <c r="BR99" s="471"/>
      <c r="BS99" s="471"/>
      <c r="BT99" s="471"/>
      <c r="CC99" s="620" t="str">
        <f t="shared" si="81"/>
        <v/>
      </c>
      <c r="CD99" s="620" t="str">
        <f t="shared" si="82"/>
        <v/>
      </c>
      <c r="DR99" s="501">
        <f t="shared" si="89"/>
        <v>0</v>
      </c>
      <c r="DS99" s="501">
        <f t="shared" si="90"/>
        <v>0</v>
      </c>
      <c r="DT99" s="501">
        <f t="shared" si="91"/>
        <v>0</v>
      </c>
      <c r="DU99" s="501">
        <f t="shared" si="92"/>
        <v>0</v>
      </c>
    </row>
    <row r="100" spans="1:125" ht="15" customHeight="1" x14ac:dyDescent="0.25">
      <c r="A100" s="1975"/>
      <c r="B100" s="950" t="s">
        <v>218</v>
      </c>
      <c r="C100" s="542">
        <f t="shared" si="83"/>
        <v>0</v>
      </c>
      <c r="D100" s="531"/>
      <c r="E100" s="949"/>
      <c r="F100" s="1594"/>
      <c r="G100" s="653"/>
      <c r="H100" s="471" t="str">
        <f t="shared" si="84"/>
        <v/>
      </c>
      <c r="J100" s="958"/>
      <c r="K100" s="958"/>
      <c r="L100" s="958"/>
      <c r="M100" s="958"/>
      <c r="N100" s="958"/>
      <c r="AV100"/>
      <c r="BQ100" s="470"/>
      <c r="CC100" s="620" t="str">
        <f t="shared" si="81"/>
        <v/>
      </c>
      <c r="CD100" s="620" t="str">
        <f t="shared" si="82"/>
        <v/>
      </c>
      <c r="DR100" s="501">
        <f t="shared" si="89"/>
        <v>0</v>
      </c>
      <c r="DS100" s="501">
        <f t="shared" si="90"/>
        <v>0</v>
      </c>
      <c r="DT100" s="501">
        <f t="shared" si="91"/>
        <v>0</v>
      </c>
      <c r="DU100" s="501">
        <f t="shared" si="92"/>
        <v>0</v>
      </c>
    </row>
    <row r="101" spans="1:125" ht="15" customHeight="1" x14ac:dyDescent="0.25">
      <c r="A101" s="1976"/>
      <c r="B101" s="950" t="s">
        <v>219</v>
      </c>
      <c r="C101" s="542">
        <f t="shared" si="83"/>
        <v>0</v>
      </c>
      <c r="D101" s="531"/>
      <c r="E101" s="949"/>
      <c r="F101" s="1594"/>
      <c r="G101" s="653"/>
      <c r="H101" s="471" t="str">
        <f t="shared" si="84"/>
        <v/>
      </c>
      <c r="J101" s="958"/>
      <c r="K101" s="958"/>
      <c r="L101" s="958"/>
      <c r="M101" s="958"/>
      <c r="N101" s="958"/>
      <c r="AV101"/>
      <c r="BQ101" s="470"/>
      <c r="CC101" s="620" t="str">
        <f t="shared" si="81"/>
        <v/>
      </c>
      <c r="CD101" s="620" t="str">
        <f t="shared" si="82"/>
        <v/>
      </c>
      <c r="DR101" s="501">
        <f t="shared" si="89"/>
        <v>0</v>
      </c>
      <c r="DS101" s="501">
        <f t="shared" si="90"/>
        <v>0</v>
      </c>
      <c r="DT101" s="501">
        <f t="shared" si="91"/>
        <v>0</v>
      </c>
      <c r="DU101" s="501">
        <f t="shared" si="92"/>
        <v>0</v>
      </c>
    </row>
    <row r="102" spans="1:125" ht="15" customHeight="1" x14ac:dyDescent="0.25">
      <c r="A102" s="1976"/>
      <c r="B102" s="950" t="s">
        <v>220</v>
      </c>
      <c r="C102" s="542">
        <f t="shared" si="83"/>
        <v>0</v>
      </c>
      <c r="D102" s="531"/>
      <c r="E102" s="949"/>
      <c r="F102" s="1594"/>
      <c r="G102" s="653"/>
      <c r="H102" s="471" t="str">
        <f t="shared" si="84"/>
        <v/>
      </c>
      <c r="J102" s="958"/>
      <c r="K102" s="958"/>
      <c r="L102" s="958"/>
      <c r="M102" s="958"/>
      <c r="N102" s="958"/>
      <c r="AV102"/>
      <c r="BQ102" s="470"/>
      <c r="CC102" s="620" t="str">
        <f t="shared" si="81"/>
        <v/>
      </c>
      <c r="CD102" s="620" t="str">
        <f t="shared" si="82"/>
        <v/>
      </c>
      <c r="DR102" s="501">
        <f t="shared" si="89"/>
        <v>0</v>
      </c>
      <c r="DS102" s="501">
        <f t="shared" si="90"/>
        <v>0</v>
      </c>
      <c r="DT102" s="501">
        <f t="shared" si="91"/>
        <v>0</v>
      </c>
      <c r="DU102" s="501">
        <f t="shared" si="92"/>
        <v>0</v>
      </c>
    </row>
    <row r="103" spans="1:125" ht="15" customHeight="1" x14ac:dyDescent="0.25">
      <c r="A103" s="1976"/>
      <c r="B103" s="952" t="s">
        <v>221</v>
      </c>
      <c r="C103" s="654">
        <f>SUM(D103:E103)</f>
        <v>0</v>
      </c>
      <c r="D103" s="537"/>
      <c r="E103" s="953"/>
      <c r="F103" s="1595"/>
      <c r="G103" s="778"/>
      <c r="H103" s="471" t="str">
        <f t="shared" si="84"/>
        <v/>
      </c>
      <c r="J103" s="958"/>
      <c r="K103" s="958"/>
      <c r="L103" s="958"/>
      <c r="M103" s="958"/>
      <c r="N103" s="958"/>
      <c r="AV103"/>
      <c r="BQ103" s="470"/>
      <c r="CC103" s="620" t="str">
        <f t="shared" si="81"/>
        <v/>
      </c>
      <c r="CD103" s="620" t="str">
        <f t="shared" si="82"/>
        <v/>
      </c>
      <c r="DR103" s="501">
        <f t="shared" si="89"/>
        <v>0</v>
      </c>
      <c r="DS103" s="501">
        <f t="shared" si="90"/>
        <v>0</v>
      </c>
      <c r="DT103" s="501">
        <f t="shared" si="91"/>
        <v>0</v>
      </c>
      <c r="DU103" s="501">
        <f t="shared" si="92"/>
        <v>0</v>
      </c>
    </row>
    <row r="104" spans="1:125" ht="15" customHeight="1" x14ac:dyDescent="0.25">
      <c r="A104" s="1976"/>
      <c r="B104" s="952" t="s">
        <v>222</v>
      </c>
      <c r="C104" s="654">
        <f>SUM(D104:E104)</f>
        <v>0</v>
      </c>
      <c r="D104" s="537"/>
      <c r="E104" s="953"/>
      <c r="F104" s="1595"/>
      <c r="G104" s="778"/>
      <c r="H104" s="471" t="str">
        <f t="shared" si="84"/>
        <v/>
      </c>
      <c r="J104" s="958"/>
      <c r="K104" s="958"/>
      <c r="L104" s="958"/>
      <c r="M104" s="958"/>
      <c r="N104" s="958"/>
      <c r="AV104"/>
      <c r="BQ104" s="470"/>
      <c r="CC104" s="620" t="str">
        <f t="shared" si="81"/>
        <v/>
      </c>
      <c r="CD104" s="620" t="str">
        <f t="shared" si="82"/>
        <v/>
      </c>
      <c r="DR104" s="501">
        <f t="shared" si="89"/>
        <v>0</v>
      </c>
      <c r="DS104" s="501">
        <f t="shared" si="90"/>
        <v>0</v>
      </c>
      <c r="DT104" s="501">
        <f t="shared" si="91"/>
        <v>0</v>
      </c>
      <c r="DU104" s="501">
        <f t="shared" si="92"/>
        <v>0</v>
      </c>
    </row>
    <row r="105" spans="1:125" ht="15" customHeight="1" x14ac:dyDescent="0.25">
      <c r="A105" s="1875"/>
      <c r="B105" s="954" t="s">
        <v>223</v>
      </c>
      <c r="C105" s="558">
        <f>SUM(D105:E105)</f>
        <v>0</v>
      </c>
      <c r="D105" s="560"/>
      <c r="E105" s="955"/>
      <c r="F105" s="1596"/>
      <c r="G105" s="656"/>
      <c r="H105" s="471" t="str">
        <f t="shared" si="84"/>
        <v/>
      </c>
      <c r="J105" s="959"/>
      <c r="K105" s="959"/>
      <c r="AV105"/>
      <c r="BQ105" s="470"/>
      <c r="CC105" s="620" t="str">
        <f t="shared" si="81"/>
        <v/>
      </c>
      <c r="CD105" s="620" t="str">
        <f>IF(AND(C105&gt;0,OR(G105=""))," * No olvide digitar la variable Migrantes (Digite Cero si no tiene).",IF(G105&gt;C105," * La variable Migrantes no puede ser Mayor al Total.",""))</f>
        <v/>
      </c>
      <c r="DR105" s="501">
        <f t="shared" si="89"/>
        <v>0</v>
      </c>
      <c r="DS105" s="501">
        <f t="shared" si="90"/>
        <v>0</v>
      </c>
      <c r="DT105" s="501">
        <f t="shared" si="91"/>
        <v>0</v>
      </c>
      <c r="DU105" s="501">
        <f t="shared" si="92"/>
        <v>0</v>
      </c>
    </row>
    <row r="106" spans="1:125" ht="17.100000000000001" customHeight="1" x14ac:dyDescent="0.25">
      <c r="A106" s="2030" t="s">
        <v>273</v>
      </c>
      <c r="B106" s="2030"/>
      <c r="C106" s="2030"/>
      <c r="D106" s="2030"/>
      <c r="E106" s="2030"/>
      <c r="F106" s="2030"/>
      <c r="G106" s="2030"/>
      <c r="H106" s="2030"/>
      <c r="I106" s="2030"/>
      <c r="J106" s="2030"/>
      <c r="K106" s="203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0"/>
      <c r="AA106" s="470"/>
      <c r="AB106" s="470"/>
      <c r="AC106" s="470"/>
      <c r="AD106" s="470"/>
      <c r="AE106" s="470"/>
      <c r="AF106" s="470"/>
      <c r="AG106" s="470"/>
      <c r="AH106" s="470"/>
      <c r="AI106" s="470"/>
      <c r="AJ106" s="470"/>
      <c r="AK106" s="470"/>
      <c r="AL106" s="470"/>
      <c r="AM106" s="470"/>
      <c r="AN106" s="470"/>
      <c r="AO106" s="470"/>
      <c r="AP106" s="470"/>
      <c r="AQ106" s="470"/>
      <c r="AR106" s="470"/>
      <c r="AS106" s="470"/>
      <c r="AT106" s="470"/>
      <c r="AU106" s="470"/>
      <c r="AV106" s="470"/>
      <c r="DR106" s="501">
        <f t="shared" si="89"/>
        <v>0</v>
      </c>
      <c r="DS106" s="501">
        <f t="shared" si="90"/>
        <v>0</v>
      </c>
      <c r="DT106" s="501">
        <f t="shared" si="91"/>
        <v>0</v>
      </c>
      <c r="DU106" s="501">
        <f t="shared" si="92"/>
        <v>0</v>
      </c>
    </row>
    <row r="107" spans="1:125" ht="21" customHeight="1" x14ac:dyDescent="0.25">
      <c r="A107" s="1918" t="s">
        <v>274</v>
      </c>
      <c r="B107" s="1899"/>
      <c r="C107" s="1944" t="s">
        <v>49</v>
      </c>
      <c r="D107" s="2026" t="s">
        <v>275</v>
      </c>
      <c r="E107" s="1979" t="s">
        <v>211</v>
      </c>
      <c r="F107" s="1979" t="s">
        <v>212</v>
      </c>
      <c r="G107" s="1979" t="s">
        <v>213</v>
      </c>
      <c r="H107" s="1979" t="s">
        <v>214</v>
      </c>
      <c r="I107" s="1979" t="s">
        <v>215</v>
      </c>
      <c r="J107" s="1983" t="s">
        <v>216</v>
      </c>
      <c r="K107" s="1981" t="s">
        <v>276</v>
      </c>
      <c r="L107" s="1977" t="s">
        <v>277</v>
      </c>
      <c r="M107" s="1899" t="s">
        <v>51</v>
      </c>
      <c r="N107" s="1899" t="s">
        <v>108</v>
      </c>
      <c r="O107" s="470"/>
      <c r="P107" s="470"/>
      <c r="Q107" s="470"/>
      <c r="R107" s="470"/>
      <c r="S107" s="470"/>
      <c r="T107" s="470"/>
      <c r="U107" s="470"/>
      <c r="V107" s="470"/>
      <c r="W107" s="470"/>
      <c r="X107" s="470"/>
      <c r="Y107" s="470"/>
      <c r="Z107" s="470"/>
      <c r="AA107" s="470"/>
      <c r="AB107" s="470"/>
      <c r="AC107" s="470"/>
      <c r="AD107" s="470"/>
      <c r="AE107" s="470"/>
      <c r="AF107" s="470"/>
      <c r="AG107" s="470"/>
      <c r="AH107" s="470"/>
      <c r="AI107" s="470"/>
      <c r="AJ107" s="470"/>
      <c r="AK107" s="470"/>
      <c r="AL107" s="470"/>
      <c r="AM107" s="470"/>
      <c r="AN107" s="470"/>
      <c r="AO107" s="470"/>
      <c r="AP107" s="470"/>
      <c r="AQ107" s="470"/>
      <c r="AR107" s="470"/>
      <c r="AS107" s="470"/>
      <c r="AT107" s="470"/>
      <c r="AU107" s="470"/>
      <c r="AV107" s="470"/>
      <c r="AW107" s="470"/>
      <c r="BR107"/>
    </row>
    <row r="108" spans="1:125" ht="27" customHeight="1" x14ac:dyDescent="0.25">
      <c r="A108" s="1937"/>
      <c r="B108" s="1901"/>
      <c r="C108" s="1945"/>
      <c r="D108" s="2027"/>
      <c r="E108" s="1980"/>
      <c r="F108" s="1980"/>
      <c r="G108" s="1980"/>
      <c r="H108" s="1980"/>
      <c r="I108" s="1980"/>
      <c r="J108" s="1845"/>
      <c r="K108" s="1982"/>
      <c r="L108" s="1978"/>
      <c r="M108" s="1901"/>
      <c r="N108" s="1901"/>
      <c r="O108" s="470"/>
      <c r="P108" s="470"/>
      <c r="Q108" s="470"/>
      <c r="R108" s="470"/>
      <c r="S108" s="470"/>
      <c r="T108" s="470"/>
      <c r="U108" s="470"/>
      <c r="V108" s="470"/>
      <c r="W108" s="470"/>
      <c r="X108" s="470"/>
      <c r="Y108" s="470"/>
      <c r="Z108" s="470"/>
      <c r="AA108" s="470"/>
      <c r="AB108" s="470"/>
      <c r="AC108" s="470"/>
      <c r="AD108" s="470"/>
      <c r="AE108" s="470"/>
      <c r="AF108" s="470"/>
      <c r="AG108" s="470"/>
      <c r="AH108" s="470"/>
      <c r="AI108" s="470"/>
      <c r="AJ108" s="470"/>
      <c r="AK108" s="470"/>
      <c r="AL108" s="470"/>
      <c r="AM108" s="470"/>
      <c r="AN108" s="470"/>
      <c r="AO108" s="470"/>
      <c r="AP108" s="470"/>
      <c r="AQ108" s="470"/>
      <c r="AR108" s="470"/>
      <c r="AS108" s="470"/>
      <c r="AT108" s="470"/>
      <c r="AU108" s="470"/>
      <c r="AV108" s="470"/>
      <c r="AW108" s="470"/>
      <c r="BR108"/>
    </row>
    <row r="109" spans="1:125" ht="15" customHeight="1" x14ac:dyDescent="0.25">
      <c r="A109" s="1984" t="s">
        <v>278</v>
      </c>
      <c r="B109" s="963" t="s">
        <v>279</v>
      </c>
      <c r="C109" s="818">
        <f>SUM(D109:K109)</f>
        <v>0</v>
      </c>
      <c r="D109" s="821"/>
      <c r="E109" s="829"/>
      <c r="F109" s="829"/>
      <c r="G109" s="829"/>
      <c r="H109" s="829"/>
      <c r="I109" s="829"/>
      <c r="J109" s="823"/>
      <c r="K109" s="964"/>
      <c r="L109" s="965"/>
      <c r="M109" s="966"/>
      <c r="N109" s="966"/>
      <c r="O109" s="787" t="str">
        <f>CC109&amp;CD109&amp;CE109&amp;CF109</f>
        <v/>
      </c>
      <c r="AW109" s="787"/>
      <c r="BR109"/>
      <c r="CC109" s="620" t="str">
        <f>IF(M109&gt;$C109," * El Total de Pueblos Originarios no puede ser mayor que el Total. ","")</f>
        <v/>
      </c>
      <c r="CD109" s="620" t="str">
        <f>IF(N109&gt;$C109," * El Total según Población Migrante no puede ser mayor que el Total. ","")</f>
        <v/>
      </c>
      <c r="CE109" s="620" t="str">
        <f>IF(AND($C109&lt;&gt;0,M109=""),"* No olvide ingresar el total según Pueblos Originarios. Digite 0 si no tiene. ","")</f>
        <v/>
      </c>
      <c r="CF109" s="620" t="str">
        <f>IF(AND($C109&lt;&gt;0,N109=""),"* No olvide ingresar el total según Migrantes. Digite 0 si no tiene. ","")</f>
        <v/>
      </c>
    </row>
    <row r="110" spans="1:125" ht="15" customHeight="1" x14ac:dyDescent="0.25">
      <c r="A110" s="1985"/>
      <c r="B110" s="967" t="s">
        <v>280</v>
      </c>
      <c r="C110" s="968">
        <f>SUM(D110:K110)</f>
        <v>0</v>
      </c>
      <c r="D110" s="889"/>
      <c r="E110" s="895"/>
      <c r="F110" s="895"/>
      <c r="G110" s="895"/>
      <c r="H110" s="895"/>
      <c r="I110" s="895"/>
      <c r="J110" s="890"/>
      <c r="K110" s="969"/>
      <c r="L110" s="970"/>
      <c r="M110" s="966"/>
      <c r="N110" s="966"/>
      <c r="O110" s="787" t="str">
        <f>CB110&amp;CC110&amp;CD110&amp;CE110&amp;CF110</f>
        <v/>
      </c>
      <c r="AW110" s="787"/>
      <c r="BR110"/>
      <c r="BT110" s="471"/>
      <c r="BU110" s="471"/>
      <c r="BV110" s="471"/>
      <c r="CB110" s="620" t="str">
        <f>IF($C110&lt;$L110, "* Total de Niños y Niñas que han recibido VDI no puede ser mayor que el total Score de Riesgo . ","")</f>
        <v/>
      </c>
      <c r="CC110" s="620" t="str">
        <f>IF(M110&gt;$C110," * El Total de Pueblos Originarios no puede ser mayor que el Total. ","")</f>
        <v/>
      </c>
      <c r="CD110" s="620" t="str">
        <f>IF(N110&gt;$C110," * El Total según Población Migrante no puede ser mayor que el Total. ","")</f>
        <v/>
      </c>
      <c r="CE110" s="620" t="str">
        <f>IF(AND($C110&lt;&gt;0,M110=""),"* No olvide ingresar el total según Pueblos Originarios. Digite 0 si no tiene. ","")</f>
        <v/>
      </c>
      <c r="CF110" s="620" t="str">
        <f>IF(AND($C110&lt;&gt;0,N110=""),"* No olvide ingresar el total según Migrantes. Digite 0 si no tiene. ","")</f>
        <v/>
      </c>
      <c r="DQ110" s="501">
        <f t="shared" ref="DQ110:DR112" si="93">IF(M109&gt;$C109,1,0)</f>
        <v>0</v>
      </c>
      <c r="DR110" s="501">
        <f t="shared" si="93"/>
        <v>0</v>
      </c>
      <c r="DS110" s="501">
        <f>IF(AND($C109&lt;&gt;0,N109=""),1,0)</f>
        <v>0</v>
      </c>
      <c r="DT110" s="501">
        <f>IF(AND($C109&lt;&gt;0,N109=""),1,0)</f>
        <v>0</v>
      </c>
    </row>
    <row r="111" spans="1:125" ht="15" customHeight="1" x14ac:dyDescent="0.25">
      <c r="A111" s="1985"/>
      <c r="B111" s="971" t="s">
        <v>281</v>
      </c>
      <c r="C111" s="972">
        <f>SUM(D111:K111)</f>
        <v>0</v>
      </c>
      <c r="D111" s="832"/>
      <c r="E111" s="840"/>
      <c r="F111" s="840"/>
      <c r="G111" s="840"/>
      <c r="H111" s="840"/>
      <c r="I111" s="840"/>
      <c r="J111" s="834"/>
      <c r="K111" s="973"/>
      <c r="L111" s="974"/>
      <c r="M111" s="833"/>
      <c r="N111" s="833"/>
      <c r="O111" s="787" t="str">
        <f>CB111&amp;CC111&amp;CD111&amp;CE111&amp;CF111</f>
        <v/>
      </c>
      <c r="AW111" s="787"/>
      <c r="BR111"/>
      <c r="BT111" s="471"/>
      <c r="BU111" s="471"/>
      <c r="BV111" s="471"/>
      <c r="CB111" s="620" t="str">
        <f>IF($C111&lt;$L111, "* Total de Niños y Niñas que han recibido VDI no puede ser mayor que el total Score de Riesgo Grave. ","")</f>
        <v/>
      </c>
      <c r="CC111" s="620" t="str">
        <f>IF(M111&gt;$C111," * El Total de Pueblos Originarios no puede ser mayor que el Total. ","")</f>
        <v/>
      </c>
      <c r="CD111" s="620" t="str">
        <f>IF(N111&gt;$C111," * El Total según Población Migrante no puede ser mayor que el Total. ","")</f>
        <v/>
      </c>
      <c r="CE111" s="620" t="str">
        <f>IF(AND($C111&lt;&gt;0,M111=""),"* No olvide ingresar el total según Pueblos Originarios. Digite 0 si no tiene. ","")</f>
        <v/>
      </c>
      <c r="CF111" s="620" t="str">
        <f>IF(AND($C111&lt;&gt;0,N111=""),"* No olvide ingresar el total según Migrantes. Digite 0 si no tiene. ","")</f>
        <v/>
      </c>
      <c r="DP111" s="501">
        <f>IF($C110&lt;$L110, 1,0)</f>
        <v>0</v>
      </c>
      <c r="DQ111" s="501">
        <f t="shared" si="93"/>
        <v>0</v>
      </c>
      <c r="DR111" s="501">
        <f t="shared" si="93"/>
        <v>0</v>
      </c>
      <c r="DS111" s="501">
        <f>IF(AND($C110&lt;&gt;0,N110=""),1,0)</f>
        <v>0</v>
      </c>
      <c r="DT111" s="501">
        <f>IF(AND($C110&lt;&gt;0,N110=""),1,0)</f>
        <v>0</v>
      </c>
    </row>
    <row r="112" spans="1:125" ht="15" customHeight="1" x14ac:dyDescent="0.25">
      <c r="A112" s="1986"/>
      <c r="B112" s="975" t="s">
        <v>89</v>
      </c>
      <c r="C112" s="976">
        <f>SUM(D112:K112)</f>
        <v>0</v>
      </c>
      <c r="D112" s="843">
        <f t="shared" ref="D112:K112" si="94">SUM(D109:D111)</f>
        <v>0</v>
      </c>
      <c r="E112" s="849">
        <f t="shared" si="94"/>
        <v>0</v>
      </c>
      <c r="F112" s="849">
        <f t="shared" si="94"/>
        <v>0</v>
      </c>
      <c r="G112" s="849">
        <f t="shared" si="94"/>
        <v>0</v>
      </c>
      <c r="H112" s="849">
        <f t="shared" si="94"/>
        <v>0</v>
      </c>
      <c r="I112" s="849">
        <f t="shared" si="94"/>
        <v>0</v>
      </c>
      <c r="J112" s="845">
        <f t="shared" ref="J112" si="95">SUM(J109:J111)</f>
        <v>0</v>
      </c>
      <c r="K112" s="977">
        <f t="shared" si="94"/>
        <v>0</v>
      </c>
      <c r="L112" s="978">
        <f>SUM(L110:L111)</f>
        <v>0</v>
      </c>
      <c r="M112" s="904">
        <f>SUM(M109:M111)</f>
        <v>0</v>
      </c>
      <c r="N112" s="904">
        <f>SUM(N109:N111)</f>
        <v>0</v>
      </c>
      <c r="AW112" s="787"/>
      <c r="BR112"/>
      <c r="BT112" s="471"/>
      <c r="BU112" s="471"/>
      <c r="BV112" s="471"/>
      <c r="DP112" s="501">
        <f>IF($C111&lt;$L111,1,0)</f>
        <v>0</v>
      </c>
      <c r="DQ112" s="501">
        <f t="shared" si="93"/>
        <v>0</v>
      </c>
      <c r="DR112" s="501">
        <f t="shared" si="93"/>
        <v>0</v>
      </c>
      <c r="DS112" s="501">
        <f>IF(AND($C111&lt;&gt;0,N111=""),1,0)</f>
        <v>0</v>
      </c>
      <c r="DT112" s="501">
        <f>IF(AND($C111&lt;&gt;0,N111=""),1,0)</f>
        <v>0</v>
      </c>
    </row>
    <row r="113" spans="1:107" ht="17.100000000000001" customHeight="1" x14ac:dyDescent="0.25">
      <c r="A113" s="2034" t="s">
        <v>282</v>
      </c>
      <c r="B113" s="2034"/>
      <c r="C113" s="2034"/>
      <c r="D113" s="2034"/>
      <c r="E113" s="2034"/>
      <c r="F113" s="2034"/>
      <c r="G113" s="979"/>
      <c r="H113" s="905"/>
      <c r="I113" s="905"/>
      <c r="BS113" s="795"/>
      <c r="BT113" s="795"/>
      <c r="BU113" s="795"/>
      <c r="CF113" s="795"/>
      <c r="CG113" s="795"/>
      <c r="CH113" s="795"/>
      <c r="CI113" s="795"/>
      <c r="CJ113" s="795"/>
      <c r="CK113" s="795"/>
      <c r="DB113" s="795"/>
      <c r="DC113" s="795"/>
    </row>
    <row r="114" spans="1:107" ht="14.25" customHeight="1" x14ac:dyDescent="0.25">
      <c r="A114" s="1918" t="s">
        <v>283</v>
      </c>
      <c r="B114" s="1899"/>
      <c r="C114" s="1944" t="s">
        <v>49</v>
      </c>
      <c r="D114" s="980"/>
      <c r="E114" s="957"/>
      <c r="F114" s="957"/>
      <c r="G114" s="981"/>
      <c r="H114" s="981"/>
      <c r="BS114" s="982"/>
      <c r="BT114" s="982"/>
      <c r="BU114" s="982"/>
      <c r="CF114" s="982"/>
      <c r="CG114" s="982"/>
      <c r="CH114" s="982"/>
      <c r="CI114" s="982"/>
      <c r="CJ114" s="982"/>
      <c r="CK114" s="982"/>
      <c r="DB114" s="982"/>
      <c r="DC114" s="982"/>
    </row>
    <row r="115" spans="1:107" ht="12.75" customHeight="1" x14ac:dyDescent="0.25">
      <c r="A115" s="1937"/>
      <c r="B115" s="1901"/>
      <c r="C115" s="1945"/>
      <c r="D115" s="957"/>
      <c r="E115" s="957"/>
      <c r="F115" s="957"/>
      <c r="G115" s="957"/>
      <c r="H115" s="957"/>
    </row>
    <row r="116" spans="1:107" ht="15" customHeight="1" x14ac:dyDescent="0.25">
      <c r="A116" s="1960" t="s">
        <v>284</v>
      </c>
      <c r="B116" s="1961"/>
      <c r="C116" s="983"/>
      <c r="E116" s="951"/>
      <c r="F116" s="951"/>
      <c r="G116" s="951"/>
      <c r="H116" s="951"/>
    </row>
    <row r="117" spans="1:107" ht="15" customHeight="1" x14ac:dyDescent="0.25">
      <c r="A117" s="1956" t="s">
        <v>285</v>
      </c>
      <c r="B117" s="1957"/>
      <c r="C117" s="984"/>
      <c r="E117" s="951"/>
      <c r="F117" s="951"/>
      <c r="G117" s="951"/>
      <c r="H117" s="951"/>
    </row>
    <row r="118" spans="1:107" ht="17.100000000000001" customHeight="1" x14ac:dyDescent="0.25">
      <c r="A118" s="2033" t="s">
        <v>286</v>
      </c>
      <c r="B118" s="2033"/>
      <c r="C118" s="2033"/>
      <c r="D118" s="985"/>
      <c r="E118" s="985"/>
      <c r="F118" s="985"/>
      <c r="G118" s="985"/>
      <c r="H118" s="959"/>
      <c r="J118" s="959"/>
    </row>
    <row r="119" spans="1:107" ht="15" customHeight="1" x14ac:dyDescent="0.25">
      <c r="A119" s="1952" t="s">
        <v>287</v>
      </c>
      <c r="B119" s="1953"/>
      <c r="C119" s="1950" t="s">
        <v>49</v>
      </c>
      <c r="H119" s="981"/>
    </row>
    <row r="120" spans="1:107" ht="15" customHeight="1" x14ac:dyDescent="0.25">
      <c r="A120" s="1954"/>
      <c r="B120" s="1955"/>
      <c r="C120" s="1951"/>
      <c r="H120" s="957"/>
    </row>
    <row r="121" spans="1:107" ht="15" customHeight="1" x14ac:dyDescent="0.25">
      <c r="A121" s="1946" t="s">
        <v>288</v>
      </c>
      <c r="B121" s="1947"/>
      <c r="C121" s="983"/>
    </row>
    <row r="122" spans="1:107" ht="15" customHeight="1" x14ac:dyDescent="0.25">
      <c r="A122" s="1966" t="s">
        <v>289</v>
      </c>
      <c r="B122" s="1967"/>
      <c r="C122" s="986"/>
    </row>
    <row r="123" spans="1:107" ht="15" customHeight="1" x14ac:dyDescent="0.25">
      <c r="A123" s="1948" t="s">
        <v>290</v>
      </c>
      <c r="B123" s="1949"/>
      <c r="C123" s="986"/>
    </row>
    <row r="124" spans="1:107" ht="15" customHeight="1" x14ac:dyDescent="0.25">
      <c r="A124" s="1948" t="s">
        <v>291</v>
      </c>
      <c r="B124" s="1949"/>
      <c r="C124" s="986"/>
    </row>
    <row r="125" spans="1:107" ht="15" customHeight="1" x14ac:dyDescent="0.25">
      <c r="A125" s="1948" t="s">
        <v>292</v>
      </c>
      <c r="B125" s="1949"/>
      <c r="C125" s="987"/>
    </row>
    <row r="126" spans="1:107" ht="15" customHeight="1" x14ac:dyDescent="0.25">
      <c r="A126" s="1962" t="s">
        <v>89</v>
      </c>
      <c r="B126" s="1963"/>
      <c r="C126" s="988">
        <f>SUM(C121:C125)</f>
        <v>0</v>
      </c>
    </row>
    <row r="127" spans="1:107" ht="17.100000000000001" customHeight="1" x14ac:dyDescent="0.25">
      <c r="A127" s="2032" t="s">
        <v>293</v>
      </c>
      <c r="B127" s="2032"/>
      <c r="C127" s="2032"/>
      <c r="D127" s="2032"/>
      <c r="E127" s="2032"/>
      <c r="F127" s="2032"/>
      <c r="G127" s="2032"/>
      <c r="H127" s="2032"/>
      <c r="I127" s="2032"/>
      <c r="J127" s="2032"/>
      <c r="K127" s="2032"/>
    </row>
    <row r="128" spans="1:107" ht="15" customHeight="1" x14ac:dyDescent="0.25">
      <c r="A128" s="1918" t="s">
        <v>294</v>
      </c>
      <c r="B128" s="1899"/>
      <c r="C128" s="1918" t="s">
        <v>89</v>
      </c>
      <c r="D128" s="1958"/>
      <c r="E128" s="1899"/>
      <c r="F128" s="2041" t="s">
        <v>295</v>
      </c>
      <c r="G128" s="2042"/>
      <c r="H128" s="2042"/>
      <c r="I128" s="2042"/>
      <c r="J128" s="2042"/>
      <c r="K128" s="2043"/>
      <c r="L128" s="2001" t="s">
        <v>296</v>
      </c>
      <c r="AW128" s="787"/>
      <c r="AX128" s="787"/>
      <c r="AY128" s="787"/>
      <c r="AZ128" s="787"/>
      <c r="BA128" s="787"/>
      <c r="BR128"/>
      <c r="BS128"/>
      <c r="BT128"/>
      <c r="BU128"/>
      <c r="BV128"/>
    </row>
    <row r="129" spans="1:125" ht="15" customHeight="1" x14ac:dyDescent="0.25">
      <c r="A129" s="1936"/>
      <c r="B129" s="1900"/>
      <c r="C129" s="1937"/>
      <c r="D129" s="1959"/>
      <c r="E129" s="1901"/>
      <c r="F129" s="1896" t="s">
        <v>297</v>
      </c>
      <c r="G129" s="1898"/>
      <c r="H129" s="2025" t="s">
        <v>298</v>
      </c>
      <c r="I129" s="1898"/>
      <c r="J129" s="2025" t="s">
        <v>299</v>
      </c>
      <c r="K129" s="1897"/>
      <c r="L129" s="2002"/>
      <c r="AW129" s="787"/>
      <c r="AX129" s="787"/>
      <c r="AY129" s="787"/>
      <c r="AZ129" s="787"/>
      <c r="BA129" s="787"/>
      <c r="BR129"/>
      <c r="BS129"/>
      <c r="BT129"/>
      <c r="BU129"/>
      <c r="BV129"/>
    </row>
    <row r="130" spans="1:125" ht="15" customHeight="1" x14ac:dyDescent="0.25">
      <c r="A130" s="1937"/>
      <c r="B130" s="1901"/>
      <c r="C130" s="990" t="s">
        <v>89</v>
      </c>
      <c r="D130" s="910" t="s">
        <v>86</v>
      </c>
      <c r="E130" s="796" t="s">
        <v>225</v>
      </c>
      <c r="F130" s="913" t="s">
        <v>86</v>
      </c>
      <c r="G130" s="913" t="s">
        <v>225</v>
      </c>
      <c r="H130" s="913" t="s">
        <v>86</v>
      </c>
      <c r="I130" s="913" t="s">
        <v>225</v>
      </c>
      <c r="J130" s="991" t="s">
        <v>86</v>
      </c>
      <c r="K130" s="793" t="s">
        <v>225</v>
      </c>
      <c r="L130" s="2003"/>
      <c r="AW130" s="787"/>
      <c r="AX130" s="787"/>
      <c r="AY130" s="787"/>
      <c r="AZ130" s="787"/>
      <c r="BA130" s="787"/>
      <c r="BR130"/>
      <c r="BS130"/>
      <c r="BT130"/>
      <c r="BU130"/>
      <c r="BV130"/>
    </row>
    <row r="131" spans="1:125" ht="15" customHeight="1" x14ac:dyDescent="0.25">
      <c r="A131" s="1924" t="s">
        <v>300</v>
      </c>
      <c r="B131" s="1925"/>
      <c r="C131" s="993">
        <f>SUM(D131:E131)</f>
        <v>0</v>
      </c>
      <c r="D131" s="994">
        <f>+F131+H131+J131</f>
        <v>0</v>
      </c>
      <c r="E131" s="995">
        <f>+G131+I131+K131</f>
        <v>0</v>
      </c>
      <c r="F131" s="821"/>
      <c r="G131" s="825"/>
      <c r="H131" s="825"/>
      <c r="I131" s="829"/>
      <c r="J131" s="829"/>
      <c r="K131" s="822"/>
      <c r="L131" s="822"/>
      <c r="M131" s="787" t="str">
        <f>CA131&amp;CB131&amp;CC131&amp;CD131&amp;CE131&amp;CF131&amp;CG131</f>
        <v/>
      </c>
      <c r="AW131" s="787"/>
      <c r="AX131" s="787"/>
      <c r="AY131" s="787"/>
      <c r="AZ131" s="787"/>
      <c r="BA131" s="787"/>
      <c r="BR131"/>
      <c r="BS131"/>
      <c r="BT131"/>
      <c r="BU131"/>
      <c r="BV131"/>
      <c r="BX131" s="471"/>
      <c r="BY131" s="471"/>
      <c r="BZ131" s="471"/>
      <c r="CA131" s="620" t="str">
        <f>IF(SUM($F131)&lt;=SUM($AB$12+$AD$12),"","* Hombres de 36 a 47 meses debe ser menor o igual al Total de la población de Hombres bajo control de en sección A misma edad. ")</f>
        <v/>
      </c>
      <c r="CB131" s="620" t="str">
        <f>IF(SUM($G131)&lt;=SUM($AC$12+$AE$12),"","* Mujeres de 36 a 47 meses debe ser menor o igual al Total de la población de Mujeres bajo control de en sección A misma edad. ")</f>
        <v/>
      </c>
      <c r="CC131" s="620" t="str">
        <f>IF(SUM(H131)&lt;=SUM($AF$12,$F$45),"","* Hombres de 48 a 71 meses clasificados debe ser menor o igual al Total de la población de Hombres bajo control de en sección A y A1 de la misma edad. ")</f>
        <v/>
      </c>
      <c r="CD131" s="620" t="str">
        <f>IF(SUM(I131)&lt;=SUM(AG12,G45),"","* Mujeres de 48 a 71 meses clasificados debe ser menor o igual al Total de la población de Mujeres bajo control de en sección A y A1 de la misma edad. ")</f>
        <v/>
      </c>
      <c r="CE131" s="620" t="str">
        <f>IF(SUM(J131)&lt;=SUM($H$45+$J$45+$L$45+$N$45),"","* Hombres de 6 a 9 años clasificados debe ser menor o igual al Total de la población de Hombres bajo control de en sección A1 misma edad ")</f>
        <v/>
      </c>
      <c r="CF131" s="620" t="str">
        <f>IF(SUM(K131)&lt;=SUM($I$45+$K$45+$M$45+$O$45),"","* Mujeres de 6 a 9 años clasificados debe ser menor o igual al Total de la población de Mujeres bajo control de en sección A1 misma edad ")</f>
        <v/>
      </c>
      <c r="CG131" s="620" t="str">
        <f>IF(AND(C131&gt;0,OR(L131=""))," * No olvide digitar la variable Derivación Nivel Secundario. Digite Cero si no tiene.",IF(L131&gt;C131," * La variable Derivación Nivel Secundario no puede ser Mayor al Total.",""))</f>
        <v/>
      </c>
      <c r="CL131" s="470"/>
      <c r="CM131" s="470"/>
      <c r="DP131" s="501">
        <f>IF(SUM(F131)&lt;=SUM(AB$12+AD$12),0,1)</f>
        <v>0</v>
      </c>
      <c r="DQ131" s="501">
        <f>IF(SUM($G$131)&lt;=SUM(AC$12+AE$12),0,1)</f>
        <v>0</v>
      </c>
      <c r="DR131" s="501">
        <f>IF(SUM($H131)&lt;=SUM($AF$12,$F$45),0,1)</f>
        <v>0</v>
      </c>
      <c r="DS131" s="501">
        <f>IF(SUM($I131)&lt;=SUM($AG$12,$G$45),0,1)</f>
        <v>0</v>
      </c>
      <c r="DT131" s="501">
        <f>IF(SUM($J131)&lt;=SUM($H$45+$J$45+$L$45+$N$45),0,1)</f>
        <v>0</v>
      </c>
      <c r="DU131" s="501">
        <f>IF(SUM($K131)&lt;=SUM($I$45+$K$45+$M$45+$O$45),0,1)</f>
        <v>0</v>
      </c>
    </row>
    <row r="132" spans="1:125" ht="15" customHeight="1" x14ac:dyDescent="0.25">
      <c r="A132" s="1942" t="s">
        <v>301</v>
      </c>
      <c r="B132" s="1943"/>
      <c r="C132" s="996">
        <f t="shared" ref="C132:C134" si="96">SUM(D132:E132)</f>
        <v>0</v>
      </c>
      <c r="D132" s="997">
        <f t="shared" ref="D132:D134" si="97">+F132+H132+J132</f>
        <v>0</v>
      </c>
      <c r="E132" s="998">
        <f t="shared" ref="E132:E134" si="98">+G132+I132+K132</f>
        <v>0</v>
      </c>
      <c r="F132" s="889"/>
      <c r="G132" s="892"/>
      <c r="H132" s="892"/>
      <c r="I132" s="895"/>
      <c r="J132" s="895"/>
      <c r="K132" s="966"/>
      <c r="L132" s="966"/>
      <c r="M132" s="787" t="str">
        <f t="shared" ref="M132:M134" si="99">CA132&amp;CB132&amp;CC132&amp;CD132&amp;CE132&amp;CF132&amp;CG132</f>
        <v/>
      </c>
      <c r="AW132" s="787"/>
      <c r="AX132" s="787"/>
      <c r="AY132" s="787"/>
      <c r="AZ132" s="787"/>
      <c r="BA132" s="787"/>
      <c r="BR132"/>
      <c r="BS132"/>
      <c r="BT132"/>
      <c r="BU132"/>
      <c r="BV132"/>
      <c r="BX132" s="471"/>
      <c r="BY132" s="471"/>
      <c r="BZ132" s="471"/>
      <c r="CA132" s="620" t="str">
        <f t="shared" ref="CA132:CA134" si="100">IF(SUM($F132)&lt;=SUM($AB$12+$AD$12),"","* Hombres de 36 a 47 meses debe ser menor o igual al Total de la población de Hombres bajo control de en sección A misma edad. ")</f>
        <v/>
      </c>
      <c r="CB132" s="620" t="str">
        <f t="shared" ref="CB132:CB134" si="101">IF(SUM($G132)&lt;=SUM($AC$12+$AE$12),"","* Mujeres de 36 a 47 meses debe ser menor o igual al Total de la población de Mujeres bajo control de en sección A misma edad. ")</f>
        <v/>
      </c>
      <c r="CC132" s="620" t="str">
        <f t="shared" ref="CC132:CC134" si="102">IF(SUM(H132)&lt;=SUM($AF$12,$F$45),"","* Hombres de 48 a 71 meses clasificados debe ser menor o igual al Total de la población de Hombres bajo control de en sección A y A1 de la misma edad. ")</f>
        <v/>
      </c>
      <c r="CD132" s="620" t="str">
        <f>IF(SUM(I132)&lt;=SUM(AG12,G45),"","* Mujeres de 48 a 71 meses clasificados debe ser menor o igual al Total de la población de Mujeres bajo control de en sección A y A1 de la misma edad. ")</f>
        <v/>
      </c>
      <c r="CE132" s="620" t="str">
        <f t="shared" ref="CE132:CE134" si="103">IF(SUM(J132)&lt;=SUM($H$45+$J$45+$L$45+$N$45),"","* Hombres de 6 a 9 años clasificados debe ser menor o igual al Total de la población de Hombres bajo control de en sección A1 misma edad ")</f>
        <v/>
      </c>
      <c r="CF132" s="620" t="str">
        <f t="shared" ref="CF132:CF134" si="104">IF(SUM(K132)&lt;=SUM($I$45+$K$45+$M$45+$O$45),"","* Mujeres de 6 a 9 años clasificados debe ser menor o igual al Total de la población de Mujeres bajo control de en sección A1 misma edad ")</f>
        <v/>
      </c>
      <c r="CG132" s="620" t="str">
        <f t="shared" ref="CG132:CG134" si="105">IF(AND(C132&gt;0,OR(L132=""))," * No olvide digitar la variable Derivación Nivel Secundario. Digite Cero si no tiene.",IF(L132&gt;C132," * La variable Derivación Nivel Secundario no puede ser Mayor al Total.",""))</f>
        <v/>
      </c>
      <c r="DP132" s="501">
        <f t="shared" ref="DP132:DP134" si="106">IF(SUM(F132)&lt;=SUM(AB$12+AD$12),0,1)</f>
        <v>0</v>
      </c>
      <c r="DQ132" s="501">
        <f t="shared" ref="DQ132:DQ134" si="107">IF(SUM($G$131)&lt;=SUM(AC$12+AE$12),0,1)</f>
        <v>0</v>
      </c>
      <c r="DR132" s="501">
        <f t="shared" ref="DR132:DR134" si="108">IF(SUM($H132)&lt;=SUM($AF$12,$F$45),0,1)</f>
        <v>0</v>
      </c>
      <c r="DS132" s="501">
        <f t="shared" ref="DS132:DS133" si="109">IF(SUM($I132)&lt;=SUM($AG$12,$G$45),0,1)</f>
        <v>0</v>
      </c>
      <c r="DT132" s="501">
        <f t="shared" ref="DT132:DT134" si="110">IF(SUM($J132)&lt;=SUM($H$45+$J$45+$L$45+$N$45),0,1)</f>
        <v>0</v>
      </c>
      <c r="DU132" s="501">
        <f t="shared" ref="DU132:DU134" si="111">IF(SUM($K132)&lt;=SUM($I$45+$K$45+$M$45+$O$45),0,1)</f>
        <v>0</v>
      </c>
    </row>
    <row r="133" spans="1:125" ht="15" customHeight="1" x14ac:dyDescent="0.25">
      <c r="A133" s="1942" t="s">
        <v>302</v>
      </c>
      <c r="B133" s="1943"/>
      <c r="C133" s="996">
        <f t="shared" si="96"/>
        <v>0</v>
      </c>
      <c r="D133" s="997">
        <f>+F133+H133+J133</f>
        <v>0</v>
      </c>
      <c r="E133" s="998">
        <f t="shared" si="98"/>
        <v>0</v>
      </c>
      <c r="F133" s="889"/>
      <c r="G133" s="892"/>
      <c r="H133" s="892"/>
      <c r="I133" s="895"/>
      <c r="J133" s="895"/>
      <c r="K133" s="966"/>
      <c r="L133" s="966"/>
      <c r="M133" s="787" t="str">
        <f t="shared" si="99"/>
        <v/>
      </c>
      <c r="AW133" s="787"/>
      <c r="AX133" s="787"/>
      <c r="AY133" s="787"/>
      <c r="AZ133" s="787"/>
      <c r="BA133" s="787"/>
      <c r="BR133"/>
      <c r="BS133"/>
      <c r="BT133"/>
      <c r="BU133"/>
      <c r="BV133"/>
      <c r="BX133" s="471"/>
      <c r="BY133" s="471"/>
      <c r="BZ133" s="471"/>
      <c r="CA133" s="620" t="str">
        <f t="shared" si="100"/>
        <v/>
      </c>
      <c r="CB133" s="620" t="str">
        <f t="shared" si="101"/>
        <v/>
      </c>
      <c r="CC133" s="620" t="str">
        <f t="shared" si="102"/>
        <v/>
      </c>
      <c r="CD133" s="620" t="str">
        <f>IF(SUM(I133)&lt;=SUM($AG$14,$G$45),"","* Mujeres de 48 a 71 meses clasificados debe ser menor o igual al Total de la población de Mujeres bajo control de en sección A y A1 de la misma edad. ")</f>
        <v/>
      </c>
      <c r="CE133" s="620" t="str">
        <f t="shared" si="103"/>
        <v/>
      </c>
      <c r="CF133" s="620" t="str">
        <f t="shared" si="104"/>
        <v/>
      </c>
      <c r="CG133" s="620" t="str">
        <f t="shared" si="105"/>
        <v/>
      </c>
      <c r="DP133" s="501">
        <f t="shared" si="106"/>
        <v>0</v>
      </c>
      <c r="DQ133" s="501">
        <f t="shared" si="107"/>
        <v>0</v>
      </c>
      <c r="DR133" s="501">
        <f t="shared" si="108"/>
        <v>0</v>
      </c>
      <c r="DS133" s="501">
        <f t="shared" si="109"/>
        <v>0</v>
      </c>
      <c r="DT133" s="501">
        <f t="shared" si="110"/>
        <v>0</v>
      </c>
      <c r="DU133" s="501">
        <f t="shared" si="111"/>
        <v>0</v>
      </c>
    </row>
    <row r="134" spans="1:125" ht="15" customHeight="1" x14ac:dyDescent="0.25">
      <c r="A134" s="1928" t="s">
        <v>303</v>
      </c>
      <c r="B134" s="1929"/>
      <c r="C134" s="999">
        <f t="shared" si="96"/>
        <v>0</v>
      </c>
      <c r="D134" s="1000">
        <f t="shared" si="97"/>
        <v>0</v>
      </c>
      <c r="E134" s="1001">
        <f t="shared" si="98"/>
        <v>0</v>
      </c>
      <c r="F134" s="832"/>
      <c r="G134" s="836"/>
      <c r="H134" s="836"/>
      <c r="I134" s="840"/>
      <c r="J134" s="840"/>
      <c r="K134" s="833"/>
      <c r="L134" s="833"/>
      <c r="M134" s="787" t="str">
        <f t="shared" si="99"/>
        <v/>
      </c>
      <c r="AW134" s="787"/>
      <c r="AX134" s="787"/>
      <c r="AY134" s="787"/>
      <c r="AZ134" s="787"/>
      <c r="BA134" s="787"/>
      <c r="BR134"/>
      <c r="BS134"/>
      <c r="BT134"/>
      <c r="BU134"/>
      <c r="BV134"/>
      <c r="BX134" s="471"/>
      <c r="BY134" s="471"/>
      <c r="BZ134" s="471"/>
      <c r="CA134" s="620" t="str">
        <f t="shared" si="100"/>
        <v/>
      </c>
      <c r="CB134" s="620" t="str">
        <f t="shared" si="101"/>
        <v/>
      </c>
      <c r="CC134" s="620" t="str">
        <f t="shared" si="102"/>
        <v/>
      </c>
      <c r="CD134" s="620" t="str">
        <f>IF(SUM(I134)&lt;=SUM($AG$12,$G$45),"","* Mujeres de 48 a 71 meses clasificados debe ser menor o igual al Total de la población de Mujeres bajo control de en sección A y A1 de la misma edad. ")</f>
        <v/>
      </c>
      <c r="CE134" s="620" t="str">
        <f t="shared" si="103"/>
        <v/>
      </c>
      <c r="CF134" s="620" t="str">
        <f t="shared" si="104"/>
        <v/>
      </c>
      <c r="CG134" s="620" t="str">
        <f t="shared" si="105"/>
        <v/>
      </c>
      <c r="DP134" s="501">
        <f t="shared" si="106"/>
        <v>0</v>
      </c>
      <c r="DQ134" s="501">
        <f t="shared" si="107"/>
        <v>0</v>
      </c>
      <c r="DR134" s="501">
        <f t="shared" si="108"/>
        <v>0</v>
      </c>
      <c r="DS134" s="501">
        <f>IF(SUM($I134)&lt;=SUM($AG$12,$G$45),0,1)</f>
        <v>0</v>
      </c>
      <c r="DT134" s="501">
        <f t="shared" si="110"/>
        <v>0</v>
      </c>
      <c r="DU134" s="501">
        <f t="shared" si="111"/>
        <v>0</v>
      </c>
    </row>
    <row r="135" spans="1:125" ht="15" customHeight="1" x14ac:dyDescent="0.25">
      <c r="A135" s="1964" t="s">
        <v>89</v>
      </c>
      <c r="B135" s="1965"/>
      <c r="C135" s="1002">
        <f>SUM(D135:E135)</f>
        <v>0</v>
      </c>
      <c r="D135" s="1003">
        <f>+F135+H135+J135</f>
        <v>0</v>
      </c>
      <c r="E135" s="904">
        <f>+G135+I135+K135</f>
        <v>0</v>
      </c>
      <c r="F135" s="843">
        <f>SUM(F131:F134)</f>
        <v>0</v>
      </c>
      <c r="G135" s="844">
        <f>SUM(G131:G134)</f>
        <v>0</v>
      </c>
      <c r="H135" s="844">
        <f t="shared" ref="H135:J135" si="112">SUM(H131:H134)</f>
        <v>0</v>
      </c>
      <c r="I135" s="849">
        <f t="shared" si="112"/>
        <v>0</v>
      </c>
      <c r="J135" s="849">
        <f t="shared" si="112"/>
        <v>0</v>
      </c>
      <c r="K135" s="904">
        <f>SUM(K131:K134)</f>
        <v>0</v>
      </c>
      <c r="L135" s="904">
        <f>SUM(L131:L134)</f>
        <v>0</v>
      </c>
      <c r="AW135" s="787"/>
      <c r="AX135" s="787"/>
      <c r="AY135" s="787"/>
      <c r="AZ135" s="787"/>
      <c r="BA135" s="787"/>
      <c r="BR135"/>
      <c r="BS135"/>
      <c r="BT135"/>
      <c r="BU135"/>
      <c r="BV135"/>
      <c r="BX135" s="471"/>
      <c r="BY135" s="471"/>
      <c r="BZ135" s="471"/>
      <c r="CH135" s="468"/>
      <c r="CJ135" s="468"/>
      <c r="CK135" s="468"/>
    </row>
    <row r="136" spans="1:125" ht="17.100000000000001" customHeight="1" x14ac:dyDescent="0.25">
      <c r="A136" s="2031" t="s">
        <v>304</v>
      </c>
      <c r="B136" s="2031"/>
      <c r="C136" s="2031"/>
      <c r="D136" s="2031"/>
      <c r="E136" s="2031"/>
      <c r="F136" s="2031"/>
      <c r="G136" s="2031"/>
      <c r="H136" s="2031"/>
      <c r="I136" s="2031"/>
      <c r="AW136" s="787"/>
      <c r="BR136"/>
      <c r="BT136" s="471"/>
      <c r="BU136" s="471"/>
      <c r="BV136" s="471"/>
    </row>
    <row r="137" spans="1:125" ht="15" customHeight="1" x14ac:dyDescent="0.25">
      <c r="A137" s="1918" t="s">
        <v>274</v>
      </c>
      <c r="B137" s="1899"/>
      <c r="C137" s="1944" t="s">
        <v>49</v>
      </c>
      <c r="D137" s="2041" t="s">
        <v>295</v>
      </c>
      <c r="E137" s="2042"/>
      <c r="F137" s="2042"/>
      <c r="G137" s="2042"/>
      <c r="H137" s="2042"/>
      <c r="I137" s="2043"/>
      <c r="BS137" s="471"/>
      <c r="BT137" s="471"/>
      <c r="BU137" s="471"/>
    </row>
    <row r="138" spans="1:125" ht="22.15" customHeight="1" x14ac:dyDescent="0.25">
      <c r="A138" s="1937"/>
      <c r="B138" s="1901"/>
      <c r="C138" s="1945"/>
      <c r="D138" s="960" t="s">
        <v>305</v>
      </c>
      <c r="E138" s="961" t="s">
        <v>306</v>
      </c>
      <c r="F138" s="961" t="s">
        <v>220</v>
      </c>
      <c r="G138" s="961" t="s">
        <v>297</v>
      </c>
      <c r="H138" s="961" t="s">
        <v>223</v>
      </c>
      <c r="I138" s="962" t="s">
        <v>307</v>
      </c>
      <c r="BS138" s="471"/>
      <c r="BT138" s="471"/>
      <c r="BU138" s="471"/>
    </row>
    <row r="139" spans="1:125" ht="15" customHeight="1" x14ac:dyDescent="0.25">
      <c r="A139" s="1924" t="s">
        <v>308</v>
      </c>
      <c r="B139" s="1925"/>
      <c r="C139" s="818">
        <f>SUM(D139:I139)</f>
        <v>0</v>
      </c>
      <c r="D139" s="821"/>
      <c r="E139" s="829"/>
      <c r="F139" s="829"/>
      <c r="G139" s="829"/>
      <c r="H139" s="829"/>
      <c r="I139" s="823"/>
      <c r="J139" s="787" t="str">
        <f xml:space="preserve"> CA139 &amp; CB139 &amp; CC139 &amp; CD139 &amp; CE139 &amp; CF139</f>
        <v/>
      </c>
      <c r="BS139" s="471"/>
      <c r="BT139" s="471"/>
      <c r="BU139" s="471"/>
      <c r="CA139" s="620" t="str">
        <f>IF($D139&lt;=SUM($N$36:$U$36),"","*Población de niños/as de 4 a 11 meses eutróficos clasificados SIN RIESGO debe ser menor o igual al Total niños/as con Estado nutricional NORMAL sección A de la misma edad.")</f>
        <v/>
      </c>
      <c r="CB139" s="620" t="str">
        <f>IF($E139&lt;=SUM($V$36:$Y$36),"","*Población de niños/as de 12 a 23 meses eutróficos clasificados SIN RIESGO debe ser menor o igual al Total niños/as con Estado nutricional NORMAL sección A de la misma edad.")</f>
        <v/>
      </c>
      <c r="CC139" s="620" t="str">
        <f>IF($F139&lt;=SUM($Z$36:$AA$36),"","*Población de niños/as de 24 a 35 meses eutróficos clasificados SIN RIESGO debe ser menor o igual al Total niños/as con Estado nutricional NORMAL sección A de la misma edad.")</f>
        <v/>
      </c>
      <c r="CD139" s="620" t="str">
        <f>IF($G139&lt;=SUM($AB$36:$AE$36),"","*Población de niños/as de 36 a 47 meses eutróficos clasificados SIN RIESGO debe ser menor o igual al Total niños/as con Estado nutricional NORMAL sección A de la misma edad.")</f>
        <v/>
      </c>
      <c r="CE139" s="620" t="str">
        <f>IF($H139&lt;=SUM($AF$36:$AG$36),"","*Población de niños/as de 48 a 59 meses eutróficos clasificados SIN RIESGO debe ser menor o igual al Total niños/as con Estado nutricional NORMAL sección A de la misma edad.")</f>
        <v/>
      </c>
      <c r="CF139" s="620" t="str">
        <f>IF($I139&lt;=SUM($F$70:$G$70),"","*Población de niños/as de 60 a 71 meses eutróficos clasificados SIN RIESGO debe ser menor o igual al Total niños/as con Estado nutricional NORMAL sección A de la misma edad.")</f>
        <v/>
      </c>
      <c r="DP139" s="501">
        <f>IF($D139&lt;=SUM($N$36:$U$36),0,1)</f>
        <v>0</v>
      </c>
      <c r="DQ139" s="501">
        <f>IF($E139&lt;=SUM($V$36:$Y$36),0,1)</f>
        <v>0</v>
      </c>
      <c r="DR139" s="501">
        <f>IF($F139&lt;=SUM($Z$36:$AA$36),0,1)</f>
        <v>0</v>
      </c>
      <c r="DS139" s="501">
        <f>IF($G139&lt;=SUM($AB$36:$AE$36),0,1)</f>
        <v>0</v>
      </c>
      <c r="DT139" s="501">
        <f>IF($H139&lt;=SUM($AF$36:$AG$36),0,1)</f>
        <v>0</v>
      </c>
      <c r="DU139" s="501">
        <f>IF($I139&lt;=SUM($F$70:$G$70),0,1)</f>
        <v>0</v>
      </c>
    </row>
    <row r="140" spans="1:125" ht="15" customHeight="1" x14ac:dyDescent="0.25">
      <c r="A140" s="1928" t="s">
        <v>309</v>
      </c>
      <c r="B140" s="1929"/>
      <c r="C140" s="972">
        <f>SUM(D140:I140)</f>
        <v>0</v>
      </c>
      <c r="D140" s="832"/>
      <c r="E140" s="840"/>
      <c r="F140" s="840"/>
      <c r="G140" s="840"/>
      <c r="H140" s="840"/>
      <c r="I140" s="834"/>
      <c r="J140" s="787" t="str">
        <f xml:space="preserve"> CA140 &amp; CB140 &amp; CC140 &amp; CD140 &amp; CE140 &amp; CF140</f>
        <v/>
      </c>
      <c r="BS140" s="471"/>
      <c r="BT140" s="471"/>
      <c r="BU140" s="471"/>
      <c r="CA140" s="620" t="str">
        <f>IF($D140&lt;=SUM($N$36:$U$36),"","*Población de niños/as de 4 a 11 meses eutróficos clasificados CON RIESGO debe ser menor o igual al Total niños/as con Estado nutricional NORMAL sección A de la misma edad.")</f>
        <v/>
      </c>
      <c r="CB140" s="620" t="str">
        <f>IF($E140&lt;=SUM($V$36:$Y$36),"","*Población de niños/as de 12 a 23 meses eutróficos clasificados CON RIESGO debe ser menor o igual al Total niños/as con Estado nutricional NORMAL sección A de la misma edad.")</f>
        <v/>
      </c>
      <c r="CC140" s="620" t="str">
        <f>IF($F140&lt;=SUM($Z$36:$AA$36),"","*Población de niños/as de 24 a 35 meses eutróficos clasificados CON RIESGO debe ser menor o igual al Total niños/as con Estado nutricional NORMAL sección A de la misma edad.")</f>
        <v/>
      </c>
      <c r="CD140" s="620" t="str">
        <f>IF($G140&lt;=SUM($AB$36:$AE$36),"","*Población de niños/as de 36 a 47 meses eutróficos clasificados CON RIESGO debe ser menor o igual al Total niños/as con Estado nutricional NORMAL sección A de la misma edad.")</f>
        <v/>
      </c>
      <c r="CE140" s="620" t="str">
        <f>IF($H140&lt;=SUM($AF$36:$AG$36),"","*Población de niños/as de 48 a 59 meses eutróficos clasificados CON RIESGO debe ser menor o igual al Total niños/as con Estado nutricional NORMAL sección A de la misma edad.")</f>
        <v/>
      </c>
      <c r="CF140" s="620" t="str">
        <f>IF($I140&lt;=SUM($F$70:$G$70),"","*Población de niños/as de 60 a 71 meses eutróficos clasificados CON RIESGO debe ser menor o igual al Total niños/as con Estado nutricional NORMAL sección A de la misma edad.")</f>
        <v/>
      </c>
      <c r="DP140" s="501">
        <f t="shared" ref="DP140" si="113">IF($D140&lt;=SUM($N$36:$U$36),0,1)</f>
        <v>0</v>
      </c>
      <c r="DQ140" s="501">
        <f>IF($E140&lt;=SUM($V$36:$Y$36),0,1)</f>
        <v>0</v>
      </c>
      <c r="DR140" s="501">
        <f>IF($F140&lt;=SUM($Z$36:$AA$36),0,1)</f>
        <v>0</v>
      </c>
      <c r="DS140" s="501">
        <f>IF($G140&lt;=SUM($AB$36:$AC$36),0,1)</f>
        <v>0</v>
      </c>
      <c r="DT140" s="501">
        <f>IF($H140&lt;=SUM($AF$36:$AG$36),0,1)</f>
        <v>0</v>
      </c>
      <c r="DU140" s="501">
        <f>IF($I140&lt;=SUM($F$70:$G$70),0,1)</f>
        <v>0</v>
      </c>
    </row>
    <row r="141" spans="1:125" ht="15" customHeight="1" x14ac:dyDescent="0.25">
      <c r="A141" s="1964" t="s">
        <v>89</v>
      </c>
      <c r="B141" s="1965"/>
      <c r="C141" s="842">
        <f>SUM(D141:I141)</f>
        <v>0</v>
      </c>
      <c r="D141" s="843">
        <f t="shared" ref="D141:I141" si="114">SUM(D139:D140)</f>
        <v>0</v>
      </c>
      <c r="E141" s="849">
        <f t="shared" si="114"/>
        <v>0</v>
      </c>
      <c r="F141" s="849">
        <f t="shared" si="114"/>
        <v>0</v>
      </c>
      <c r="G141" s="844">
        <f t="shared" si="114"/>
        <v>0</v>
      </c>
      <c r="H141" s="849">
        <f t="shared" si="114"/>
        <v>0</v>
      </c>
      <c r="I141" s="845">
        <f t="shared" si="114"/>
        <v>0</v>
      </c>
      <c r="J141" s="787" t="str">
        <f xml:space="preserve"> CE141 &amp; CF141 &amp; CG141 &amp; CH141 &amp; CJ141 &amp; CK141</f>
        <v/>
      </c>
      <c r="BS141" s="471"/>
      <c r="BT141" s="471"/>
      <c r="BU141" s="471"/>
      <c r="CL141" s="470"/>
    </row>
    <row r="142" spans="1:125" ht="17.100000000000001" customHeight="1" x14ac:dyDescent="0.25">
      <c r="A142" s="2030" t="s">
        <v>310</v>
      </c>
      <c r="B142" s="2030"/>
      <c r="C142" s="2030"/>
      <c r="D142" s="2030"/>
      <c r="E142" s="2030"/>
      <c r="F142" s="2030"/>
      <c r="G142" s="2030"/>
      <c r="H142" s="2030"/>
      <c r="I142" s="2030"/>
      <c r="J142" s="2030"/>
      <c r="K142" s="2030"/>
      <c r="L142" s="2030"/>
      <c r="M142" s="2030"/>
      <c r="N142" s="2030"/>
      <c r="O142" s="2030"/>
      <c r="P142" s="2030"/>
      <c r="Q142" s="2030"/>
      <c r="R142" s="2030"/>
      <c r="S142" s="2030"/>
      <c r="T142" s="2030"/>
      <c r="U142" s="2030"/>
      <c r="V142" s="2030"/>
      <c r="W142" s="2030"/>
      <c r="X142" s="2030"/>
      <c r="Y142" s="2030"/>
      <c r="Z142" s="2030"/>
      <c r="AA142" s="2030"/>
      <c r="AB142" s="2030"/>
      <c r="AC142" s="2030"/>
      <c r="AD142" s="2030"/>
      <c r="AE142" s="2030"/>
      <c r="AF142" s="2030"/>
      <c r="AG142" s="2030"/>
      <c r="AH142" s="2030"/>
      <c r="AI142" s="2030"/>
      <c r="AJ142" s="2030"/>
      <c r="AK142" s="2030"/>
      <c r="AL142" s="2030"/>
      <c r="AM142" s="2030"/>
      <c r="AN142" s="2030"/>
      <c r="AO142" s="2030"/>
      <c r="AP142" s="2030"/>
      <c r="AQ142" s="2030"/>
      <c r="AR142" s="470"/>
      <c r="AS142" s="470"/>
      <c r="AT142" s="470"/>
      <c r="AU142" s="470"/>
      <c r="AV142" s="470"/>
    </row>
    <row r="143" spans="1:125" ht="15" customHeight="1" x14ac:dyDescent="0.25">
      <c r="A143" s="1968" t="s">
        <v>311</v>
      </c>
      <c r="B143" s="1969"/>
      <c r="C143" s="2035" t="s">
        <v>49</v>
      </c>
      <c r="D143" s="2036"/>
      <c r="E143" s="2037"/>
      <c r="F143" s="2018" t="s">
        <v>243</v>
      </c>
      <c r="G143" s="2019"/>
      <c r="H143" s="2019"/>
      <c r="I143" s="2019"/>
      <c r="J143" s="2019"/>
      <c r="K143" s="2019"/>
      <c r="L143" s="2019"/>
      <c r="M143" s="2019"/>
      <c r="N143" s="2019"/>
      <c r="O143" s="2019"/>
      <c r="P143" s="2019"/>
      <c r="Q143" s="2019"/>
      <c r="R143" s="2019"/>
      <c r="S143" s="2019"/>
      <c r="T143" s="2019"/>
      <c r="U143" s="2019"/>
      <c r="V143" s="2019"/>
      <c r="W143" s="2019"/>
      <c r="X143" s="2019"/>
      <c r="Y143" s="2019"/>
      <c r="Z143" s="2019"/>
      <c r="AA143" s="2019"/>
      <c r="AB143" s="2019"/>
      <c r="AC143" s="2019"/>
      <c r="AD143" s="2019"/>
      <c r="AE143" s="2019"/>
      <c r="AF143" s="2019"/>
      <c r="AG143" s="2019"/>
      <c r="AH143" s="2019"/>
      <c r="AI143" s="2019"/>
      <c r="AJ143" s="2019"/>
      <c r="AK143" s="2019"/>
      <c r="AL143" s="2019"/>
      <c r="AM143" s="2019"/>
      <c r="AN143" s="2019"/>
      <c r="AO143" s="2019"/>
      <c r="AP143" s="2019"/>
      <c r="AQ143" s="2020"/>
      <c r="AR143" s="2021" t="s">
        <v>51</v>
      </c>
      <c r="AS143" s="2022"/>
      <c r="AT143" s="2012" t="s">
        <v>108</v>
      </c>
      <c r="AU143" s="2013"/>
      <c r="AV143" s="470"/>
      <c r="AW143" s="470"/>
      <c r="AX143" s="470"/>
      <c r="AY143" s="470"/>
      <c r="AZ143" s="470"/>
      <c r="BR143"/>
      <c r="BS143"/>
      <c r="BT143"/>
      <c r="BU143"/>
    </row>
    <row r="144" spans="1:125" ht="15" customHeight="1" x14ac:dyDescent="0.25">
      <c r="A144" s="1970"/>
      <c r="B144" s="1971"/>
      <c r="C144" s="2038"/>
      <c r="D144" s="2039"/>
      <c r="E144" s="2040"/>
      <c r="F144" s="2046" t="s">
        <v>210</v>
      </c>
      <c r="G144" s="2016"/>
      <c r="H144" s="2016" t="s">
        <v>211</v>
      </c>
      <c r="I144" s="2016"/>
      <c r="J144" s="2016" t="s">
        <v>212</v>
      </c>
      <c r="K144" s="2016"/>
      <c r="L144" s="2016" t="s">
        <v>213</v>
      </c>
      <c r="M144" s="2016"/>
      <c r="N144" s="2016" t="s">
        <v>214</v>
      </c>
      <c r="O144" s="2016"/>
      <c r="P144" s="2016" t="s">
        <v>215</v>
      </c>
      <c r="Q144" s="2016"/>
      <c r="R144" s="2016" t="s">
        <v>216</v>
      </c>
      <c r="S144" s="2016"/>
      <c r="T144" s="2016" t="s">
        <v>217</v>
      </c>
      <c r="U144" s="2016"/>
      <c r="V144" s="2016" t="s">
        <v>218</v>
      </c>
      <c r="W144" s="2016"/>
      <c r="X144" s="2016" t="s">
        <v>219</v>
      </c>
      <c r="Y144" s="2016"/>
      <c r="Z144" s="2016" t="s">
        <v>220</v>
      </c>
      <c r="AA144" s="2016"/>
      <c r="AB144" s="2016" t="s">
        <v>221</v>
      </c>
      <c r="AC144" s="2016"/>
      <c r="AD144" s="2016" t="s">
        <v>222</v>
      </c>
      <c r="AE144" s="2016"/>
      <c r="AF144" s="2016" t="s">
        <v>223</v>
      </c>
      <c r="AG144" s="2016"/>
      <c r="AH144" s="2016" t="s">
        <v>307</v>
      </c>
      <c r="AI144" s="2016"/>
      <c r="AJ144" s="2016" t="s">
        <v>312</v>
      </c>
      <c r="AK144" s="2016"/>
      <c r="AL144" s="2016" t="s">
        <v>313</v>
      </c>
      <c r="AM144" s="2016"/>
      <c r="AN144" s="2016" t="s">
        <v>314</v>
      </c>
      <c r="AO144" s="2016"/>
      <c r="AP144" s="2016" t="s">
        <v>57</v>
      </c>
      <c r="AQ144" s="2017"/>
      <c r="AR144" s="2023"/>
      <c r="AS144" s="2024"/>
      <c r="AT144" s="2014"/>
      <c r="AU144" s="2015"/>
      <c r="AV144" s="470"/>
      <c r="AW144" s="470"/>
      <c r="AX144" s="470"/>
      <c r="AY144" s="470"/>
      <c r="AZ144" s="470"/>
      <c r="BR144"/>
      <c r="BS144"/>
      <c r="BT144"/>
      <c r="BU144"/>
    </row>
    <row r="145" spans="1:123" ht="15" customHeight="1" x14ac:dyDescent="0.25">
      <c r="A145" s="1972"/>
      <c r="B145" s="1973"/>
      <c r="C145" s="1004" t="s">
        <v>224</v>
      </c>
      <c r="D145" s="910" t="s">
        <v>86</v>
      </c>
      <c r="E145" s="909" t="s">
        <v>225</v>
      </c>
      <c r="F145" s="798" t="s">
        <v>86</v>
      </c>
      <c r="G145" s="991" t="s">
        <v>225</v>
      </c>
      <c r="H145" s="991" t="s">
        <v>86</v>
      </c>
      <c r="I145" s="991" t="s">
        <v>225</v>
      </c>
      <c r="J145" s="991" t="s">
        <v>86</v>
      </c>
      <c r="K145" s="991" t="s">
        <v>225</v>
      </c>
      <c r="L145" s="991" t="s">
        <v>86</v>
      </c>
      <c r="M145" s="991" t="s">
        <v>225</v>
      </c>
      <c r="N145" s="991" t="s">
        <v>86</v>
      </c>
      <c r="O145" s="991" t="s">
        <v>225</v>
      </c>
      <c r="P145" s="991" t="s">
        <v>86</v>
      </c>
      <c r="Q145" s="991" t="s">
        <v>225</v>
      </c>
      <c r="R145" s="991" t="s">
        <v>86</v>
      </c>
      <c r="S145" s="991" t="s">
        <v>225</v>
      </c>
      <c r="T145" s="991" t="s">
        <v>86</v>
      </c>
      <c r="U145" s="991" t="s">
        <v>225</v>
      </c>
      <c r="V145" s="991" t="s">
        <v>86</v>
      </c>
      <c r="W145" s="991" t="s">
        <v>225</v>
      </c>
      <c r="X145" s="991" t="s">
        <v>86</v>
      </c>
      <c r="Y145" s="991" t="s">
        <v>225</v>
      </c>
      <c r="Z145" s="991" t="s">
        <v>86</v>
      </c>
      <c r="AA145" s="991" t="s">
        <v>225</v>
      </c>
      <c r="AB145" s="991" t="s">
        <v>86</v>
      </c>
      <c r="AC145" s="991" t="s">
        <v>225</v>
      </c>
      <c r="AD145" s="991" t="s">
        <v>86</v>
      </c>
      <c r="AE145" s="991" t="s">
        <v>225</v>
      </c>
      <c r="AF145" s="991" t="s">
        <v>86</v>
      </c>
      <c r="AG145" s="991" t="s">
        <v>225</v>
      </c>
      <c r="AH145" s="991" t="s">
        <v>86</v>
      </c>
      <c r="AI145" s="991" t="s">
        <v>225</v>
      </c>
      <c r="AJ145" s="991" t="s">
        <v>86</v>
      </c>
      <c r="AK145" s="991" t="s">
        <v>225</v>
      </c>
      <c r="AL145" s="991" t="s">
        <v>86</v>
      </c>
      <c r="AM145" s="991" t="s">
        <v>225</v>
      </c>
      <c r="AN145" s="991" t="s">
        <v>86</v>
      </c>
      <c r="AO145" s="991" t="s">
        <v>225</v>
      </c>
      <c r="AP145" s="991" t="s">
        <v>86</v>
      </c>
      <c r="AQ145" s="800" t="s">
        <v>225</v>
      </c>
      <c r="AR145" s="1005" t="s">
        <v>86</v>
      </c>
      <c r="AS145" s="800" t="s">
        <v>225</v>
      </c>
      <c r="AT145" s="798" t="s">
        <v>86</v>
      </c>
      <c r="AU145" s="799" t="s">
        <v>225</v>
      </c>
      <c r="AV145" s="470"/>
      <c r="AW145" s="470"/>
      <c r="AX145" s="470"/>
      <c r="AY145" s="470"/>
      <c r="AZ145" s="470"/>
      <c r="BR145"/>
      <c r="BS145"/>
      <c r="BT145"/>
      <c r="BU145"/>
    </row>
    <row r="146" spans="1:123" ht="15" customHeight="1" x14ac:dyDescent="0.25">
      <c r="A146" s="1940" t="s">
        <v>315</v>
      </c>
      <c r="B146" s="1941"/>
      <c r="C146" s="842">
        <f>SUM(D146:E146)</f>
        <v>0</v>
      </c>
      <c r="D146" s="844">
        <f t="shared" ref="D146:D162" si="115">+F146+H146+J146+L146+N146+P146+R146+T146+V146+X146+Z146+AB146+AD146+AF146+AH146+AN146+AP146+AJ146+AL146</f>
        <v>0</v>
      </c>
      <c r="E146" s="845">
        <f t="shared" ref="E146:E162" si="116">+G146+I146+K146+M146+O146+Q146+S146+U146+W146+Y146+AA146+AC146+AE146+AG146+AI146+AO146+AQ146+AK146+AM146</f>
        <v>0</v>
      </c>
      <c r="F146" s="816"/>
      <c r="G146" s="815"/>
      <c r="H146" s="815"/>
      <c r="I146" s="815"/>
      <c r="J146" s="815"/>
      <c r="K146" s="815"/>
      <c r="L146" s="815"/>
      <c r="M146" s="815"/>
      <c r="N146" s="815"/>
      <c r="O146" s="815"/>
      <c r="P146" s="815"/>
      <c r="Q146" s="815"/>
      <c r="R146" s="815"/>
      <c r="S146" s="815"/>
      <c r="T146" s="815"/>
      <c r="U146" s="815"/>
      <c r="V146" s="815"/>
      <c r="W146" s="815"/>
      <c r="X146" s="815"/>
      <c r="Y146" s="815"/>
      <c r="Z146" s="815"/>
      <c r="AA146" s="815"/>
      <c r="AB146" s="815"/>
      <c r="AC146" s="815"/>
      <c r="AD146" s="815"/>
      <c r="AE146" s="815"/>
      <c r="AF146" s="815"/>
      <c r="AG146" s="815"/>
      <c r="AH146" s="815"/>
      <c r="AI146" s="815"/>
      <c r="AJ146" s="815"/>
      <c r="AK146" s="815"/>
      <c r="AL146" s="815"/>
      <c r="AM146" s="815"/>
      <c r="AN146" s="815"/>
      <c r="AO146" s="815"/>
      <c r="AP146" s="815"/>
      <c r="AQ146" s="877"/>
      <c r="AR146" s="814"/>
      <c r="AS146" s="877"/>
      <c r="AT146" s="809"/>
      <c r="AU146" s="810"/>
      <c r="AV146" s="787" t="str">
        <f>CA146&amp;CB146&amp;CC146&amp;CD146</f>
        <v/>
      </c>
      <c r="BK146" s="471"/>
      <c r="BL146" s="471"/>
      <c r="BR146"/>
      <c r="BS146"/>
      <c r="BT146"/>
      <c r="BU146"/>
      <c r="CA146" s="620" t="str">
        <f>IF(AND(D146&gt;0,AR146="")," * No olvide digitar la variable Pueblos Originarios  hombres (Digite Cero si no tiene).",IF(AR146&gt;D146," * La variable Pueblos Originarios  hombres  no debe ser mayor que el Total de Hombres.",""))</f>
        <v/>
      </c>
      <c r="CB146" s="620" t="str">
        <f>IF(AND(E146&gt;0,AS146="")," * No olvide digitar la variable Pueblos Originarios Mujeres (Digite Cero si no tiene). Digite Cero si no tiene.",IF(AS146&gt;E146," * La variable Pueblos Originarios Mujeres no debe ser mayor que el Total de Mujeres",""))</f>
        <v/>
      </c>
      <c r="CC146" s="620" t="str">
        <f t="shared" ref="CC146:CC190" si="117">IF(AND(D146&gt;0,AT146="")," * No olvide digitar la variable Migrantes hombres (Digite Cero si no tiene).",IF(AT146&gt;D146," * La variable Migrantes  hombres  no debe ser mayor que el Total de Hombres",""))</f>
        <v/>
      </c>
      <c r="CD146" s="620" t="str">
        <f t="shared" ref="CD146:CD190" si="118">IF(AND(E146&gt;0,AU146="")," * No olvide digitar la variable Migrantes Mujeres (Digite Cero si no tiene).",IF(AU146&gt;E146," * La variable Migrantes  Mujeres no debe ser mayor que el Total de Mujeres",""))</f>
        <v/>
      </c>
      <c r="DP146" s="501">
        <f t="shared" ref="DP146:DP190" si="119">IF(AND(D146&gt;0,AR146=""),1,IF(AR146&gt;D146,1,0))</f>
        <v>0</v>
      </c>
      <c r="DQ146" s="501">
        <f t="shared" ref="DQ146:DQ190" si="120">IF(AND(E146&gt;0,AS146=""),1,IF(AS146&gt;E146,1,0))</f>
        <v>0</v>
      </c>
      <c r="DR146" s="501">
        <f t="shared" ref="DR146:DR190" si="121">IF(AND(D146&gt;0,AT146=""),1,IF(AT146&gt;D146,1,0))</f>
        <v>0</v>
      </c>
      <c r="DS146" s="501">
        <f t="shared" ref="DS146:DS190" si="122">IF(AND(E146&gt;0,AU146=""),1,IF(AU146&gt;E146,1,0))</f>
        <v>0</v>
      </c>
    </row>
    <row r="147" spans="1:123" ht="15" customHeight="1" x14ac:dyDescent="0.25">
      <c r="A147" s="2044" t="s">
        <v>316</v>
      </c>
      <c r="B147" s="2045"/>
      <c r="C147" s="852">
        <f t="shared" ref="C147:C162" si="123">SUM(D147:E147)</f>
        <v>0</v>
      </c>
      <c r="D147" s="1006">
        <f t="shared" si="115"/>
        <v>0</v>
      </c>
      <c r="E147" s="1007">
        <f t="shared" si="116"/>
        <v>0</v>
      </c>
      <c r="F147" s="867"/>
      <c r="G147" s="873"/>
      <c r="H147" s="873"/>
      <c r="I147" s="873"/>
      <c r="J147" s="873"/>
      <c r="K147" s="873"/>
      <c r="L147" s="873"/>
      <c r="M147" s="873"/>
      <c r="N147" s="873"/>
      <c r="O147" s="873"/>
      <c r="P147" s="873"/>
      <c r="Q147" s="873"/>
      <c r="R147" s="873"/>
      <c r="S147" s="873"/>
      <c r="T147" s="873"/>
      <c r="U147" s="873"/>
      <c r="V147" s="873"/>
      <c r="W147" s="873"/>
      <c r="X147" s="873"/>
      <c r="Y147" s="873"/>
      <c r="Z147" s="873"/>
      <c r="AA147" s="873"/>
      <c r="AB147" s="873"/>
      <c r="AC147" s="873"/>
      <c r="AD147" s="873"/>
      <c r="AE147" s="873"/>
      <c r="AF147" s="873"/>
      <c r="AG147" s="873"/>
      <c r="AH147" s="873"/>
      <c r="AI147" s="873"/>
      <c r="AJ147" s="873"/>
      <c r="AK147" s="873"/>
      <c r="AL147" s="873"/>
      <c r="AM147" s="873"/>
      <c r="AN147" s="873"/>
      <c r="AO147" s="873"/>
      <c r="AP147" s="873"/>
      <c r="AQ147" s="868"/>
      <c r="AR147" s="872"/>
      <c r="AS147" s="868"/>
      <c r="AT147" s="866"/>
      <c r="AU147" s="869"/>
      <c r="AV147" s="787" t="str">
        <f t="shared" ref="AV147:AV190" si="124">CA147&amp;CB147&amp;CC147&amp;CD147</f>
        <v/>
      </c>
      <c r="AW147" s="787"/>
      <c r="AX147" s="951"/>
      <c r="AY147" s="951"/>
      <c r="AZ147" s="951"/>
      <c r="BA147" s="951"/>
      <c r="BB147" s="951"/>
      <c r="BC147" s="787"/>
      <c r="BD147" s="787"/>
      <c r="BE147" s="787"/>
      <c r="BF147" s="787"/>
      <c r="BG147" s="787"/>
      <c r="BH147" s="787"/>
      <c r="BI147" s="787"/>
      <c r="BJ147" s="787"/>
      <c r="BK147" s="787"/>
      <c r="BL147" s="787"/>
      <c r="BR147"/>
      <c r="BS147"/>
      <c r="BT147"/>
      <c r="BU147"/>
      <c r="CA147" s="620" t="str">
        <f t="shared" ref="CA147:CA190" si="125">IF(AND(D147&gt;0,AR147="")," * No olvide digitar la variable Pueblos Originarios  hombres (Digite Cero si no tiene).",IF(AR147&gt;D147," * La variable Pueblos Originarios  hombres  no debe ser mayor que el Total de Hombres.",""))</f>
        <v/>
      </c>
      <c r="CB147" s="620" t="str">
        <f t="shared" ref="CB147:CB190" si="126">IF(AND(E147&gt;0,AS147="")," * No olvide digitar la variable Pueblos Originarios Mujeres (Digite Cero si no tiene). Digite Cero si no tiene.",IF(AS147&gt;E147," * La variable Pueblos Originarios Mujeres no debe ser mayor que el Total de Mujeres",""))</f>
        <v/>
      </c>
      <c r="CC147" s="620" t="str">
        <f t="shared" si="117"/>
        <v/>
      </c>
      <c r="CD147" s="620" t="str">
        <f t="shared" si="118"/>
        <v/>
      </c>
      <c r="DP147" s="501">
        <f t="shared" si="119"/>
        <v>0</v>
      </c>
      <c r="DQ147" s="501">
        <f t="shared" si="120"/>
        <v>0</v>
      </c>
      <c r="DR147" s="501">
        <f t="shared" si="121"/>
        <v>0</v>
      </c>
      <c r="DS147" s="501">
        <f t="shared" si="122"/>
        <v>0</v>
      </c>
    </row>
    <row r="148" spans="1:123" ht="15" customHeight="1" x14ac:dyDescent="0.25">
      <c r="A148" s="1906" t="s">
        <v>317</v>
      </c>
      <c r="B148" s="1907" t="s">
        <v>317</v>
      </c>
      <c r="C148" s="968">
        <f t="shared" si="123"/>
        <v>0</v>
      </c>
      <c r="D148" s="1008">
        <f t="shared" si="115"/>
        <v>0</v>
      </c>
      <c r="E148" s="1009">
        <f t="shared" si="116"/>
        <v>0</v>
      </c>
      <c r="F148" s="892"/>
      <c r="G148" s="895"/>
      <c r="H148" s="895"/>
      <c r="I148" s="895"/>
      <c r="J148" s="895"/>
      <c r="K148" s="895"/>
      <c r="L148" s="895"/>
      <c r="M148" s="895"/>
      <c r="N148" s="895"/>
      <c r="O148" s="895"/>
      <c r="P148" s="895"/>
      <c r="Q148" s="895"/>
      <c r="R148" s="895"/>
      <c r="S148" s="895"/>
      <c r="T148" s="895"/>
      <c r="U148" s="895"/>
      <c r="V148" s="895"/>
      <c r="W148" s="895"/>
      <c r="X148" s="895"/>
      <c r="Y148" s="895"/>
      <c r="Z148" s="895"/>
      <c r="AA148" s="895"/>
      <c r="AB148" s="895"/>
      <c r="AC148" s="895"/>
      <c r="AD148" s="895"/>
      <c r="AE148" s="895"/>
      <c r="AF148" s="895"/>
      <c r="AG148" s="895"/>
      <c r="AH148" s="895"/>
      <c r="AI148" s="895"/>
      <c r="AJ148" s="895"/>
      <c r="AK148" s="895"/>
      <c r="AL148" s="895"/>
      <c r="AM148" s="895"/>
      <c r="AN148" s="895"/>
      <c r="AO148" s="895"/>
      <c r="AP148" s="895"/>
      <c r="AQ148" s="891"/>
      <c r="AR148" s="894"/>
      <c r="AS148" s="891"/>
      <c r="AT148" s="889"/>
      <c r="AU148" s="890"/>
      <c r="AV148" s="787" t="str">
        <f t="shared" si="124"/>
        <v/>
      </c>
      <c r="AW148" s="787"/>
      <c r="AX148" s="787"/>
      <c r="AY148" s="787"/>
      <c r="AZ148" s="787"/>
      <c r="BR148"/>
      <c r="BS148"/>
      <c r="BT148"/>
      <c r="BU148"/>
      <c r="CA148" s="620" t="str">
        <f t="shared" si="125"/>
        <v/>
      </c>
      <c r="CB148" s="620" t="str">
        <f t="shared" si="126"/>
        <v/>
      </c>
      <c r="CC148" s="620" t="str">
        <f t="shared" si="117"/>
        <v/>
      </c>
      <c r="CD148" s="620" t="str">
        <f t="shared" si="118"/>
        <v/>
      </c>
      <c r="DP148" s="501">
        <f t="shared" si="119"/>
        <v>0</v>
      </c>
      <c r="DQ148" s="501">
        <f t="shared" si="120"/>
        <v>0</v>
      </c>
      <c r="DR148" s="501">
        <f t="shared" si="121"/>
        <v>0</v>
      </c>
      <c r="DS148" s="501">
        <f t="shared" si="122"/>
        <v>0</v>
      </c>
    </row>
    <row r="149" spans="1:123" ht="15" customHeight="1" x14ac:dyDescent="0.25">
      <c r="A149" s="1906" t="s">
        <v>318</v>
      </c>
      <c r="B149" s="1907" t="s">
        <v>318</v>
      </c>
      <c r="C149" s="968">
        <f t="shared" si="123"/>
        <v>0</v>
      </c>
      <c r="D149" s="1008">
        <f t="shared" si="115"/>
        <v>0</v>
      </c>
      <c r="E149" s="1009">
        <f t="shared" si="116"/>
        <v>0</v>
      </c>
      <c r="F149" s="892"/>
      <c r="G149" s="895"/>
      <c r="H149" s="895"/>
      <c r="I149" s="895"/>
      <c r="J149" s="895"/>
      <c r="K149" s="895"/>
      <c r="L149" s="895"/>
      <c r="M149" s="895"/>
      <c r="N149" s="895"/>
      <c r="O149" s="895"/>
      <c r="P149" s="895"/>
      <c r="Q149" s="895"/>
      <c r="R149" s="895"/>
      <c r="S149" s="895"/>
      <c r="T149" s="895"/>
      <c r="U149" s="895"/>
      <c r="V149" s="895"/>
      <c r="W149" s="895"/>
      <c r="X149" s="895"/>
      <c r="Y149" s="895"/>
      <c r="Z149" s="895"/>
      <c r="AA149" s="895"/>
      <c r="AB149" s="895"/>
      <c r="AC149" s="895"/>
      <c r="AD149" s="895"/>
      <c r="AE149" s="895"/>
      <c r="AF149" s="895"/>
      <c r="AG149" s="895"/>
      <c r="AH149" s="895"/>
      <c r="AI149" s="895"/>
      <c r="AJ149" s="895"/>
      <c r="AK149" s="895"/>
      <c r="AL149" s="895"/>
      <c r="AM149" s="895"/>
      <c r="AN149" s="895"/>
      <c r="AO149" s="895"/>
      <c r="AP149" s="895"/>
      <c r="AQ149" s="891"/>
      <c r="AR149" s="894"/>
      <c r="AS149" s="891"/>
      <c r="AT149" s="889"/>
      <c r="AU149" s="890"/>
      <c r="AV149" s="787" t="str">
        <f t="shared" si="124"/>
        <v/>
      </c>
      <c r="CA149" s="620" t="str">
        <f t="shared" si="125"/>
        <v/>
      </c>
      <c r="CB149" s="620" t="str">
        <f t="shared" si="126"/>
        <v/>
      </c>
      <c r="CC149" s="620" t="str">
        <f t="shared" si="117"/>
        <v/>
      </c>
      <c r="CD149" s="620" t="str">
        <f t="shared" si="118"/>
        <v/>
      </c>
      <c r="DP149" s="501">
        <f t="shared" si="119"/>
        <v>0</v>
      </c>
      <c r="DQ149" s="501">
        <f t="shared" si="120"/>
        <v>0</v>
      </c>
      <c r="DR149" s="501">
        <f t="shared" si="121"/>
        <v>0</v>
      </c>
      <c r="DS149" s="501">
        <f t="shared" si="122"/>
        <v>0</v>
      </c>
    </row>
    <row r="150" spans="1:123" ht="15" customHeight="1" x14ac:dyDescent="0.25">
      <c r="A150" s="1906" t="s">
        <v>319</v>
      </c>
      <c r="B150" s="1907" t="s">
        <v>319</v>
      </c>
      <c r="C150" s="968">
        <f t="shared" si="123"/>
        <v>0</v>
      </c>
      <c r="D150" s="1008">
        <f t="shared" si="115"/>
        <v>0</v>
      </c>
      <c r="E150" s="1009">
        <f t="shared" si="116"/>
        <v>0</v>
      </c>
      <c r="F150" s="892"/>
      <c r="G150" s="895"/>
      <c r="H150" s="895"/>
      <c r="I150" s="895"/>
      <c r="J150" s="895"/>
      <c r="K150" s="895"/>
      <c r="L150" s="895"/>
      <c r="M150" s="895"/>
      <c r="N150" s="895"/>
      <c r="O150" s="895"/>
      <c r="P150" s="895"/>
      <c r="Q150" s="895"/>
      <c r="R150" s="895"/>
      <c r="S150" s="895"/>
      <c r="T150" s="895"/>
      <c r="U150" s="895"/>
      <c r="V150" s="895"/>
      <c r="W150" s="895"/>
      <c r="X150" s="895"/>
      <c r="Y150" s="895"/>
      <c r="Z150" s="895"/>
      <c r="AA150" s="895"/>
      <c r="AB150" s="895"/>
      <c r="AC150" s="895"/>
      <c r="AD150" s="895"/>
      <c r="AE150" s="895"/>
      <c r="AF150" s="895"/>
      <c r="AG150" s="895"/>
      <c r="AH150" s="895"/>
      <c r="AI150" s="895"/>
      <c r="AJ150" s="895"/>
      <c r="AK150" s="895"/>
      <c r="AL150" s="895"/>
      <c r="AM150" s="895"/>
      <c r="AN150" s="895"/>
      <c r="AO150" s="895"/>
      <c r="AP150" s="895"/>
      <c r="AQ150" s="891"/>
      <c r="AR150" s="894"/>
      <c r="AS150" s="891"/>
      <c r="AT150" s="889"/>
      <c r="AU150" s="890"/>
      <c r="AV150" s="787" t="str">
        <f t="shared" si="124"/>
        <v/>
      </c>
      <c r="AW150" s="787"/>
      <c r="AX150" s="787"/>
      <c r="AY150" s="787"/>
      <c r="AZ150" s="787"/>
      <c r="BR150"/>
      <c r="BS150"/>
      <c r="BT150"/>
      <c r="BU150"/>
      <c r="CA150" s="620" t="str">
        <f t="shared" si="125"/>
        <v/>
      </c>
      <c r="CB150" s="620" t="str">
        <f t="shared" si="126"/>
        <v/>
      </c>
      <c r="CC150" s="620" t="str">
        <f t="shared" si="117"/>
        <v/>
      </c>
      <c r="CD150" s="620" t="str">
        <f t="shared" si="118"/>
        <v/>
      </c>
      <c r="DP150" s="501">
        <f t="shared" si="119"/>
        <v>0</v>
      </c>
      <c r="DQ150" s="501">
        <f t="shared" si="120"/>
        <v>0</v>
      </c>
      <c r="DR150" s="501">
        <f t="shared" si="121"/>
        <v>0</v>
      </c>
      <c r="DS150" s="501">
        <f t="shared" si="122"/>
        <v>0</v>
      </c>
    </row>
    <row r="151" spans="1:123" ht="15" customHeight="1" x14ac:dyDescent="0.25">
      <c r="A151" s="1906" t="s">
        <v>320</v>
      </c>
      <c r="B151" s="1907" t="s">
        <v>320</v>
      </c>
      <c r="C151" s="968">
        <f t="shared" si="123"/>
        <v>0</v>
      </c>
      <c r="D151" s="1008">
        <f t="shared" si="115"/>
        <v>0</v>
      </c>
      <c r="E151" s="1009">
        <f t="shared" si="116"/>
        <v>0</v>
      </c>
      <c r="F151" s="892"/>
      <c r="G151" s="895"/>
      <c r="H151" s="895"/>
      <c r="I151" s="895"/>
      <c r="J151" s="895"/>
      <c r="K151" s="895"/>
      <c r="L151" s="895"/>
      <c r="M151" s="895"/>
      <c r="N151" s="895"/>
      <c r="O151" s="895"/>
      <c r="P151" s="895"/>
      <c r="Q151" s="895"/>
      <c r="R151" s="895"/>
      <c r="S151" s="895"/>
      <c r="T151" s="895"/>
      <c r="U151" s="895"/>
      <c r="V151" s="895"/>
      <c r="W151" s="895"/>
      <c r="X151" s="895"/>
      <c r="Y151" s="895"/>
      <c r="Z151" s="895"/>
      <c r="AA151" s="895"/>
      <c r="AB151" s="895"/>
      <c r="AC151" s="895"/>
      <c r="AD151" s="895"/>
      <c r="AE151" s="895"/>
      <c r="AF151" s="895"/>
      <c r="AG151" s="895"/>
      <c r="AH151" s="895"/>
      <c r="AI151" s="895"/>
      <c r="AJ151" s="895"/>
      <c r="AK151" s="895"/>
      <c r="AL151" s="895"/>
      <c r="AM151" s="895"/>
      <c r="AN151" s="895"/>
      <c r="AO151" s="895"/>
      <c r="AP151" s="895"/>
      <c r="AQ151" s="891"/>
      <c r="AR151" s="894"/>
      <c r="AS151" s="891"/>
      <c r="AT151" s="889"/>
      <c r="AU151" s="890"/>
      <c r="AV151" s="787" t="str">
        <f t="shared" si="124"/>
        <v/>
      </c>
      <c r="AW151" s="787"/>
      <c r="AX151" s="787"/>
      <c r="AY151" s="787"/>
      <c r="AZ151" s="787"/>
      <c r="BR151"/>
      <c r="BS151"/>
      <c r="BT151"/>
      <c r="BU151"/>
      <c r="CA151" s="620" t="str">
        <f t="shared" si="125"/>
        <v/>
      </c>
      <c r="CB151" s="620" t="str">
        <f t="shared" si="126"/>
        <v/>
      </c>
      <c r="CC151" s="620" t="str">
        <f t="shared" si="117"/>
        <v/>
      </c>
      <c r="CD151" s="620" t="str">
        <f t="shared" si="118"/>
        <v/>
      </c>
      <c r="DP151" s="501">
        <f t="shared" si="119"/>
        <v>0</v>
      </c>
      <c r="DQ151" s="501">
        <f t="shared" si="120"/>
        <v>0</v>
      </c>
      <c r="DR151" s="501">
        <f t="shared" si="121"/>
        <v>0</v>
      </c>
      <c r="DS151" s="501">
        <f t="shared" si="122"/>
        <v>0</v>
      </c>
    </row>
    <row r="152" spans="1:123" ht="15" customHeight="1" x14ac:dyDescent="0.25">
      <c r="A152" s="1906" t="s">
        <v>321</v>
      </c>
      <c r="B152" s="1907" t="s">
        <v>903</v>
      </c>
      <c r="C152" s="968">
        <f t="shared" si="123"/>
        <v>0</v>
      </c>
      <c r="D152" s="1008">
        <f t="shared" si="115"/>
        <v>0</v>
      </c>
      <c r="E152" s="1009">
        <f t="shared" si="116"/>
        <v>0</v>
      </c>
      <c r="F152" s="892"/>
      <c r="G152" s="895"/>
      <c r="H152" s="895"/>
      <c r="I152" s="895"/>
      <c r="J152" s="895"/>
      <c r="K152" s="895"/>
      <c r="L152" s="895"/>
      <c r="M152" s="895"/>
      <c r="N152" s="895"/>
      <c r="O152" s="895"/>
      <c r="P152" s="895"/>
      <c r="Q152" s="895"/>
      <c r="R152" s="895"/>
      <c r="S152" s="895"/>
      <c r="T152" s="895"/>
      <c r="U152" s="895"/>
      <c r="V152" s="895"/>
      <c r="W152" s="895"/>
      <c r="X152" s="895"/>
      <c r="Y152" s="895"/>
      <c r="Z152" s="895"/>
      <c r="AA152" s="895"/>
      <c r="AB152" s="895"/>
      <c r="AC152" s="895"/>
      <c r="AD152" s="895"/>
      <c r="AE152" s="895"/>
      <c r="AF152" s="895"/>
      <c r="AG152" s="895"/>
      <c r="AH152" s="895"/>
      <c r="AI152" s="895"/>
      <c r="AJ152" s="895"/>
      <c r="AK152" s="895"/>
      <c r="AL152" s="895"/>
      <c r="AM152" s="895"/>
      <c r="AN152" s="895"/>
      <c r="AO152" s="895"/>
      <c r="AP152" s="895"/>
      <c r="AQ152" s="891"/>
      <c r="AR152" s="894"/>
      <c r="AS152" s="891"/>
      <c r="AT152" s="889"/>
      <c r="AU152" s="890"/>
      <c r="AV152" s="787" t="str">
        <f t="shared" si="124"/>
        <v/>
      </c>
      <c r="CA152" s="620" t="str">
        <f t="shared" si="125"/>
        <v/>
      </c>
      <c r="CB152" s="620" t="str">
        <f t="shared" si="126"/>
        <v/>
      </c>
      <c r="CC152" s="620" t="str">
        <f t="shared" si="117"/>
        <v/>
      </c>
      <c r="CD152" s="620" t="str">
        <f t="shared" si="118"/>
        <v/>
      </c>
      <c r="DP152" s="501">
        <f t="shared" si="119"/>
        <v>0</v>
      </c>
      <c r="DQ152" s="501">
        <f t="shared" si="120"/>
        <v>0</v>
      </c>
      <c r="DR152" s="501">
        <f t="shared" si="121"/>
        <v>0</v>
      </c>
      <c r="DS152" s="501">
        <f t="shared" si="122"/>
        <v>0</v>
      </c>
    </row>
    <row r="153" spans="1:123" ht="15" customHeight="1" x14ac:dyDescent="0.25">
      <c r="A153" s="1906" t="s">
        <v>322</v>
      </c>
      <c r="B153" s="1907" t="s">
        <v>323</v>
      </c>
      <c r="C153" s="968">
        <f t="shared" si="123"/>
        <v>0</v>
      </c>
      <c r="D153" s="1008">
        <f t="shared" si="115"/>
        <v>0</v>
      </c>
      <c r="E153" s="1009">
        <f t="shared" si="116"/>
        <v>0</v>
      </c>
      <c r="F153" s="892"/>
      <c r="G153" s="895"/>
      <c r="H153" s="895"/>
      <c r="I153" s="895"/>
      <c r="J153" s="895"/>
      <c r="K153" s="895"/>
      <c r="L153" s="895"/>
      <c r="M153" s="895"/>
      <c r="N153" s="895"/>
      <c r="O153" s="895"/>
      <c r="P153" s="895"/>
      <c r="Q153" s="895"/>
      <c r="R153" s="895"/>
      <c r="S153" s="895"/>
      <c r="T153" s="895"/>
      <c r="U153" s="895"/>
      <c r="V153" s="895"/>
      <c r="W153" s="895"/>
      <c r="X153" s="895"/>
      <c r="Y153" s="895"/>
      <c r="Z153" s="895"/>
      <c r="AA153" s="895"/>
      <c r="AB153" s="895"/>
      <c r="AC153" s="895"/>
      <c r="AD153" s="895"/>
      <c r="AE153" s="895"/>
      <c r="AF153" s="895"/>
      <c r="AG153" s="895"/>
      <c r="AH153" s="895"/>
      <c r="AI153" s="895"/>
      <c r="AJ153" s="895"/>
      <c r="AK153" s="895"/>
      <c r="AL153" s="895"/>
      <c r="AM153" s="895"/>
      <c r="AN153" s="895"/>
      <c r="AO153" s="895"/>
      <c r="AP153" s="895"/>
      <c r="AQ153" s="891"/>
      <c r="AR153" s="894"/>
      <c r="AS153" s="891"/>
      <c r="AT153" s="889"/>
      <c r="AU153" s="890"/>
      <c r="AV153" s="787" t="str">
        <f t="shared" si="124"/>
        <v/>
      </c>
      <c r="AW153" s="787"/>
      <c r="AX153" s="787"/>
      <c r="AY153" s="787"/>
      <c r="AZ153" s="787"/>
      <c r="BR153"/>
      <c r="BS153"/>
      <c r="BT153"/>
      <c r="BU153"/>
      <c r="CA153" s="620" t="str">
        <f t="shared" si="125"/>
        <v/>
      </c>
      <c r="CB153" s="620" t="str">
        <f t="shared" si="126"/>
        <v/>
      </c>
      <c r="CC153" s="620" t="str">
        <f t="shared" si="117"/>
        <v/>
      </c>
      <c r="CD153" s="620" t="str">
        <f t="shared" si="118"/>
        <v/>
      </c>
      <c r="DP153" s="501">
        <f t="shared" si="119"/>
        <v>0</v>
      </c>
      <c r="DQ153" s="501">
        <f t="shared" si="120"/>
        <v>0</v>
      </c>
      <c r="DR153" s="501">
        <f t="shared" si="121"/>
        <v>0</v>
      </c>
      <c r="DS153" s="501">
        <f t="shared" si="122"/>
        <v>0</v>
      </c>
    </row>
    <row r="154" spans="1:123" s="1019" customFormat="1" ht="15" customHeight="1" x14ac:dyDescent="0.15">
      <c r="A154" s="1906" t="s">
        <v>324</v>
      </c>
      <c r="B154" s="1907" t="s">
        <v>324</v>
      </c>
      <c r="C154" s="996">
        <f t="shared" si="123"/>
        <v>0</v>
      </c>
      <c r="D154" s="997">
        <f t="shared" si="115"/>
        <v>0</v>
      </c>
      <c r="E154" s="1010">
        <f t="shared" si="116"/>
        <v>0</v>
      </c>
      <c r="F154" s="1011"/>
      <c r="G154" s="1012"/>
      <c r="H154" s="1012"/>
      <c r="I154" s="1012"/>
      <c r="J154" s="1012"/>
      <c r="K154" s="1012"/>
      <c r="L154" s="1012"/>
      <c r="M154" s="1012"/>
      <c r="N154" s="1012"/>
      <c r="O154" s="1012"/>
      <c r="P154" s="1012"/>
      <c r="Q154" s="1012"/>
      <c r="R154" s="1012"/>
      <c r="S154" s="1012"/>
      <c r="T154" s="1012"/>
      <c r="U154" s="1012"/>
      <c r="V154" s="1012"/>
      <c r="W154" s="1012"/>
      <c r="X154" s="1012"/>
      <c r="Y154" s="1012"/>
      <c r="Z154" s="1012"/>
      <c r="AA154" s="1012"/>
      <c r="AB154" s="1012"/>
      <c r="AC154" s="1012"/>
      <c r="AD154" s="1012"/>
      <c r="AE154" s="1012"/>
      <c r="AF154" s="1012"/>
      <c r="AG154" s="1012"/>
      <c r="AH154" s="1012"/>
      <c r="AI154" s="1012"/>
      <c r="AJ154" s="1012"/>
      <c r="AK154" s="1012"/>
      <c r="AL154" s="1012"/>
      <c r="AM154" s="1012"/>
      <c r="AN154" s="1012"/>
      <c r="AO154" s="1012"/>
      <c r="AP154" s="1012"/>
      <c r="AQ154" s="1013"/>
      <c r="AR154" s="1014"/>
      <c r="AS154" s="1013"/>
      <c r="AT154" s="1015"/>
      <c r="AU154" s="1016"/>
      <c r="AV154" s="787" t="str">
        <f t="shared" si="124"/>
        <v/>
      </c>
      <c r="AW154" s="1017"/>
      <c r="AX154" s="1017"/>
      <c r="AY154" s="1017"/>
      <c r="AZ154" s="1017"/>
      <c r="BA154" s="1018"/>
      <c r="BB154" s="1018"/>
      <c r="BC154" s="1018"/>
      <c r="BD154" s="1018"/>
      <c r="BE154" s="1018"/>
      <c r="BF154" s="1018"/>
      <c r="BG154" s="1018"/>
      <c r="BH154" s="1018"/>
      <c r="BI154" s="1018"/>
      <c r="BJ154" s="1018"/>
      <c r="BK154" s="1018"/>
      <c r="BL154" s="1018"/>
      <c r="BM154" s="1018"/>
      <c r="BN154" s="1018"/>
      <c r="BO154" s="1018"/>
      <c r="BP154" s="1018"/>
      <c r="BQ154" s="1018"/>
      <c r="BR154" s="1018"/>
      <c r="BS154" s="1018"/>
      <c r="BT154" s="1018"/>
      <c r="BU154" s="1018"/>
      <c r="CA154" s="620" t="str">
        <f t="shared" si="125"/>
        <v/>
      </c>
      <c r="CB154" s="620" t="str">
        <f t="shared" si="126"/>
        <v/>
      </c>
      <c r="CC154" s="620" t="str">
        <f t="shared" si="117"/>
        <v/>
      </c>
      <c r="CD154" s="620" t="str">
        <f t="shared" si="118"/>
        <v/>
      </c>
      <c r="CL154" s="1020"/>
      <c r="CM154" s="1020"/>
      <c r="CN154" s="1020"/>
      <c r="CO154" s="1020"/>
      <c r="CP154" s="1020"/>
      <c r="CQ154" s="1020"/>
      <c r="CR154" s="1020"/>
      <c r="CS154" s="1020"/>
      <c r="CT154" s="1020"/>
      <c r="CU154" s="1020"/>
      <c r="CV154" s="1020"/>
      <c r="CW154" s="1020"/>
      <c r="CX154" s="1020"/>
      <c r="CY154" s="1020"/>
      <c r="CZ154" s="1020"/>
      <c r="DA154" s="1020"/>
      <c r="DP154" s="501">
        <f t="shared" si="119"/>
        <v>0</v>
      </c>
      <c r="DQ154" s="501">
        <f t="shared" si="120"/>
        <v>0</v>
      </c>
      <c r="DR154" s="501">
        <f t="shared" si="121"/>
        <v>0</v>
      </c>
      <c r="DS154" s="501">
        <f t="shared" si="122"/>
        <v>0</v>
      </c>
    </row>
    <row r="155" spans="1:123" ht="24" customHeight="1" x14ac:dyDescent="0.25">
      <c r="A155" s="1906" t="s">
        <v>325</v>
      </c>
      <c r="B155" s="1907" t="s">
        <v>325</v>
      </c>
      <c r="C155" s="968">
        <f t="shared" si="123"/>
        <v>0</v>
      </c>
      <c r="D155" s="1008">
        <f t="shared" si="115"/>
        <v>0</v>
      </c>
      <c r="E155" s="1009">
        <f t="shared" si="116"/>
        <v>0</v>
      </c>
      <c r="F155" s="892"/>
      <c r="G155" s="895"/>
      <c r="H155" s="895"/>
      <c r="I155" s="895"/>
      <c r="J155" s="895"/>
      <c r="K155" s="895"/>
      <c r="L155" s="895"/>
      <c r="M155" s="895"/>
      <c r="N155" s="895"/>
      <c r="O155" s="895"/>
      <c r="P155" s="895"/>
      <c r="Q155" s="895"/>
      <c r="R155" s="895"/>
      <c r="S155" s="895"/>
      <c r="T155" s="895"/>
      <c r="U155" s="895"/>
      <c r="V155" s="895"/>
      <c r="W155" s="895"/>
      <c r="X155" s="895"/>
      <c r="Y155" s="895"/>
      <c r="Z155" s="895"/>
      <c r="AA155" s="895"/>
      <c r="AB155" s="895"/>
      <c r="AC155" s="895"/>
      <c r="AD155" s="895"/>
      <c r="AE155" s="895"/>
      <c r="AF155" s="895"/>
      <c r="AG155" s="895"/>
      <c r="AH155" s="895"/>
      <c r="AI155" s="895"/>
      <c r="AJ155" s="895"/>
      <c r="AK155" s="895"/>
      <c r="AL155" s="895"/>
      <c r="AM155" s="895"/>
      <c r="AN155" s="895"/>
      <c r="AO155" s="895"/>
      <c r="AP155" s="895"/>
      <c r="AQ155" s="891"/>
      <c r="AR155" s="894"/>
      <c r="AS155" s="891"/>
      <c r="AT155" s="889"/>
      <c r="AU155" s="890"/>
      <c r="AV155" s="787" t="str">
        <f t="shared" si="124"/>
        <v/>
      </c>
      <c r="AW155" s="787"/>
      <c r="AX155" s="787"/>
      <c r="AY155" s="787"/>
      <c r="AZ155" s="787"/>
      <c r="BR155"/>
      <c r="BS155"/>
      <c r="BT155"/>
      <c r="BU155"/>
      <c r="CA155" s="620" t="str">
        <f t="shared" si="125"/>
        <v/>
      </c>
      <c r="CB155" s="620" t="str">
        <f t="shared" si="126"/>
        <v/>
      </c>
      <c r="CC155" s="620" t="str">
        <f t="shared" si="117"/>
        <v/>
      </c>
      <c r="CD155" s="620" t="str">
        <f t="shared" si="118"/>
        <v/>
      </c>
      <c r="DP155" s="501">
        <f t="shared" si="119"/>
        <v>0</v>
      </c>
      <c r="DQ155" s="501">
        <f t="shared" si="120"/>
        <v>0</v>
      </c>
      <c r="DR155" s="501">
        <f t="shared" si="121"/>
        <v>0</v>
      </c>
      <c r="DS155" s="501">
        <f t="shared" si="122"/>
        <v>0</v>
      </c>
    </row>
    <row r="156" spans="1:123" s="1019" customFormat="1" ht="15" customHeight="1" x14ac:dyDescent="0.15">
      <c r="A156" s="1906" t="s">
        <v>326</v>
      </c>
      <c r="B156" s="1907" t="s">
        <v>904</v>
      </c>
      <c r="C156" s="996">
        <f t="shared" si="123"/>
        <v>0</v>
      </c>
      <c r="D156" s="997">
        <f t="shared" si="115"/>
        <v>0</v>
      </c>
      <c r="E156" s="1010">
        <f t="shared" si="116"/>
        <v>0</v>
      </c>
      <c r="F156" s="1011"/>
      <c r="G156" s="1012"/>
      <c r="H156" s="1012"/>
      <c r="I156" s="1012"/>
      <c r="J156" s="1012"/>
      <c r="K156" s="1012"/>
      <c r="L156" s="1012"/>
      <c r="M156" s="1012"/>
      <c r="N156" s="1012"/>
      <c r="O156" s="1012"/>
      <c r="P156" s="1012"/>
      <c r="Q156" s="1012"/>
      <c r="R156" s="1012"/>
      <c r="S156" s="1012"/>
      <c r="T156" s="1012"/>
      <c r="U156" s="1012"/>
      <c r="V156" s="1012"/>
      <c r="W156" s="1012"/>
      <c r="X156" s="1012"/>
      <c r="Y156" s="1012"/>
      <c r="Z156" s="1012"/>
      <c r="AA156" s="1012"/>
      <c r="AB156" s="1012"/>
      <c r="AC156" s="1012"/>
      <c r="AD156" s="1012"/>
      <c r="AE156" s="1012"/>
      <c r="AF156" s="1012"/>
      <c r="AG156" s="1012"/>
      <c r="AH156" s="1012"/>
      <c r="AI156" s="1012"/>
      <c r="AJ156" s="1012"/>
      <c r="AK156" s="1012"/>
      <c r="AL156" s="1012"/>
      <c r="AM156" s="1012"/>
      <c r="AN156" s="1012"/>
      <c r="AO156" s="1012"/>
      <c r="AP156" s="1012"/>
      <c r="AQ156" s="1013"/>
      <c r="AR156" s="1014"/>
      <c r="AS156" s="1013"/>
      <c r="AT156" s="1015"/>
      <c r="AU156" s="1016"/>
      <c r="AV156" s="787" t="str">
        <f t="shared" si="124"/>
        <v/>
      </c>
      <c r="AW156" s="1017"/>
      <c r="AX156" s="1017"/>
      <c r="AY156" s="1017"/>
      <c r="AZ156" s="1017"/>
      <c r="BA156" s="1018"/>
      <c r="BB156" s="1018"/>
      <c r="BC156" s="1018"/>
      <c r="BD156" s="1018"/>
      <c r="BE156" s="1018"/>
      <c r="BF156" s="1018"/>
      <c r="BG156" s="1018"/>
      <c r="BH156" s="1018"/>
      <c r="BI156" s="1018"/>
      <c r="BJ156" s="1018"/>
      <c r="BK156" s="1018"/>
      <c r="BL156" s="1018"/>
      <c r="BM156" s="1018"/>
      <c r="BN156" s="1018"/>
      <c r="BO156" s="1018"/>
      <c r="BP156" s="1018"/>
      <c r="BQ156" s="1018"/>
      <c r="BR156" s="1018"/>
      <c r="BS156" s="1018"/>
      <c r="BT156" s="1018"/>
      <c r="BU156" s="1018"/>
      <c r="CA156" s="620" t="str">
        <f t="shared" si="125"/>
        <v/>
      </c>
      <c r="CB156" s="620" t="str">
        <f t="shared" si="126"/>
        <v/>
      </c>
      <c r="CC156" s="620" t="str">
        <f t="shared" si="117"/>
        <v/>
      </c>
      <c r="CD156" s="620" t="str">
        <f t="shared" si="118"/>
        <v/>
      </c>
      <c r="CL156" s="1020"/>
      <c r="CM156" s="1020"/>
      <c r="CN156" s="1020"/>
      <c r="CO156" s="1020"/>
      <c r="CP156" s="1020"/>
      <c r="CQ156" s="1020"/>
      <c r="CR156" s="1020"/>
      <c r="CS156" s="1020"/>
      <c r="CT156" s="1020"/>
      <c r="CU156" s="1020"/>
      <c r="CV156" s="1020"/>
      <c r="CW156" s="1020"/>
      <c r="CX156" s="1020"/>
      <c r="CY156" s="1020"/>
      <c r="CZ156" s="1020"/>
      <c r="DA156" s="1020"/>
      <c r="DP156" s="501">
        <f t="shared" si="119"/>
        <v>0</v>
      </c>
      <c r="DQ156" s="501">
        <f t="shared" si="120"/>
        <v>0</v>
      </c>
      <c r="DR156" s="501">
        <f t="shared" si="121"/>
        <v>0</v>
      </c>
      <c r="DS156" s="501">
        <f t="shared" si="122"/>
        <v>0</v>
      </c>
    </row>
    <row r="157" spans="1:123" ht="24.75" customHeight="1" x14ac:dyDescent="0.25">
      <c r="A157" s="1906" t="s">
        <v>327</v>
      </c>
      <c r="B157" s="1907" t="s">
        <v>905</v>
      </c>
      <c r="C157" s="968">
        <f t="shared" si="123"/>
        <v>0</v>
      </c>
      <c r="D157" s="1008">
        <f t="shared" si="115"/>
        <v>0</v>
      </c>
      <c r="E157" s="1009">
        <f t="shared" si="116"/>
        <v>0</v>
      </c>
      <c r="F157" s="892"/>
      <c r="G157" s="895"/>
      <c r="H157" s="895"/>
      <c r="I157" s="895"/>
      <c r="J157" s="895"/>
      <c r="K157" s="895"/>
      <c r="L157" s="895"/>
      <c r="M157" s="895"/>
      <c r="N157" s="895"/>
      <c r="O157" s="895"/>
      <c r="P157" s="895"/>
      <c r="Q157" s="895"/>
      <c r="R157" s="895"/>
      <c r="S157" s="895"/>
      <c r="T157" s="895"/>
      <c r="U157" s="895"/>
      <c r="V157" s="895"/>
      <c r="W157" s="895"/>
      <c r="X157" s="895"/>
      <c r="Y157" s="895"/>
      <c r="Z157" s="895"/>
      <c r="AA157" s="895"/>
      <c r="AB157" s="895"/>
      <c r="AC157" s="895"/>
      <c r="AD157" s="895"/>
      <c r="AE157" s="895"/>
      <c r="AF157" s="895"/>
      <c r="AG157" s="895"/>
      <c r="AH157" s="895"/>
      <c r="AI157" s="895"/>
      <c r="AJ157" s="895"/>
      <c r="AK157" s="895"/>
      <c r="AL157" s="895"/>
      <c r="AM157" s="895"/>
      <c r="AN157" s="895"/>
      <c r="AO157" s="895"/>
      <c r="AP157" s="895"/>
      <c r="AQ157" s="891"/>
      <c r="AR157" s="894"/>
      <c r="AS157" s="891"/>
      <c r="AT157" s="889"/>
      <c r="AU157" s="890"/>
      <c r="AV157" s="787" t="str">
        <f t="shared" si="124"/>
        <v/>
      </c>
      <c r="AW157" s="787"/>
      <c r="AX157" s="787"/>
      <c r="AY157" s="787"/>
      <c r="AZ157" s="787"/>
      <c r="BR157"/>
      <c r="BS157"/>
      <c r="BT157"/>
      <c r="BU157"/>
      <c r="CA157" s="620" t="str">
        <f t="shared" si="125"/>
        <v/>
      </c>
      <c r="CB157" s="620" t="str">
        <f t="shared" si="126"/>
        <v/>
      </c>
      <c r="CC157" s="620" t="str">
        <f t="shared" si="117"/>
        <v/>
      </c>
      <c r="CD157" s="620" t="str">
        <f t="shared" si="118"/>
        <v/>
      </c>
      <c r="DP157" s="501">
        <f t="shared" si="119"/>
        <v>0</v>
      </c>
      <c r="DQ157" s="501">
        <f t="shared" si="120"/>
        <v>0</v>
      </c>
      <c r="DR157" s="501">
        <f t="shared" si="121"/>
        <v>0</v>
      </c>
      <c r="DS157" s="501">
        <f t="shared" si="122"/>
        <v>0</v>
      </c>
    </row>
    <row r="158" spans="1:123" ht="15" customHeight="1" x14ac:dyDescent="0.25">
      <c r="A158" s="1906" t="s">
        <v>328</v>
      </c>
      <c r="B158" s="1907" t="s">
        <v>328</v>
      </c>
      <c r="C158" s="968">
        <f t="shared" si="123"/>
        <v>0</v>
      </c>
      <c r="D158" s="1008">
        <f t="shared" si="115"/>
        <v>0</v>
      </c>
      <c r="E158" s="1009">
        <f t="shared" si="116"/>
        <v>0</v>
      </c>
      <c r="F158" s="892"/>
      <c r="G158" s="895"/>
      <c r="H158" s="895"/>
      <c r="I158" s="895"/>
      <c r="J158" s="895"/>
      <c r="K158" s="895"/>
      <c r="L158" s="895"/>
      <c r="M158" s="895"/>
      <c r="N158" s="895"/>
      <c r="O158" s="895"/>
      <c r="P158" s="895"/>
      <c r="Q158" s="895"/>
      <c r="R158" s="895"/>
      <c r="S158" s="895"/>
      <c r="T158" s="895"/>
      <c r="U158" s="895"/>
      <c r="V158" s="895"/>
      <c r="W158" s="895"/>
      <c r="X158" s="895"/>
      <c r="Y158" s="895"/>
      <c r="Z158" s="895"/>
      <c r="AA158" s="895"/>
      <c r="AB158" s="895"/>
      <c r="AC158" s="895"/>
      <c r="AD158" s="895"/>
      <c r="AE158" s="895"/>
      <c r="AF158" s="895"/>
      <c r="AG158" s="895"/>
      <c r="AH158" s="895"/>
      <c r="AI158" s="895"/>
      <c r="AJ158" s="895"/>
      <c r="AK158" s="895"/>
      <c r="AL158" s="895"/>
      <c r="AM158" s="895"/>
      <c r="AN158" s="895"/>
      <c r="AO158" s="895"/>
      <c r="AP158" s="895"/>
      <c r="AQ158" s="891"/>
      <c r="AR158" s="894"/>
      <c r="AS158" s="891"/>
      <c r="AT158" s="889"/>
      <c r="AU158" s="890"/>
      <c r="AV158" s="787" t="str">
        <f t="shared" si="124"/>
        <v/>
      </c>
      <c r="AW158" s="787"/>
      <c r="AX158" s="787"/>
      <c r="AY158" s="787"/>
      <c r="AZ158" s="787"/>
      <c r="BR158"/>
      <c r="BS158"/>
      <c r="BT158"/>
      <c r="BU158"/>
      <c r="CA158" s="620" t="str">
        <f t="shared" si="125"/>
        <v/>
      </c>
      <c r="CB158" s="620" t="str">
        <f t="shared" si="126"/>
        <v/>
      </c>
      <c r="CC158" s="620" t="str">
        <f t="shared" si="117"/>
        <v/>
      </c>
      <c r="CD158" s="620" t="str">
        <f t="shared" si="118"/>
        <v/>
      </c>
      <c r="DP158" s="501">
        <f t="shared" si="119"/>
        <v>0</v>
      </c>
      <c r="DQ158" s="501">
        <f t="shared" si="120"/>
        <v>0</v>
      </c>
      <c r="DR158" s="501">
        <f t="shared" si="121"/>
        <v>0</v>
      </c>
      <c r="DS158" s="501">
        <f t="shared" si="122"/>
        <v>0</v>
      </c>
    </row>
    <row r="159" spans="1:123" ht="15" customHeight="1" x14ac:dyDescent="0.25">
      <c r="A159" s="1906" t="s">
        <v>329</v>
      </c>
      <c r="B159" s="1907" t="s">
        <v>329</v>
      </c>
      <c r="C159" s="968">
        <f t="shared" si="123"/>
        <v>0</v>
      </c>
      <c r="D159" s="1008">
        <f t="shared" si="115"/>
        <v>0</v>
      </c>
      <c r="E159" s="1009">
        <f t="shared" si="116"/>
        <v>0</v>
      </c>
      <c r="F159" s="892"/>
      <c r="G159" s="895"/>
      <c r="H159" s="895"/>
      <c r="I159" s="895"/>
      <c r="J159" s="895"/>
      <c r="K159" s="895"/>
      <c r="L159" s="895"/>
      <c r="M159" s="895"/>
      <c r="N159" s="895"/>
      <c r="O159" s="895"/>
      <c r="P159" s="895"/>
      <c r="Q159" s="895"/>
      <c r="R159" s="895"/>
      <c r="S159" s="895"/>
      <c r="T159" s="895"/>
      <c r="U159" s="895"/>
      <c r="V159" s="895"/>
      <c r="W159" s="895"/>
      <c r="X159" s="895"/>
      <c r="Y159" s="895"/>
      <c r="Z159" s="895"/>
      <c r="AA159" s="895"/>
      <c r="AB159" s="895"/>
      <c r="AC159" s="895"/>
      <c r="AD159" s="895"/>
      <c r="AE159" s="895"/>
      <c r="AF159" s="895"/>
      <c r="AG159" s="895"/>
      <c r="AH159" s="895"/>
      <c r="AI159" s="895"/>
      <c r="AJ159" s="895"/>
      <c r="AK159" s="895"/>
      <c r="AL159" s="895"/>
      <c r="AM159" s="895"/>
      <c r="AN159" s="895"/>
      <c r="AO159" s="895"/>
      <c r="AP159" s="895"/>
      <c r="AQ159" s="891"/>
      <c r="AR159" s="894"/>
      <c r="AS159" s="891"/>
      <c r="AT159" s="889"/>
      <c r="AU159" s="890"/>
      <c r="AV159" s="787" t="str">
        <f t="shared" si="124"/>
        <v/>
      </c>
      <c r="CA159" s="620" t="str">
        <f t="shared" si="125"/>
        <v/>
      </c>
      <c r="CB159" s="620" t="str">
        <f t="shared" si="126"/>
        <v/>
      </c>
      <c r="CC159" s="620" t="str">
        <f t="shared" si="117"/>
        <v/>
      </c>
      <c r="CD159" s="620" t="str">
        <f t="shared" si="118"/>
        <v/>
      </c>
      <c r="DP159" s="501">
        <f t="shared" si="119"/>
        <v>0</v>
      </c>
      <c r="DQ159" s="501">
        <f t="shared" si="120"/>
        <v>0</v>
      </c>
      <c r="DR159" s="501">
        <f t="shared" si="121"/>
        <v>0</v>
      </c>
      <c r="DS159" s="501">
        <f t="shared" si="122"/>
        <v>0</v>
      </c>
    </row>
    <row r="160" spans="1:123" ht="15" customHeight="1" x14ac:dyDescent="0.25">
      <c r="A160" s="1906" t="s">
        <v>330</v>
      </c>
      <c r="B160" s="1907" t="s">
        <v>330</v>
      </c>
      <c r="C160" s="968">
        <f t="shared" si="123"/>
        <v>0</v>
      </c>
      <c r="D160" s="1008">
        <f t="shared" si="115"/>
        <v>0</v>
      </c>
      <c r="E160" s="1009">
        <f t="shared" si="116"/>
        <v>0</v>
      </c>
      <c r="F160" s="892"/>
      <c r="G160" s="895"/>
      <c r="H160" s="895"/>
      <c r="I160" s="895"/>
      <c r="J160" s="895"/>
      <c r="K160" s="895"/>
      <c r="L160" s="895"/>
      <c r="M160" s="895"/>
      <c r="N160" s="895"/>
      <c r="O160" s="895"/>
      <c r="P160" s="895"/>
      <c r="Q160" s="895"/>
      <c r="R160" s="895"/>
      <c r="S160" s="895"/>
      <c r="T160" s="895"/>
      <c r="U160" s="895"/>
      <c r="V160" s="895"/>
      <c r="W160" s="895"/>
      <c r="X160" s="895"/>
      <c r="Y160" s="895"/>
      <c r="Z160" s="895"/>
      <c r="AA160" s="895"/>
      <c r="AB160" s="895"/>
      <c r="AC160" s="895"/>
      <c r="AD160" s="895"/>
      <c r="AE160" s="895"/>
      <c r="AF160" s="895"/>
      <c r="AG160" s="895"/>
      <c r="AH160" s="895"/>
      <c r="AI160" s="895"/>
      <c r="AJ160" s="895"/>
      <c r="AK160" s="895"/>
      <c r="AL160" s="895"/>
      <c r="AM160" s="895"/>
      <c r="AN160" s="895"/>
      <c r="AO160" s="895"/>
      <c r="AP160" s="895"/>
      <c r="AQ160" s="891"/>
      <c r="AR160" s="894"/>
      <c r="AS160" s="891"/>
      <c r="AT160" s="889"/>
      <c r="AU160" s="890"/>
      <c r="AV160" s="787" t="str">
        <f t="shared" si="124"/>
        <v/>
      </c>
      <c r="AW160" s="787"/>
      <c r="AX160" s="787"/>
      <c r="AY160" s="787"/>
      <c r="AZ160" s="787"/>
      <c r="BR160"/>
      <c r="BS160"/>
      <c r="BT160"/>
      <c r="BU160"/>
      <c r="CA160" s="620" t="str">
        <f t="shared" si="125"/>
        <v/>
      </c>
      <c r="CB160" s="620" t="str">
        <f t="shared" si="126"/>
        <v/>
      </c>
      <c r="CC160" s="620" t="str">
        <f t="shared" si="117"/>
        <v/>
      </c>
      <c r="CD160" s="620" t="str">
        <f t="shared" si="118"/>
        <v/>
      </c>
      <c r="DP160" s="501">
        <f t="shared" si="119"/>
        <v>0</v>
      </c>
      <c r="DQ160" s="501">
        <f t="shared" si="120"/>
        <v>0</v>
      </c>
      <c r="DR160" s="501">
        <f t="shared" si="121"/>
        <v>0</v>
      </c>
      <c r="DS160" s="501">
        <f t="shared" si="122"/>
        <v>0</v>
      </c>
    </row>
    <row r="161" spans="1:123" ht="15" customHeight="1" x14ac:dyDescent="0.25">
      <c r="A161" s="1906" t="s">
        <v>331</v>
      </c>
      <c r="B161" s="1907" t="s">
        <v>331</v>
      </c>
      <c r="C161" s="968">
        <f t="shared" si="123"/>
        <v>0</v>
      </c>
      <c r="D161" s="1008">
        <f t="shared" si="115"/>
        <v>0</v>
      </c>
      <c r="E161" s="1009">
        <f t="shared" si="116"/>
        <v>0</v>
      </c>
      <c r="F161" s="892"/>
      <c r="G161" s="895"/>
      <c r="H161" s="895"/>
      <c r="I161" s="895"/>
      <c r="J161" s="895"/>
      <c r="K161" s="895"/>
      <c r="L161" s="895"/>
      <c r="M161" s="895"/>
      <c r="N161" s="895"/>
      <c r="O161" s="895"/>
      <c r="P161" s="895"/>
      <c r="Q161" s="895"/>
      <c r="R161" s="895"/>
      <c r="S161" s="895"/>
      <c r="T161" s="895"/>
      <c r="U161" s="895"/>
      <c r="V161" s="895"/>
      <c r="W161" s="895"/>
      <c r="X161" s="895"/>
      <c r="Y161" s="895"/>
      <c r="Z161" s="895"/>
      <c r="AA161" s="895"/>
      <c r="AB161" s="895"/>
      <c r="AC161" s="895"/>
      <c r="AD161" s="895"/>
      <c r="AE161" s="895"/>
      <c r="AF161" s="895"/>
      <c r="AG161" s="895"/>
      <c r="AH161" s="895"/>
      <c r="AI161" s="895"/>
      <c r="AJ161" s="895"/>
      <c r="AK161" s="895"/>
      <c r="AL161" s="895"/>
      <c r="AM161" s="895"/>
      <c r="AN161" s="895"/>
      <c r="AO161" s="895"/>
      <c r="AP161" s="895"/>
      <c r="AQ161" s="891"/>
      <c r="AR161" s="894"/>
      <c r="AS161" s="891"/>
      <c r="AT161" s="889"/>
      <c r="AU161" s="890"/>
      <c r="AV161" s="787" t="str">
        <f t="shared" si="124"/>
        <v/>
      </c>
      <c r="CA161" s="620" t="str">
        <f t="shared" si="125"/>
        <v/>
      </c>
      <c r="CB161" s="620" t="str">
        <f t="shared" si="126"/>
        <v/>
      </c>
      <c r="CC161" s="620" t="str">
        <f t="shared" si="117"/>
        <v/>
      </c>
      <c r="CD161" s="620" t="str">
        <f t="shared" si="118"/>
        <v/>
      </c>
      <c r="DP161" s="501">
        <f t="shared" si="119"/>
        <v>0</v>
      </c>
      <c r="DQ161" s="501">
        <f t="shared" si="120"/>
        <v>0</v>
      </c>
      <c r="DR161" s="501">
        <f t="shared" si="121"/>
        <v>0</v>
      </c>
      <c r="DS161" s="501">
        <f t="shared" si="122"/>
        <v>0</v>
      </c>
    </row>
    <row r="162" spans="1:123" s="1019" customFormat="1" ht="15" customHeight="1" x14ac:dyDescent="0.15">
      <c r="A162" s="1906" t="s">
        <v>332</v>
      </c>
      <c r="B162" s="1907" t="s">
        <v>332</v>
      </c>
      <c r="C162" s="996">
        <f t="shared" si="123"/>
        <v>0</v>
      </c>
      <c r="D162" s="997">
        <f t="shared" si="115"/>
        <v>0</v>
      </c>
      <c r="E162" s="1010">
        <f t="shared" si="116"/>
        <v>0</v>
      </c>
      <c r="F162" s="1011"/>
      <c r="G162" s="1012"/>
      <c r="H162" s="1012"/>
      <c r="I162" s="1012"/>
      <c r="J162" s="1012"/>
      <c r="K162" s="1012"/>
      <c r="L162" s="1012"/>
      <c r="M162" s="1012"/>
      <c r="N162" s="1012"/>
      <c r="O162" s="1012"/>
      <c r="P162" s="1012"/>
      <c r="Q162" s="1012"/>
      <c r="R162" s="1012"/>
      <c r="S162" s="1012"/>
      <c r="T162" s="1012"/>
      <c r="U162" s="1012"/>
      <c r="V162" s="1012"/>
      <c r="W162" s="1012"/>
      <c r="X162" s="1012"/>
      <c r="Y162" s="1012"/>
      <c r="Z162" s="1012"/>
      <c r="AA162" s="1012"/>
      <c r="AB162" s="1012"/>
      <c r="AC162" s="1012"/>
      <c r="AD162" s="1012"/>
      <c r="AE162" s="1012"/>
      <c r="AF162" s="1012"/>
      <c r="AG162" s="1012"/>
      <c r="AH162" s="1012"/>
      <c r="AI162" s="1012"/>
      <c r="AJ162" s="1012"/>
      <c r="AK162" s="1012"/>
      <c r="AL162" s="1012"/>
      <c r="AM162" s="1012"/>
      <c r="AN162" s="1012"/>
      <c r="AO162" s="1012"/>
      <c r="AP162" s="1012"/>
      <c r="AQ162" s="1013"/>
      <c r="AR162" s="1014"/>
      <c r="AS162" s="1013"/>
      <c r="AT162" s="1015"/>
      <c r="AU162" s="1016"/>
      <c r="AV162" s="787" t="str">
        <f t="shared" si="124"/>
        <v/>
      </c>
      <c r="AW162" s="1017"/>
      <c r="AX162" s="1017"/>
      <c r="AY162" s="1017"/>
      <c r="AZ162" s="1017"/>
      <c r="BA162" s="1018"/>
      <c r="BB162" s="1018"/>
      <c r="BC162" s="1018"/>
      <c r="BD162" s="1018"/>
      <c r="BE162" s="1018"/>
      <c r="BF162" s="1018"/>
      <c r="BG162" s="1018"/>
      <c r="BH162" s="1018"/>
      <c r="BI162" s="1018"/>
      <c r="BJ162" s="1018"/>
      <c r="BK162" s="1018"/>
      <c r="BL162" s="1018"/>
      <c r="BM162" s="1018"/>
      <c r="BN162" s="1018"/>
      <c r="BO162" s="1018"/>
      <c r="BP162" s="1018"/>
      <c r="BQ162" s="1018"/>
      <c r="BR162" s="1018"/>
      <c r="BS162" s="1018"/>
      <c r="BT162" s="1018"/>
      <c r="BU162" s="1018"/>
      <c r="CA162" s="620" t="str">
        <f t="shared" si="125"/>
        <v/>
      </c>
      <c r="CB162" s="620" t="str">
        <f t="shared" si="126"/>
        <v/>
      </c>
      <c r="CC162" s="620" t="str">
        <f t="shared" si="117"/>
        <v/>
      </c>
      <c r="CD162" s="620" t="str">
        <f t="shared" si="118"/>
        <v/>
      </c>
      <c r="CL162" s="1020"/>
      <c r="CM162" s="1020"/>
      <c r="CN162" s="1020"/>
      <c r="CO162" s="1020"/>
      <c r="CP162" s="1020"/>
      <c r="CQ162" s="1020"/>
      <c r="CR162" s="1020"/>
      <c r="CS162" s="1020"/>
      <c r="CT162" s="1020"/>
      <c r="CU162" s="1020"/>
      <c r="CV162" s="1020"/>
      <c r="CW162" s="1020"/>
      <c r="CX162" s="1020"/>
      <c r="CY162" s="1020"/>
      <c r="CZ162" s="1020"/>
      <c r="DA162" s="1020"/>
      <c r="DP162" s="501">
        <f t="shared" si="119"/>
        <v>0</v>
      </c>
      <c r="DQ162" s="501">
        <f t="shared" si="120"/>
        <v>0</v>
      </c>
      <c r="DR162" s="501">
        <f t="shared" si="121"/>
        <v>0</v>
      </c>
      <c r="DS162" s="501">
        <f t="shared" si="122"/>
        <v>0</v>
      </c>
    </row>
    <row r="163" spans="1:123" ht="15" customHeight="1" x14ac:dyDescent="0.25">
      <c r="A163" s="1906" t="s">
        <v>333</v>
      </c>
      <c r="B163" s="1907"/>
      <c r="C163" s="996">
        <f t="shared" ref="C163:C168" si="127">SUM(D163:E163)</f>
        <v>0</v>
      </c>
      <c r="D163" s="1008">
        <f t="shared" ref="D163:D190" si="128">+F163+H163+J163+L163+N163+P163+R163+T163+V163+X163+Z163+AB163+AD163+AF163+AH163+AN163+AP163+AJ163+AL163</f>
        <v>0</v>
      </c>
      <c r="E163" s="1009">
        <f t="shared" ref="E163:E188" si="129">+G163+I163+K163+M163+O163+Q163+S163+U163+W163+Y163+AA163+AC163+AE163+AG163+AI163+AO163+AQ163+AK163+AM163</f>
        <v>0</v>
      </c>
      <c r="F163" s="892"/>
      <c r="G163" s="895"/>
      <c r="H163" s="895"/>
      <c r="I163" s="895"/>
      <c r="J163" s="895"/>
      <c r="K163" s="895"/>
      <c r="L163" s="895"/>
      <c r="M163" s="895"/>
      <c r="N163" s="895"/>
      <c r="O163" s="895"/>
      <c r="P163" s="895"/>
      <c r="Q163" s="895"/>
      <c r="R163" s="895"/>
      <c r="S163" s="895"/>
      <c r="T163" s="895"/>
      <c r="U163" s="895"/>
      <c r="V163" s="895"/>
      <c r="W163" s="895"/>
      <c r="X163" s="895"/>
      <c r="Y163" s="895"/>
      <c r="Z163" s="895"/>
      <c r="AA163" s="895"/>
      <c r="AB163" s="895"/>
      <c r="AC163" s="895"/>
      <c r="AD163" s="895"/>
      <c r="AE163" s="895"/>
      <c r="AF163" s="895"/>
      <c r="AG163" s="895"/>
      <c r="AH163" s="895"/>
      <c r="AI163" s="895"/>
      <c r="AJ163" s="895"/>
      <c r="AK163" s="895"/>
      <c r="AL163" s="895"/>
      <c r="AM163" s="895"/>
      <c r="AN163" s="895"/>
      <c r="AO163" s="895"/>
      <c r="AP163" s="895"/>
      <c r="AQ163" s="891"/>
      <c r="AR163" s="894"/>
      <c r="AS163" s="891"/>
      <c r="AT163" s="889"/>
      <c r="AU163" s="890"/>
      <c r="AV163" s="787" t="str">
        <f t="shared" si="124"/>
        <v/>
      </c>
      <c r="AW163" s="787"/>
      <c r="AX163" s="787"/>
      <c r="AY163" s="787"/>
      <c r="AZ163" s="787"/>
      <c r="BR163"/>
      <c r="BS163"/>
      <c r="BT163"/>
      <c r="BU163"/>
      <c r="CA163" s="620" t="str">
        <f t="shared" si="125"/>
        <v/>
      </c>
      <c r="CB163" s="620" t="str">
        <f t="shared" si="126"/>
        <v/>
      </c>
      <c r="CC163" s="620" t="str">
        <f t="shared" si="117"/>
        <v/>
      </c>
      <c r="CD163" s="620" t="str">
        <f t="shared" si="118"/>
        <v/>
      </c>
      <c r="DP163" s="501">
        <f t="shared" si="119"/>
        <v>0</v>
      </c>
      <c r="DQ163" s="501">
        <f t="shared" si="120"/>
        <v>0</v>
      </c>
      <c r="DR163" s="501">
        <f t="shared" si="121"/>
        <v>0</v>
      </c>
      <c r="DS163" s="501">
        <f t="shared" si="122"/>
        <v>0</v>
      </c>
    </row>
    <row r="164" spans="1:123" s="1019" customFormat="1" ht="15" customHeight="1" x14ac:dyDescent="0.15">
      <c r="A164" s="1906" t="s">
        <v>334</v>
      </c>
      <c r="B164" s="1907" t="s">
        <v>334</v>
      </c>
      <c r="C164" s="996">
        <f t="shared" si="127"/>
        <v>0</v>
      </c>
      <c r="D164" s="997">
        <f t="shared" ref="D164:E168" si="130">+F164+H164+J164+L164+N164+P164+R164+T164+V164+X164+Z164+AB164+AD164+AF164+AH164+AN164+AP164+AJ164+AL164</f>
        <v>0</v>
      </c>
      <c r="E164" s="1010">
        <f t="shared" si="130"/>
        <v>0</v>
      </c>
      <c r="F164" s="1011"/>
      <c r="G164" s="1012"/>
      <c r="H164" s="1012"/>
      <c r="I164" s="1012"/>
      <c r="J164" s="1012"/>
      <c r="K164" s="1012"/>
      <c r="L164" s="1012"/>
      <c r="M164" s="1012"/>
      <c r="N164" s="1012"/>
      <c r="O164" s="1012"/>
      <c r="P164" s="1012"/>
      <c r="Q164" s="1012"/>
      <c r="R164" s="1012"/>
      <c r="S164" s="1012"/>
      <c r="T164" s="1012"/>
      <c r="U164" s="1012"/>
      <c r="V164" s="1012"/>
      <c r="W164" s="1012"/>
      <c r="X164" s="1012"/>
      <c r="Y164" s="1012"/>
      <c r="Z164" s="1012"/>
      <c r="AA164" s="1012"/>
      <c r="AB164" s="1012"/>
      <c r="AC164" s="1012"/>
      <c r="AD164" s="1012"/>
      <c r="AE164" s="1012"/>
      <c r="AF164" s="1012"/>
      <c r="AG164" s="1012"/>
      <c r="AH164" s="1012"/>
      <c r="AI164" s="1012"/>
      <c r="AJ164" s="1012"/>
      <c r="AK164" s="1012"/>
      <c r="AL164" s="1012"/>
      <c r="AM164" s="1012"/>
      <c r="AN164" s="1012"/>
      <c r="AO164" s="1012"/>
      <c r="AP164" s="1012"/>
      <c r="AQ164" s="1013"/>
      <c r="AR164" s="1014"/>
      <c r="AS164" s="1013"/>
      <c r="AT164" s="1015"/>
      <c r="AU164" s="1016"/>
      <c r="AV164" s="787" t="str">
        <f t="shared" si="124"/>
        <v/>
      </c>
      <c r="AW164" s="1017"/>
      <c r="AX164" s="1017"/>
      <c r="AY164" s="1017"/>
      <c r="AZ164" s="1017"/>
      <c r="BA164" s="1018"/>
      <c r="BB164" s="1018"/>
      <c r="BC164" s="1018"/>
      <c r="BD164" s="1018"/>
      <c r="BE164" s="1018"/>
      <c r="BF164" s="1018"/>
      <c r="BG164" s="1018"/>
      <c r="BH164" s="1018"/>
      <c r="BI164" s="1018"/>
      <c r="BJ164" s="1018"/>
      <c r="BK164" s="1018"/>
      <c r="BL164" s="1018"/>
      <c r="BM164" s="1018"/>
      <c r="BN164" s="1018"/>
      <c r="BO164" s="1018"/>
      <c r="BP164" s="1018"/>
      <c r="BQ164" s="1018"/>
      <c r="BR164" s="1018"/>
      <c r="BS164" s="1018"/>
      <c r="BT164" s="1018"/>
      <c r="BU164" s="1018"/>
      <c r="CA164" s="620" t="str">
        <f t="shared" si="125"/>
        <v/>
      </c>
      <c r="CB164" s="620" t="str">
        <f t="shared" si="126"/>
        <v/>
      </c>
      <c r="CC164" s="620" t="str">
        <f t="shared" si="117"/>
        <v/>
      </c>
      <c r="CD164" s="620" t="str">
        <f t="shared" si="118"/>
        <v/>
      </c>
      <c r="CL164" s="1020"/>
      <c r="CM164" s="1020"/>
      <c r="CN164" s="1020"/>
      <c r="CO164" s="1020"/>
      <c r="CP164" s="1020"/>
      <c r="CQ164" s="1020"/>
      <c r="CR164" s="1020"/>
      <c r="CS164" s="1020"/>
      <c r="CT164" s="1020"/>
      <c r="CU164" s="1020"/>
      <c r="CV164" s="1020"/>
      <c r="CW164" s="1020"/>
      <c r="CX164" s="1020"/>
      <c r="CY164" s="1020"/>
      <c r="CZ164" s="1020"/>
      <c r="DA164" s="1020"/>
      <c r="DP164" s="501">
        <f t="shared" si="119"/>
        <v>0</v>
      </c>
      <c r="DQ164" s="501">
        <f t="shared" si="120"/>
        <v>0</v>
      </c>
      <c r="DR164" s="501">
        <f t="shared" si="121"/>
        <v>0</v>
      </c>
      <c r="DS164" s="501">
        <f t="shared" si="122"/>
        <v>0</v>
      </c>
    </row>
    <row r="165" spans="1:123" ht="15" customHeight="1" x14ac:dyDescent="0.25">
      <c r="A165" s="1906" t="s">
        <v>335</v>
      </c>
      <c r="B165" s="1907" t="s">
        <v>335</v>
      </c>
      <c r="C165" s="968">
        <f t="shared" si="127"/>
        <v>0</v>
      </c>
      <c r="D165" s="1008">
        <f t="shared" si="130"/>
        <v>0</v>
      </c>
      <c r="E165" s="1009">
        <f t="shared" si="130"/>
        <v>0</v>
      </c>
      <c r="F165" s="892"/>
      <c r="G165" s="895"/>
      <c r="H165" s="895"/>
      <c r="I165" s="895"/>
      <c r="J165" s="895"/>
      <c r="K165" s="895"/>
      <c r="L165" s="895"/>
      <c r="M165" s="895"/>
      <c r="N165" s="895"/>
      <c r="O165" s="895"/>
      <c r="P165" s="895"/>
      <c r="Q165" s="895"/>
      <c r="R165" s="895"/>
      <c r="S165" s="895"/>
      <c r="T165" s="895"/>
      <c r="U165" s="895"/>
      <c r="V165" s="895"/>
      <c r="W165" s="895"/>
      <c r="X165" s="895"/>
      <c r="Y165" s="895"/>
      <c r="Z165" s="895"/>
      <c r="AA165" s="895"/>
      <c r="AB165" s="895"/>
      <c r="AC165" s="895"/>
      <c r="AD165" s="895"/>
      <c r="AE165" s="895"/>
      <c r="AF165" s="895"/>
      <c r="AG165" s="895"/>
      <c r="AH165" s="895"/>
      <c r="AI165" s="895"/>
      <c r="AJ165" s="895"/>
      <c r="AK165" s="895"/>
      <c r="AL165" s="895"/>
      <c r="AM165" s="895"/>
      <c r="AN165" s="895"/>
      <c r="AO165" s="895"/>
      <c r="AP165" s="895"/>
      <c r="AQ165" s="891"/>
      <c r="AR165" s="894"/>
      <c r="AS165" s="891"/>
      <c r="AT165" s="889"/>
      <c r="AU165" s="890"/>
      <c r="AV165" s="787" t="str">
        <f t="shared" si="124"/>
        <v/>
      </c>
      <c r="CA165" s="620" t="str">
        <f t="shared" si="125"/>
        <v/>
      </c>
      <c r="CB165" s="620" t="str">
        <f t="shared" si="126"/>
        <v/>
      </c>
      <c r="CC165" s="620" t="str">
        <f t="shared" si="117"/>
        <v/>
      </c>
      <c r="CD165" s="620" t="str">
        <f t="shared" si="118"/>
        <v/>
      </c>
      <c r="DP165" s="501">
        <f t="shared" si="119"/>
        <v>0</v>
      </c>
      <c r="DQ165" s="501">
        <f t="shared" si="120"/>
        <v>0</v>
      </c>
      <c r="DR165" s="501">
        <f t="shared" si="121"/>
        <v>0</v>
      </c>
      <c r="DS165" s="501">
        <f t="shared" si="122"/>
        <v>0</v>
      </c>
    </row>
    <row r="166" spans="1:123" ht="15" customHeight="1" x14ac:dyDescent="0.25">
      <c r="A166" s="1906" t="s">
        <v>336</v>
      </c>
      <c r="B166" s="1907" t="s">
        <v>336</v>
      </c>
      <c r="C166" s="968">
        <f t="shared" si="127"/>
        <v>0</v>
      </c>
      <c r="D166" s="1008">
        <f t="shared" si="130"/>
        <v>0</v>
      </c>
      <c r="E166" s="1009">
        <f t="shared" si="130"/>
        <v>0</v>
      </c>
      <c r="F166" s="892"/>
      <c r="G166" s="895"/>
      <c r="H166" s="895"/>
      <c r="I166" s="895"/>
      <c r="J166" s="895"/>
      <c r="K166" s="895"/>
      <c r="L166" s="895"/>
      <c r="M166" s="895"/>
      <c r="N166" s="895"/>
      <c r="O166" s="895"/>
      <c r="P166" s="895"/>
      <c r="Q166" s="895"/>
      <c r="R166" s="895"/>
      <c r="S166" s="895"/>
      <c r="T166" s="895"/>
      <c r="U166" s="895"/>
      <c r="V166" s="895"/>
      <c r="W166" s="895"/>
      <c r="X166" s="895"/>
      <c r="Y166" s="895"/>
      <c r="Z166" s="895"/>
      <c r="AA166" s="895"/>
      <c r="AB166" s="895"/>
      <c r="AC166" s="895"/>
      <c r="AD166" s="895"/>
      <c r="AE166" s="895"/>
      <c r="AF166" s="895"/>
      <c r="AG166" s="895"/>
      <c r="AH166" s="895"/>
      <c r="AI166" s="895"/>
      <c r="AJ166" s="895"/>
      <c r="AK166" s="895"/>
      <c r="AL166" s="895"/>
      <c r="AM166" s="895"/>
      <c r="AN166" s="895"/>
      <c r="AO166" s="895"/>
      <c r="AP166" s="895"/>
      <c r="AQ166" s="891"/>
      <c r="AR166" s="894"/>
      <c r="AS166" s="891"/>
      <c r="AT166" s="889"/>
      <c r="AU166" s="890"/>
      <c r="AV166" s="787" t="str">
        <f t="shared" si="124"/>
        <v/>
      </c>
      <c r="AW166" s="787"/>
      <c r="AX166" s="787"/>
      <c r="AY166" s="787"/>
      <c r="AZ166" s="787"/>
      <c r="BR166"/>
      <c r="BS166"/>
      <c r="BT166"/>
      <c r="BU166"/>
      <c r="CA166" s="620" t="str">
        <f t="shared" si="125"/>
        <v/>
      </c>
      <c r="CB166" s="620" t="str">
        <f t="shared" si="126"/>
        <v/>
      </c>
      <c r="CC166" s="620" t="str">
        <f t="shared" si="117"/>
        <v/>
      </c>
      <c r="CD166" s="620" t="str">
        <f t="shared" si="118"/>
        <v/>
      </c>
      <c r="DP166" s="501">
        <f t="shared" si="119"/>
        <v>0</v>
      </c>
      <c r="DQ166" s="501">
        <f t="shared" si="120"/>
        <v>0</v>
      </c>
      <c r="DR166" s="501">
        <f t="shared" si="121"/>
        <v>0</v>
      </c>
      <c r="DS166" s="501">
        <f t="shared" si="122"/>
        <v>0</v>
      </c>
    </row>
    <row r="167" spans="1:123" s="1019" customFormat="1" ht="15" customHeight="1" x14ac:dyDescent="0.15">
      <c r="A167" s="1906" t="s">
        <v>337</v>
      </c>
      <c r="B167" s="1907" t="s">
        <v>337</v>
      </c>
      <c r="C167" s="996">
        <f t="shared" si="127"/>
        <v>0</v>
      </c>
      <c r="D167" s="997">
        <f t="shared" si="130"/>
        <v>0</v>
      </c>
      <c r="E167" s="1010">
        <f t="shared" si="130"/>
        <v>0</v>
      </c>
      <c r="F167" s="1011"/>
      <c r="G167" s="1012"/>
      <c r="H167" s="1012"/>
      <c r="I167" s="1012"/>
      <c r="J167" s="1012"/>
      <c r="K167" s="1012"/>
      <c r="L167" s="1012"/>
      <c r="M167" s="1012"/>
      <c r="N167" s="1012"/>
      <c r="O167" s="1012"/>
      <c r="P167" s="1012"/>
      <c r="Q167" s="1012"/>
      <c r="R167" s="1012"/>
      <c r="S167" s="1012"/>
      <c r="T167" s="1012"/>
      <c r="U167" s="1012"/>
      <c r="V167" s="1012"/>
      <c r="W167" s="1012"/>
      <c r="X167" s="1012"/>
      <c r="Y167" s="1012"/>
      <c r="Z167" s="1012"/>
      <c r="AA167" s="1012"/>
      <c r="AB167" s="1012"/>
      <c r="AC167" s="1012"/>
      <c r="AD167" s="1012"/>
      <c r="AE167" s="1012"/>
      <c r="AF167" s="1012"/>
      <c r="AG167" s="1012"/>
      <c r="AH167" s="1012"/>
      <c r="AI167" s="1012"/>
      <c r="AJ167" s="1012"/>
      <c r="AK167" s="1012"/>
      <c r="AL167" s="1012"/>
      <c r="AM167" s="1012"/>
      <c r="AN167" s="1012"/>
      <c r="AO167" s="1012"/>
      <c r="AP167" s="1012"/>
      <c r="AQ167" s="1013"/>
      <c r="AR167" s="1014"/>
      <c r="AS167" s="1013"/>
      <c r="AT167" s="1015"/>
      <c r="AU167" s="1016"/>
      <c r="AV167" s="787" t="str">
        <f t="shared" si="124"/>
        <v/>
      </c>
      <c r="AW167" s="1017"/>
      <c r="AX167" s="1017"/>
      <c r="AY167" s="1017"/>
      <c r="AZ167" s="1017"/>
      <c r="BA167" s="1018"/>
      <c r="BB167" s="1018"/>
      <c r="BC167" s="1018"/>
      <c r="BD167" s="1018"/>
      <c r="BE167" s="1018"/>
      <c r="BF167" s="1018"/>
      <c r="BG167" s="1018"/>
      <c r="BH167" s="1018"/>
      <c r="BI167" s="1018"/>
      <c r="BJ167" s="1018"/>
      <c r="BK167" s="1018"/>
      <c r="BL167" s="1018"/>
      <c r="BM167" s="1018"/>
      <c r="BN167" s="1018"/>
      <c r="BO167" s="1018"/>
      <c r="BP167" s="1018"/>
      <c r="BQ167" s="1018"/>
      <c r="BR167" s="1018"/>
      <c r="BS167" s="1018"/>
      <c r="BT167" s="1018"/>
      <c r="BU167" s="1018"/>
      <c r="CA167" s="620" t="str">
        <f t="shared" si="125"/>
        <v/>
      </c>
      <c r="CB167" s="620" t="str">
        <f t="shared" si="126"/>
        <v/>
      </c>
      <c r="CC167" s="620" t="str">
        <f t="shared" si="117"/>
        <v/>
      </c>
      <c r="CD167" s="620" t="str">
        <f t="shared" si="118"/>
        <v/>
      </c>
      <c r="CL167" s="1020"/>
      <c r="CM167" s="1020"/>
      <c r="CN167" s="1020"/>
      <c r="CO167" s="1020"/>
      <c r="CP167" s="1020"/>
      <c r="CQ167" s="1020"/>
      <c r="CR167" s="1020"/>
      <c r="CS167" s="1020"/>
      <c r="CT167" s="1020"/>
      <c r="CU167" s="1020"/>
      <c r="CV167" s="1020"/>
      <c r="CW167" s="1020"/>
      <c r="CX167" s="1020"/>
      <c r="CY167" s="1020"/>
      <c r="CZ167" s="1020"/>
      <c r="DA167" s="1020"/>
      <c r="DP167" s="501">
        <f t="shared" si="119"/>
        <v>0</v>
      </c>
      <c r="DQ167" s="501">
        <f t="shared" si="120"/>
        <v>0</v>
      </c>
      <c r="DR167" s="501">
        <f t="shared" si="121"/>
        <v>0</v>
      </c>
      <c r="DS167" s="501">
        <f t="shared" si="122"/>
        <v>0</v>
      </c>
    </row>
    <row r="168" spans="1:123" s="1019" customFormat="1" ht="15" customHeight="1" x14ac:dyDescent="0.15">
      <c r="A168" s="1906" t="s">
        <v>338</v>
      </c>
      <c r="B168" s="1907" t="s">
        <v>338</v>
      </c>
      <c r="C168" s="996">
        <f t="shared" si="127"/>
        <v>0</v>
      </c>
      <c r="D168" s="997">
        <f t="shared" si="130"/>
        <v>0</v>
      </c>
      <c r="E168" s="1010">
        <f t="shared" si="130"/>
        <v>0</v>
      </c>
      <c r="F168" s="1011"/>
      <c r="G168" s="1012"/>
      <c r="H168" s="1012"/>
      <c r="I168" s="1012"/>
      <c r="J168" s="1012"/>
      <c r="K168" s="1012"/>
      <c r="L168" s="1012"/>
      <c r="M168" s="1012"/>
      <c r="N168" s="1012"/>
      <c r="O168" s="1012"/>
      <c r="P168" s="1012"/>
      <c r="Q168" s="1012"/>
      <c r="R168" s="1012"/>
      <c r="S168" s="1012"/>
      <c r="T168" s="1012"/>
      <c r="U168" s="1012"/>
      <c r="V168" s="1012"/>
      <c r="W168" s="1012"/>
      <c r="X168" s="1012"/>
      <c r="Y168" s="1012"/>
      <c r="Z168" s="1012"/>
      <c r="AA168" s="1012"/>
      <c r="AB168" s="1012"/>
      <c r="AC168" s="1012"/>
      <c r="AD168" s="1012"/>
      <c r="AE168" s="1012"/>
      <c r="AF168" s="1012"/>
      <c r="AG168" s="1012"/>
      <c r="AH168" s="1012"/>
      <c r="AI168" s="1012"/>
      <c r="AJ168" s="1012"/>
      <c r="AK168" s="1012"/>
      <c r="AL168" s="1012"/>
      <c r="AM168" s="1012"/>
      <c r="AN168" s="1012"/>
      <c r="AO168" s="1012"/>
      <c r="AP168" s="1012"/>
      <c r="AQ168" s="1013"/>
      <c r="AR168" s="1014"/>
      <c r="AS168" s="1013"/>
      <c r="AT168" s="1015"/>
      <c r="AU168" s="1016"/>
      <c r="AV168" s="787" t="str">
        <f t="shared" si="124"/>
        <v/>
      </c>
      <c r="AW168" s="1017"/>
      <c r="AX168" s="1017"/>
      <c r="AY168" s="1017"/>
      <c r="AZ168" s="1017"/>
      <c r="BA168" s="1018"/>
      <c r="BB168" s="1018"/>
      <c r="BC168" s="1018"/>
      <c r="BD168" s="1018"/>
      <c r="BE168" s="1018"/>
      <c r="BF168" s="1018"/>
      <c r="BG168" s="1018"/>
      <c r="BH168" s="1018"/>
      <c r="BI168" s="1018"/>
      <c r="BJ168" s="1018"/>
      <c r="BK168" s="1018"/>
      <c r="BL168" s="1018"/>
      <c r="BM168" s="1018"/>
      <c r="BN168" s="1018"/>
      <c r="BO168" s="1018"/>
      <c r="BP168" s="1018"/>
      <c r="BQ168" s="1018"/>
      <c r="BR168" s="1018"/>
      <c r="BS168" s="1018"/>
      <c r="BT168" s="1018"/>
      <c r="BU168" s="1018"/>
      <c r="CA168" s="620" t="str">
        <f t="shared" si="125"/>
        <v/>
      </c>
      <c r="CB168" s="620" t="str">
        <f t="shared" si="126"/>
        <v/>
      </c>
      <c r="CC168" s="620" t="str">
        <f t="shared" si="117"/>
        <v/>
      </c>
      <c r="CD168" s="620" t="str">
        <f t="shared" si="118"/>
        <v/>
      </c>
      <c r="CL168" s="1020"/>
      <c r="CM168" s="1020"/>
      <c r="CN168" s="1020"/>
      <c r="CO168" s="1020"/>
      <c r="CP168" s="1020"/>
      <c r="CQ168" s="1020"/>
      <c r="CR168" s="1020"/>
      <c r="CS168" s="1020"/>
      <c r="CT168" s="1020"/>
      <c r="CU168" s="1020"/>
      <c r="CV168" s="1020"/>
      <c r="CW168" s="1020"/>
      <c r="CX168" s="1020"/>
      <c r="CY168" s="1020"/>
      <c r="CZ168" s="1020"/>
      <c r="DA168" s="1020"/>
      <c r="DP168" s="501">
        <f t="shared" si="119"/>
        <v>0</v>
      </c>
      <c r="DQ168" s="501">
        <f t="shared" si="120"/>
        <v>0</v>
      </c>
      <c r="DR168" s="501">
        <f t="shared" si="121"/>
        <v>0</v>
      </c>
      <c r="DS168" s="501">
        <f t="shared" si="122"/>
        <v>0</v>
      </c>
    </row>
    <row r="169" spans="1:123" ht="15" customHeight="1" x14ac:dyDescent="0.25">
      <c r="A169" s="1906" t="s">
        <v>339</v>
      </c>
      <c r="B169" s="1907" t="s">
        <v>339</v>
      </c>
      <c r="C169" s="968">
        <f t="shared" ref="C169:C190" si="131">SUM(D169:E169)</f>
        <v>0</v>
      </c>
      <c r="D169" s="1008">
        <f t="shared" si="128"/>
        <v>0</v>
      </c>
      <c r="E169" s="1009">
        <f t="shared" si="129"/>
        <v>0</v>
      </c>
      <c r="F169" s="892"/>
      <c r="G169" s="895"/>
      <c r="H169" s="895"/>
      <c r="I169" s="895"/>
      <c r="J169" s="895"/>
      <c r="K169" s="895"/>
      <c r="L169" s="895"/>
      <c r="M169" s="895"/>
      <c r="N169" s="895"/>
      <c r="O169" s="895"/>
      <c r="P169" s="895"/>
      <c r="Q169" s="895"/>
      <c r="R169" s="895"/>
      <c r="S169" s="895"/>
      <c r="T169" s="895"/>
      <c r="U169" s="895"/>
      <c r="V169" s="895"/>
      <c r="W169" s="895"/>
      <c r="X169" s="895"/>
      <c r="Y169" s="895"/>
      <c r="Z169" s="895"/>
      <c r="AA169" s="895"/>
      <c r="AB169" s="895"/>
      <c r="AC169" s="895"/>
      <c r="AD169" s="895"/>
      <c r="AE169" s="895"/>
      <c r="AF169" s="895"/>
      <c r="AG169" s="895"/>
      <c r="AH169" s="895"/>
      <c r="AI169" s="895"/>
      <c r="AJ169" s="895"/>
      <c r="AK169" s="895"/>
      <c r="AL169" s="895"/>
      <c r="AM169" s="895"/>
      <c r="AN169" s="895"/>
      <c r="AO169" s="895"/>
      <c r="AP169" s="895"/>
      <c r="AQ169" s="891"/>
      <c r="AR169" s="894"/>
      <c r="AS169" s="891"/>
      <c r="AT169" s="889"/>
      <c r="AU169" s="890"/>
      <c r="AV169" s="787" t="str">
        <f t="shared" si="124"/>
        <v/>
      </c>
      <c r="AW169" s="787"/>
      <c r="AX169" s="787"/>
      <c r="AY169" s="787"/>
      <c r="AZ169" s="787"/>
      <c r="BR169"/>
      <c r="BS169"/>
      <c r="BT169"/>
      <c r="BU169"/>
      <c r="CA169" s="620" t="str">
        <f t="shared" si="125"/>
        <v/>
      </c>
      <c r="CB169" s="620" t="str">
        <f t="shared" si="126"/>
        <v/>
      </c>
      <c r="CC169" s="620" t="str">
        <f t="shared" si="117"/>
        <v/>
      </c>
      <c r="CD169" s="620" t="str">
        <f t="shared" si="118"/>
        <v/>
      </c>
      <c r="DP169" s="501">
        <f t="shared" si="119"/>
        <v>0</v>
      </c>
      <c r="DQ169" s="501">
        <f t="shared" si="120"/>
        <v>0</v>
      </c>
      <c r="DR169" s="501">
        <f t="shared" si="121"/>
        <v>0</v>
      </c>
      <c r="DS169" s="501">
        <f t="shared" si="122"/>
        <v>0</v>
      </c>
    </row>
    <row r="170" spans="1:123" ht="15" customHeight="1" x14ac:dyDescent="0.25">
      <c r="A170" s="1906" t="s">
        <v>340</v>
      </c>
      <c r="B170" s="1907" t="s">
        <v>340</v>
      </c>
      <c r="C170" s="968">
        <f t="shared" si="131"/>
        <v>0</v>
      </c>
      <c r="D170" s="1008">
        <f t="shared" si="128"/>
        <v>0</v>
      </c>
      <c r="E170" s="1009">
        <f t="shared" si="129"/>
        <v>0</v>
      </c>
      <c r="F170" s="892"/>
      <c r="G170" s="895"/>
      <c r="H170" s="895"/>
      <c r="I170" s="895"/>
      <c r="J170" s="895"/>
      <c r="K170" s="895"/>
      <c r="L170" s="895"/>
      <c r="M170" s="895"/>
      <c r="N170" s="895"/>
      <c r="O170" s="895"/>
      <c r="P170" s="895"/>
      <c r="Q170" s="895"/>
      <c r="R170" s="895"/>
      <c r="S170" s="895"/>
      <c r="T170" s="895"/>
      <c r="U170" s="895"/>
      <c r="V170" s="895"/>
      <c r="W170" s="895"/>
      <c r="X170" s="895"/>
      <c r="Y170" s="895"/>
      <c r="Z170" s="895"/>
      <c r="AA170" s="895"/>
      <c r="AB170" s="895"/>
      <c r="AC170" s="895"/>
      <c r="AD170" s="895"/>
      <c r="AE170" s="895"/>
      <c r="AF170" s="895"/>
      <c r="AG170" s="895"/>
      <c r="AH170" s="895"/>
      <c r="AI170" s="895"/>
      <c r="AJ170" s="895"/>
      <c r="AK170" s="895"/>
      <c r="AL170" s="895"/>
      <c r="AM170" s="895"/>
      <c r="AN170" s="895"/>
      <c r="AO170" s="895"/>
      <c r="AP170" s="895"/>
      <c r="AQ170" s="891"/>
      <c r="AR170" s="894"/>
      <c r="AS170" s="891"/>
      <c r="AT170" s="889"/>
      <c r="AU170" s="890"/>
      <c r="AV170" s="787" t="str">
        <f t="shared" si="124"/>
        <v/>
      </c>
      <c r="AW170" s="787"/>
      <c r="AX170" s="787"/>
      <c r="AY170" s="787"/>
      <c r="AZ170" s="787"/>
      <c r="BR170"/>
      <c r="BS170"/>
      <c r="BT170"/>
      <c r="BU170"/>
      <c r="CA170" s="620" t="str">
        <f t="shared" si="125"/>
        <v/>
      </c>
      <c r="CB170" s="620" t="str">
        <f t="shared" si="126"/>
        <v/>
      </c>
      <c r="CC170" s="620" t="str">
        <f t="shared" si="117"/>
        <v/>
      </c>
      <c r="CD170" s="620" t="str">
        <f t="shared" si="118"/>
        <v/>
      </c>
      <c r="DP170" s="501">
        <f t="shared" si="119"/>
        <v>0</v>
      </c>
      <c r="DQ170" s="501">
        <f t="shared" si="120"/>
        <v>0</v>
      </c>
      <c r="DR170" s="501">
        <f t="shared" si="121"/>
        <v>0</v>
      </c>
      <c r="DS170" s="501">
        <f t="shared" si="122"/>
        <v>0</v>
      </c>
    </row>
    <row r="171" spans="1:123" ht="15" customHeight="1" x14ac:dyDescent="0.25">
      <c r="A171" s="1906" t="s">
        <v>341</v>
      </c>
      <c r="B171" s="1907" t="s">
        <v>341</v>
      </c>
      <c r="C171" s="968">
        <f t="shared" si="131"/>
        <v>0</v>
      </c>
      <c r="D171" s="1008">
        <f t="shared" si="128"/>
        <v>0</v>
      </c>
      <c r="E171" s="1009">
        <f t="shared" si="129"/>
        <v>0</v>
      </c>
      <c r="F171" s="892"/>
      <c r="G171" s="895"/>
      <c r="H171" s="895"/>
      <c r="I171" s="895"/>
      <c r="J171" s="895"/>
      <c r="K171" s="895"/>
      <c r="L171" s="895"/>
      <c r="M171" s="895"/>
      <c r="N171" s="895"/>
      <c r="O171" s="895"/>
      <c r="P171" s="895"/>
      <c r="Q171" s="895"/>
      <c r="R171" s="895"/>
      <c r="S171" s="895"/>
      <c r="T171" s="895"/>
      <c r="U171" s="895"/>
      <c r="V171" s="895"/>
      <c r="W171" s="895"/>
      <c r="X171" s="895"/>
      <c r="Y171" s="895"/>
      <c r="Z171" s="895"/>
      <c r="AA171" s="895"/>
      <c r="AB171" s="895"/>
      <c r="AC171" s="895"/>
      <c r="AD171" s="895"/>
      <c r="AE171" s="895"/>
      <c r="AF171" s="895"/>
      <c r="AG171" s="895"/>
      <c r="AH171" s="895"/>
      <c r="AI171" s="895"/>
      <c r="AJ171" s="895"/>
      <c r="AK171" s="895"/>
      <c r="AL171" s="895"/>
      <c r="AM171" s="895"/>
      <c r="AN171" s="895"/>
      <c r="AO171" s="895"/>
      <c r="AP171" s="895"/>
      <c r="AQ171" s="891"/>
      <c r="AR171" s="894"/>
      <c r="AS171" s="891"/>
      <c r="AT171" s="889"/>
      <c r="AU171" s="890"/>
      <c r="AV171" s="787" t="str">
        <f t="shared" si="124"/>
        <v/>
      </c>
      <c r="AW171" s="787"/>
      <c r="AX171" s="787"/>
      <c r="AY171" s="787"/>
      <c r="AZ171" s="787"/>
      <c r="BR171"/>
      <c r="BS171"/>
      <c r="BT171"/>
      <c r="BU171"/>
      <c r="CA171" s="620" t="str">
        <f t="shared" si="125"/>
        <v/>
      </c>
      <c r="CB171" s="620" t="str">
        <f t="shared" si="126"/>
        <v/>
      </c>
      <c r="CC171" s="620" t="str">
        <f t="shared" si="117"/>
        <v/>
      </c>
      <c r="CD171" s="620" t="str">
        <f t="shared" si="118"/>
        <v/>
      </c>
      <c r="DP171" s="501">
        <f t="shared" si="119"/>
        <v>0</v>
      </c>
      <c r="DQ171" s="501">
        <f t="shared" si="120"/>
        <v>0</v>
      </c>
      <c r="DR171" s="501">
        <f t="shared" si="121"/>
        <v>0</v>
      </c>
      <c r="DS171" s="501">
        <f t="shared" si="122"/>
        <v>0</v>
      </c>
    </row>
    <row r="172" spans="1:123" ht="15" customHeight="1" x14ac:dyDescent="0.25">
      <c r="A172" s="1906" t="s">
        <v>342</v>
      </c>
      <c r="B172" s="1907" t="s">
        <v>342</v>
      </c>
      <c r="C172" s="968">
        <f t="shared" ref="C172:C178" si="132">SUM(D172:E172)</f>
        <v>0</v>
      </c>
      <c r="D172" s="1008">
        <f t="shared" ref="D172:E178" si="133">+F172+H172+J172+L172+N172+P172+R172+T172+V172+X172+Z172+AB172+AD172+AF172+AH172+AN172+AP172+AJ172+AL172</f>
        <v>0</v>
      </c>
      <c r="E172" s="1009">
        <f t="shared" si="133"/>
        <v>0</v>
      </c>
      <c r="F172" s="892"/>
      <c r="G172" s="895"/>
      <c r="H172" s="895"/>
      <c r="I172" s="895"/>
      <c r="J172" s="895"/>
      <c r="K172" s="895"/>
      <c r="L172" s="895"/>
      <c r="M172" s="895"/>
      <c r="N172" s="895"/>
      <c r="O172" s="895"/>
      <c r="P172" s="895"/>
      <c r="Q172" s="895"/>
      <c r="R172" s="895"/>
      <c r="S172" s="895"/>
      <c r="T172" s="895"/>
      <c r="U172" s="895"/>
      <c r="V172" s="895"/>
      <c r="W172" s="895"/>
      <c r="X172" s="895"/>
      <c r="Y172" s="895"/>
      <c r="Z172" s="895"/>
      <c r="AA172" s="895"/>
      <c r="AB172" s="895"/>
      <c r="AC172" s="895"/>
      <c r="AD172" s="895"/>
      <c r="AE172" s="895"/>
      <c r="AF172" s="895"/>
      <c r="AG172" s="895"/>
      <c r="AH172" s="895"/>
      <c r="AI172" s="895"/>
      <c r="AJ172" s="895"/>
      <c r="AK172" s="895"/>
      <c r="AL172" s="895"/>
      <c r="AM172" s="895"/>
      <c r="AN172" s="895"/>
      <c r="AO172" s="895"/>
      <c r="AP172" s="895"/>
      <c r="AQ172" s="891"/>
      <c r="AR172" s="894"/>
      <c r="AS172" s="891"/>
      <c r="AT172" s="889"/>
      <c r="AU172" s="890"/>
      <c r="AV172" s="787" t="str">
        <f t="shared" si="124"/>
        <v/>
      </c>
      <c r="AW172" s="787"/>
      <c r="AX172" s="787"/>
      <c r="AY172" s="787"/>
      <c r="AZ172" s="787"/>
      <c r="BR172"/>
      <c r="BS172"/>
      <c r="BT172"/>
      <c r="BU172"/>
      <c r="CA172" s="620" t="str">
        <f t="shared" si="125"/>
        <v/>
      </c>
      <c r="CB172" s="620" t="str">
        <f t="shared" si="126"/>
        <v/>
      </c>
      <c r="CC172" s="620" t="str">
        <f t="shared" si="117"/>
        <v/>
      </c>
      <c r="CD172" s="620" t="str">
        <f t="shared" si="118"/>
        <v/>
      </c>
      <c r="DP172" s="501">
        <f t="shared" si="119"/>
        <v>0</v>
      </c>
      <c r="DQ172" s="501">
        <f t="shared" si="120"/>
        <v>0</v>
      </c>
      <c r="DR172" s="501">
        <f t="shared" si="121"/>
        <v>0</v>
      </c>
      <c r="DS172" s="501">
        <f t="shared" si="122"/>
        <v>0</v>
      </c>
    </row>
    <row r="173" spans="1:123" ht="15" customHeight="1" x14ac:dyDescent="0.25">
      <c r="A173" s="1906" t="s">
        <v>343</v>
      </c>
      <c r="B173" s="1907" t="s">
        <v>343</v>
      </c>
      <c r="C173" s="968">
        <f t="shared" si="132"/>
        <v>0</v>
      </c>
      <c r="D173" s="1008">
        <f t="shared" si="133"/>
        <v>0</v>
      </c>
      <c r="E173" s="1009">
        <f t="shared" si="133"/>
        <v>0</v>
      </c>
      <c r="F173" s="892"/>
      <c r="G173" s="895"/>
      <c r="H173" s="895"/>
      <c r="I173" s="895"/>
      <c r="J173" s="895"/>
      <c r="K173" s="895"/>
      <c r="L173" s="895"/>
      <c r="M173" s="895"/>
      <c r="N173" s="895"/>
      <c r="O173" s="895"/>
      <c r="P173" s="895"/>
      <c r="Q173" s="895"/>
      <c r="R173" s="895"/>
      <c r="S173" s="895"/>
      <c r="T173" s="895"/>
      <c r="U173" s="895"/>
      <c r="V173" s="895"/>
      <c r="W173" s="895"/>
      <c r="X173" s="895"/>
      <c r="Y173" s="895"/>
      <c r="Z173" s="895"/>
      <c r="AA173" s="895"/>
      <c r="AB173" s="895"/>
      <c r="AC173" s="895"/>
      <c r="AD173" s="895"/>
      <c r="AE173" s="895"/>
      <c r="AF173" s="895"/>
      <c r="AG173" s="895"/>
      <c r="AH173" s="895"/>
      <c r="AI173" s="895"/>
      <c r="AJ173" s="895"/>
      <c r="AK173" s="895"/>
      <c r="AL173" s="895"/>
      <c r="AM173" s="895"/>
      <c r="AN173" s="895"/>
      <c r="AO173" s="895"/>
      <c r="AP173" s="895"/>
      <c r="AQ173" s="891"/>
      <c r="AR173" s="894"/>
      <c r="AS173" s="891"/>
      <c r="AT173" s="889"/>
      <c r="AU173" s="890"/>
      <c r="AV173" s="787" t="str">
        <f t="shared" si="124"/>
        <v/>
      </c>
      <c r="AW173" s="787"/>
      <c r="AX173" s="787"/>
      <c r="AY173" s="787"/>
      <c r="AZ173" s="787"/>
      <c r="BR173"/>
      <c r="BS173"/>
      <c r="BT173"/>
      <c r="BU173"/>
      <c r="CA173" s="620" t="str">
        <f t="shared" si="125"/>
        <v/>
      </c>
      <c r="CB173" s="620" t="str">
        <f t="shared" si="126"/>
        <v/>
      </c>
      <c r="CC173" s="620" t="str">
        <f t="shared" si="117"/>
        <v/>
      </c>
      <c r="CD173" s="620" t="str">
        <f t="shared" si="118"/>
        <v/>
      </c>
      <c r="DP173" s="501">
        <f t="shared" si="119"/>
        <v>0</v>
      </c>
      <c r="DQ173" s="501">
        <f t="shared" si="120"/>
        <v>0</v>
      </c>
      <c r="DR173" s="501">
        <f t="shared" si="121"/>
        <v>0</v>
      </c>
      <c r="DS173" s="501">
        <f t="shared" si="122"/>
        <v>0</v>
      </c>
    </row>
    <row r="174" spans="1:123" ht="15" customHeight="1" x14ac:dyDescent="0.25">
      <c r="A174" s="1906" t="s">
        <v>344</v>
      </c>
      <c r="B174" s="1907" t="s">
        <v>344</v>
      </c>
      <c r="C174" s="968">
        <f t="shared" si="132"/>
        <v>0</v>
      </c>
      <c r="D174" s="1008">
        <f t="shared" si="133"/>
        <v>0</v>
      </c>
      <c r="E174" s="1009">
        <f t="shared" si="133"/>
        <v>0</v>
      </c>
      <c r="F174" s="892"/>
      <c r="G174" s="895"/>
      <c r="H174" s="895"/>
      <c r="I174" s="895"/>
      <c r="J174" s="895"/>
      <c r="K174" s="895"/>
      <c r="L174" s="895"/>
      <c r="M174" s="895"/>
      <c r="N174" s="895"/>
      <c r="O174" s="895"/>
      <c r="P174" s="895"/>
      <c r="Q174" s="895"/>
      <c r="R174" s="895"/>
      <c r="S174" s="895"/>
      <c r="T174" s="895"/>
      <c r="U174" s="895"/>
      <c r="V174" s="895"/>
      <c r="W174" s="895"/>
      <c r="X174" s="895"/>
      <c r="Y174" s="895"/>
      <c r="Z174" s="895"/>
      <c r="AA174" s="895"/>
      <c r="AB174" s="895"/>
      <c r="AC174" s="895"/>
      <c r="AD174" s="895"/>
      <c r="AE174" s="895"/>
      <c r="AF174" s="895"/>
      <c r="AG174" s="895"/>
      <c r="AH174" s="895"/>
      <c r="AI174" s="895"/>
      <c r="AJ174" s="895"/>
      <c r="AK174" s="895"/>
      <c r="AL174" s="895"/>
      <c r="AM174" s="895"/>
      <c r="AN174" s="895"/>
      <c r="AO174" s="895"/>
      <c r="AP174" s="895"/>
      <c r="AQ174" s="891"/>
      <c r="AR174" s="894"/>
      <c r="AS174" s="891"/>
      <c r="AT174" s="889"/>
      <c r="AU174" s="890"/>
      <c r="AV174" s="787" t="str">
        <f t="shared" si="124"/>
        <v/>
      </c>
      <c r="AW174" s="787"/>
      <c r="AX174" s="787"/>
      <c r="AY174" s="787"/>
      <c r="AZ174" s="787"/>
      <c r="BR174"/>
      <c r="BS174"/>
      <c r="BT174"/>
      <c r="BU174"/>
      <c r="CA174" s="620" t="str">
        <f t="shared" si="125"/>
        <v/>
      </c>
      <c r="CB174" s="620" t="str">
        <f t="shared" si="126"/>
        <v/>
      </c>
      <c r="CC174" s="620" t="str">
        <f t="shared" si="117"/>
        <v/>
      </c>
      <c r="CD174" s="620" t="str">
        <f t="shared" si="118"/>
        <v/>
      </c>
      <c r="DP174" s="501">
        <f t="shared" si="119"/>
        <v>0</v>
      </c>
      <c r="DQ174" s="501">
        <f t="shared" si="120"/>
        <v>0</v>
      </c>
      <c r="DR174" s="501">
        <f t="shared" si="121"/>
        <v>0</v>
      </c>
      <c r="DS174" s="501">
        <f t="shared" si="122"/>
        <v>0</v>
      </c>
    </row>
    <row r="175" spans="1:123" ht="15" customHeight="1" x14ac:dyDescent="0.25">
      <c r="A175" s="1906" t="s">
        <v>345</v>
      </c>
      <c r="B175" s="1907" t="s">
        <v>345</v>
      </c>
      <c r="C175" s="968">
        <f t="shared" si="132"/>
        <v>0</v>
      </c>
      <c r="D175" s="1008">
        <f t="shared" si="133"/>
        <v>0</v>
      </c>
      <c r="E175" s="1009">
        <f t="shared" si="133"/>
        <v>0</v>
      </c>
      <c r="F175" s="892"/>
      <c r="G175" s="895"/>
      <c r="H175" s="895"/>
      <c r="I175" s="895"/>
      <c r="J175" s="895"/>
      <c r="K175" s="895"/>
      <c r="L175" s="895"/>
      <c r="M175" s="895"/>
      <c r="N175" s="895"/>
      <c r="O175" s="895"/>
      <c r="P175" s="895"/>
      <c r="Q175" s="895"/>
      <c r="R175" s="895"/>
      <c r="S175" s="895"/>
      <c r="T175" s="895"/>
      <c r="U175" s="895"/>
      <c r="V175" s="895"/>
      <c r="W175" s="895"/>
      <c r="X175" s="895"/>
      <c r="Y175" s="895"/>
      <c r="Z175" s="895"/>
      <c r="AA175" s="895"/>
      <c r="AB175" s="895"/>
      <c r="AC175" s="895"/>
      <c r="AD175" s="895"/>
      <c r="AE175" s="895"/>
      <c r="AF175" s="895"/>
      <c r="AG175" s="895"/>
      <c r="AH175" s="895"/>
      <c r="AI175" s="895"/>
      <c r="AJ175" s="895"/>
      <c r="AK175" s="895"/>
      <c r="AL175" s="895"/>
      <c r="AM175" s="895"/>
      <c r="AN175" s="895"/>
      <c r="AO175" s="895"/>
      <c r="AP175" s="895"/>
      <c r="AQ175" s="891"/>
      <c r="AR175" s="894"/>
      <c r="AS175" s="891"/>
      <c r="AT175" s="889"/>
      <c r="AU175" s="890"/>
      <c r="AV175" s="787" t="str">
        <f t="shared" si="124"/>
        <v/>
      </c>
      <c r="AW175" s="787"/>
      <c r="AX175" s="787"/>
      <c r="AY175" s="787"/>
      <c r="AZ175" s="787"/>
      <c r="BR175"/>
      <c r="BS175"/>
      <c r="BT175"/>
      <c r="BU175"/>
      <c r="CA175" s="620" t="str">
        <f t="shared" si="125"/>
        <v/>
      </c>
      <c r="CB175" s="620" t="str">
        <f t="shared" si="126"/>
        <v/>
      </c>
      <c r="CC175" s="620" t="str">
        <f t="shared" si="117"/>
        <v/>
      </c>
      <c r="CD175" s="620" t="str">
        <f t="shared" si="118"/>
        <v/>
      </c>
      <c r="DP175" s="501">
        <f t="shared" si="119"/>
        <v>0</v>
      </c>
      <c r="DQ175" s="501">
        <f t="shared" si="120"/>
        <v>0</v>
      </c>
      <c r="DR175" s="501">
        <f t="shared" si="121"/>
        <v>0</v>
      </c>
      <c r="DS175" s="501">
        <f t="shared" si="122"/>
        <v>0</v>
      </c>
    </row>
    <row r="176" spans="1:123" ht="15" customHeight="1" x14ac:dyDescent="0.25">
      <c r="A176" s="1906" t="s">
        <v>346</v>
      </c>
      <c r="B176" s="1907"/>
      <c r="C176" s="852">
        <f t="shared" si="132"/>
        <v>0</v>
      </c>
      <c r="D176" s="1006">
        <f t="shared" si="133"/>
        <v>0</v>
      </c>
      <c r="E176" s="1007">
        <f t="shared" si="133"/>
        <v>0</v>
      </c>
      <c r="F176" s="867"/>
      <c r="G176" s="873"/>
      <c r="H176" s="873"/>
      <c r="I176" s="873"/>
      <c r="J176" s="873"/>
      <c r="K176" s="873"/>
      <c r="L176" s="873"/>
      <c r="M176" s="873"/>
      <c r="N176" s="873"/>
      <c r="O176" s="873"/>
      <c r="P176" s="873"/>
      <c r="Q176" s="873"/>
      <c r="R176" s="873"/>
      <c r="S176" s="873"/>
      <c r="T176" s="873"/>
      <c r="U176" s="873"/>
      <c r="V176" s="873"/>
      <c r="W176" s="873"/>
      <c r="X176" s="873"/>
      <c r="Y176" s="873"/>
      <c r="Z176" s="873"/>
      <c r="AA176" s="873"/>
      <c r="AB176" s="873"/>
      <c r="AC176" s="873"/>
      <c r="AD176" s="873"/>
      <c r="AE176" s="873"/>
      <c r="AF176" s="873"/>
      <c r="AG176" s="873"/>
      <c r="AH176" s="873"/>
      <c r="AI176" s="873"/>
      <c r="AJ176" s="873"/>
      <c r="AK176" s="873"/>
      <c r="AL176" s="873"/>
      <c r="AM176" s="873"/>
      <c r="AN176" s="873"/>
      <c r="AO176" s="873"/>
      <c r="AP176" s="873"/>
      <c r="AQ176" s="868"/>
      <c r="AR176" s="872"/>
      <c r="AS176" s="868"/>
      <c r="AT176" s="866"/>
      <c r="AU176" s="869"/>
      <c r="AV176" s="787" t="str">
        <f t="shared" si="124"/>
        <v/>
      </c>
      <c r="CA176" s="620" t="str">
        <f t="shared" si="125"/>
        <v/>
      </c>
      <c r="CB176" s="620" t="str">
        <f t="shared" si="126"/>
        <v/>
      </c>
      <c r="CC176" s="620" t="str">
        <f t="shared" si="117"/>
        <v/>
      </c>
      <c r="CD176" s="620" t="str">
        <f t="shared" si="118"/>
        <v/>
      </c>
      <c r="DP176" s="501">
        <f t="shared" si="119"/>
        <v>0</v>
      </c>
      <c r="DQ176" s="501">
        <f t="shared" si="120"/>
        <v>0</v>
      </c>
      <c r="DR176" s="501">
        <f t="shared" si="121"/>
        <v>0</v>
      </c>
      <c r="DS176" s="501">
        <f t="shared" si="122"/>
        <v>0</v>
      </c>
    </row>
    <row r="177" spans="1:123" ht="15" customHeight="1" x14ac:dyDescent="0.25">
      <c r="A177" s="1906" t="s">
        <v>347</v>
      </c>
      <c r="B177" s="1907" t="s">
        <v>347</v>
      </c>
      <c r="C177" s="968">
        <f t="shared" si="132"/>
        <v>0</v>
      </c>
      <c r="D177" s="1008">
        <f t="shared" si="133"/>
        <v>0</v>
      </c>
      <c r="E177" s="1009">
        <f t="shared" si="133"/>
        <v>0</v>
      </c>
      <c r="F177" s="892"/>
      <c r="G177" s="895"/>
      <c r="H177" s="895"/>
      <c r="I177" s="895"/>
      <c r="J177" s="895"/>
      <c r="K177" s="895"/>
      <c r="L177" s="895"/>
      <c r="M177" s="895"/>
      <c r="N177" s="895"/>
      <c r="O177" s="895"/>
      <c r="P177" s="895"/>
      <c r="Q177" s="895"/>
      <c r="R177" s="895"/>
      <c r="S177" s="895"/>
      <c r="T177" s="895"/>
      <c r="U177" s="895"/>
      <c r="V177" s="895"/>
      <c r="W177" s="895"/>
      <c r="X177" s="895"/>
      <c r="Y177" s="895"/>
      <c r="Z177" s="895"/>
      <c r="AA177" s="895"/>
      <c r="AB177" s="895"/>
      <c r="AC177" s="895"/>
      <c r="AD177" s="895"/>
      <c r="AE177" s="895"/>
      <c r="AF177" s="895"/>
      <c r="AG177" s="895"/>
      <c r="AH177" s="895"/>
      <c r="AI177" s="895"/>
      <c r="AJ177" s="895"/>
      <c r="AK177" s="895"/>
      <c r="AL177" s="895"/>
      <c r="AM177" s="895"/>
      <c r="AN177" s="895"/>
      <c r="AO177" s="895"/>
      <c r="AP177" s="895"/>
      <c r="AQ177" s="891"/>
      <c r="AR177" s="894"/>
      <c r="AS177" s="891"/>
      <c r="AT177" s="889"/>
      <c r="AU177" s="890"/>
      <c r="AV177" s="787" t="str">
        <f t="shared" si="124"/>
        <v/>
      </c>
      <c r="AW177" s="787"/>
      <c r="AX177" s="787"/>
      <c r="AY177" s="787"/>
      <c r="AZ177" s="787"/>
      <c r="BR177"/>
      <c r="BS177"/>
      <c r="BT177"/>
      <c r="BU177"/>
      <c r="CA177" s="620" t="str">
        <f t="shared" si="125"/>
        <v/>
      </c>
      <c r="CB177" s="620" t="str">
        <f t="shared" si="126"/>
        <v/>
      </c>
      <c r="CC177" s="620" t="str">
        <f t="shared" si="117"/>
        <v/>
      </c>
      <c r="CD177" s="620" t="str">
        <f t="shared" si="118"/>
        <v/>
      </c>
      <c r="DP177" s="501">
        <f t="shared" si="119"/>
        <v>0</v>
      </c>
      <c r="DQ177" s="501">
        <f t="shared" si="120"/>
        <v>0</v>
      </c>
      <c r="DR177" s="501">
        <f t="shared" si="121"/>
        <v>0</v>
      </c>
      <c r="DS177" s="501">
        <f t="shared" si="122"/>
        <v>0</v>
      </c>
    </row>
    <row r="178" spans="1:123" ht="15" customHeight="1" x14ac:dyDescent="0.25">
      <c r="A178" s="1906" t="s">
        <v>348</v>
      </c>
      <c r="B178" s="1907" t="s">
        <v>348</v>
      </c>
      <c r="C178" s="968">
        <f t="shared" si="132"/>
        <v>0</v>
      </c>
      <c r="D178" s="1008">
        <f t="shared" si="133"/>
        <v>0</v>
      </c>
      <c r="E178" s="1009">
        <f t="shared" si="133"/>
        <v>0</v>
      </c>
      <c r="F178" s="892"/>
      <c r="G178" s="895"/>
      <c r="H178" s="895"/>
      <c r="I178" s="895"/>
      <c r="J178" s="895"/>
      <c r="K178" s="895"/>
      <c r="L178" s="895"/>
      <c r="M178" s="895"/>
      <c r="N178" s="895"/>
      <c r="O178" s="895"/>
      <c r="P178" s="895"/>
      <c r="Q178" s="895"/>
      <c r="R178" s="895"/>
      <c r="S178" s="895"/>
      <c r="T178" s="895"/>
      <c r="U178" s="895"/>
      <c r="V178" s="895"/>
      <c r="W178" s="895"/>
      <c r="X178" s="895"/>
      <c r="Y178" s="895"/>
      <c r="Z178" s="895"/>
      <c r="AA178" s="895"/>
      <c r="AB178" s="895"/>
      <c r="AC178" s="895"/>
      <c r="AD178" s="895"/>
      <c r="AE178" s="895"/>
      <c r="AF178" s="895"/>
      <c r="AG178" s="895"/>
      <c r="AH178" s="895"/>
      <c r="AI178" s="895"/>
      <c r="AJ178" s="895"/>
      <c r="AK178" s="895"/>
      <c r="AL178" s="895"/>
      <c r="AM178" s="895"/>
      <c r="AN178" s="895"/>
      <c r="AO178" s="895"/>
      <c r="AP178" s="895"/>
      <c r="AQ178" s="891"/>
      <c r="AR178" s="894"/>
      <c r="AS178" s="891"/>
      <c r="AT178" s="889"/>
      <c r="AU178" s="890"/>
      <c r="AV178" s="787" t="str">
        <f t="shared" si="124"/>
        <v/>
      </c>
      <c r="AW178" s="787"/>
      <c r="AX178" s="787"/>
      <c r="AY178" s="787"/>
      <c r="AZ178" s="787"/>
      <c r="BR178"/>
      <c r="BS178"/>
      <c r="BT178"/>
      <c r="BU178"/>
      <c r="CA178" s="620" t="str">
        <f t="shared" si="125"/>
        <v/>
      </c>
      <c r="CB178" s="620" t="str">
        <f t="shared" si="126"/>
        <v/>
      </c>
      <c r="CC178" s="620" t="str">
        <f t="shared" si="117"/>
        <v/>
      </c>
      <c r="CD178" s="620" t="str">
        <f t="shared" si="118"/>
        <v/>
      </c>
      <c r="DP178" s="501">
        <f t="shared" si="119"/>
        <v>0</v>
      </c>
      <c r="DQ178" s="501">
        <f t="shared" si="120"/>
        <v>0</v>
      </c>
      <c r="DR178" s="501">
        <f t="shared" si="121"/>
        <v>0</v>
      </c>
      <c r="DS178" s="501">
        <f t="shared" si="122"/>
        <v>0</v>
      </c>
    </row>
    <row r="179" spans="1:123" ht="15" customHeight="1" x14ac:dyDescent="0.25">
      <c r="A179" s="1906" t="s">
        <v>349</v>
      </c>
      <c r="B179" s="1907"/>
      <c r="C179" s="968">
        <f t="shared" si="131"/>
        <v>0</v>
      </c>
      <c r="D179" s="1008">
        <f t="shared" si="128"/>
        <v>0</v>
      </c>
      <c r="E179" s="1009">
        <f t="shared" si="129"/>
        <v>0</v>
      </c>
      <c r="F179" s="892"/>
      <c r="G179" s="895"/>
      <c r="H179" s="895"/>
      <c r="I179" s="895"/>
      <c r="J179" s="895"/>
      <c r="K179" s="895"/>
      <c r="L179" s="895"/>
      <c r="M179" s="895"/>
      <c r="N179" s="895"/>
      <c r="O179" s="895"/>
      <c r="P179" s="895"/>
      <c r="Q179" s="895"/>
      <c r="R179" s="895"/>
      <c r="S179" s="895"/>
      <c r="T179" s="895"/>
      <c r="U179" s="895"/>
      <c r="V179" s="895"/>
      <c r="W179" s="895"/>
      <c r="X179" s="895"/>
      <c r="Y179" s="895"/>
      <c r="Z179" s="895"/>
      <c r="AA179" s="895"/>
      <c r="AB179" s="895"/>
      <c r="AC179" s="895"/>
      <c r="AD179" s="895"/>
      <c r="AE179" s="895"/>
      <c r="AF179" s="895"/>
      <c r="AG179" s="895"/>
      <c r="AH179" s="895"/>
      <c r="AI179" s="895"/>
      <c r="AJ179" s="895"/>
      <c r="AK179" s="895"/>
      <c r="AL179" s="895"/>
      <c r="AM179" s="895"/>
      <c r="AN179" s="895"/>
      <c r="AO179" s="895"/>
      <c r="AP179" s="895"/>
      <c r="AQ179" s="891"/>
      <c r="AR179" s="894"/>
      <c r="AS179" s="891"/>
      <c r="AT179" s="889"/>
      <c r="AU179" s="890"/>
      <c r="AV179" s="787" t="str">
        <f t="shared" si="124"/>
        <v/>
      </c>
      <c r="AW179" s="787"/>
      <c r="AX179" s="787"/>
      <c r="AY179" s="787"/>
      <c r="AZ179" s="787"/>
      <c r="BR179"/>
      <c r="BS179"/>
      <c r="BT179"/>
      <c r="BU179"/>
      <c r="CA179" s="620" t="str">
        <f t="shared" si="125"/>
        <v/>
      </c>
      <c r="CB179" s="620" t="str">
        <f t="shared" si="126"/>
        <v/>
      </c>
      <c r="CC179" s="620" t="str">
        <f t="shared" si="117"/>
        <v/>
      </c>
      <c r="CD179" s="620" t="str">
        <f t="shared" si="118"/>
        <v/>
      </c>
      <c r="DP179" s="501">
        <f t="shared" si="119"/>
        <v>0</v>
      </c>
      <c r="DQ179" s="501">
        <f t="shared" si="120"/>
        <v>0</v>
      </c>
      <c r="DR179" s="501">
        <f t="shared" si="121"/>
        <v>0</v>
      </c>
      <c r="DS179" s="501">
        <f t="shared" si="122"/>
        <v>0</v>
      </c>
    </row>
    <row r="180" spans="1:123" ht="15" customHeight="1" x14ac:dyDescent="0.25">
      <c r="A180" s="1906" t="s">
        <v>350</v>
      </c>
      <c r="B180" s="1907" t="s">
        <v>350</v>
      </c>
      <c r="C180" s="968">
        <f t="shared" si="131"/>
        <v>0</v>
      </c>
      <c r="D180" s="1008">
        <f t="shared" si="128"/>
        <v>0</v>
      </c>
      <c r="E180" s="1009">
        <f t="shared" si="129"/>
        <v>0</v>
      </c>
      <c r="F180" s="892"/>
      <c r="G180" s="895"/>
      <c r="H180" s="895"/>
      <c r="I180" s="895"/>
      <c r="J180" s="895"/>
      <c r="K180" s="895"/>
      <c r="L180" s="895"/>
      <c r="M180" s="895"/>
      <c r="N180" s="895"/>
      <c r="O180" s="895"/>
      <c r="P180" s="895"/>
      <c r="Q180" s="895"/>
      <c r="R180" s="895"/>
      <c r="S180" s="895"/>
      <c r="T180" s="895"/>
      <c r="U180" s="895"/>
      <c r="V180" s="895"/>
      <c r="W180" s="895"/>
      <c r="X180" s="895"/>
      <c r="Y180" s="895"/>
      <c r="Z180" s="895"/>
      <c r="AA180" s="895"/>
      <c r="AB180" s="895"/>
      <c r="AC180" s="895"/>
      <c r="AD180" s="895"/>
      <c r="AE180" s="895"/>
      <c r="AF180" s="895"/>
      <c r="AG180" s="895"/>
      <c r="AH180" s="895"/>
      <c r="AI180" s="895"/>
      <c r="AJ180" s="895"/>
      <c r="AK180" s="895"/>
      <c r="AL180" s="895"/>
      <c r="AM180" s="895"/>
      <c r="AN180" s="895"/>
      <c r="AO180" s="895"/>
      <c r="AP180" s="895"/>
      <c r="AQ180" s="891"/>
      <c r="AR180" s="894"/>
      <c r="AS180" s="891"/>
      <c r="AT180" s="889"/>
      <c r="AU180" s="890"/>
      <c r="AV180" s="787" t="str">
        <f t="shared" si="124"/>
        <v/>
      </c>
      <c r="AW180" s="787"/>
      <c r="AX180" s="787"/>
      <c r="AY180" s="787"/>
      <c r="AZ180" s="787"/>
      <c r="BR180"/>
      <c r="BS180"/>
      <c r="BT180"/>
      <c r="BU180"/>
      <c r="CA180" s="620" t="str">
        <f t="shared" si="125"/>
        <v/>
      </c>
      <c r="CB180" s="620" t="str">
        <f t="shared" si="126"/>
        <v/>
      </c>
      <c r="CC180" s="620" t="str">
        <f t="shared" si="117"/>
        <v/>
      </c>
      <c r="CD180" s="620" t="str">
        <f t="shared" si="118"/>
        <v/>
      </c>
      <c r="DP180" s="501">
        <f t="shared" si="119"/>
        <v>0</v>
      </c>
      <c r="DQ180" s="501">
        <f t="shared" si="120"/>
        <v>0</v>
      </c>
      <c r="DR180" s="501">
        <f t="shared" si="121"/>
        <v>0</v>
      </c>
      <c r="DS180" s="501">
        <f t="shared" si="122"/>
        <v>0</v>
      </c>
    </row>
    <row r="181" spans="1:123" ht="15" customHeight="1" x14ac:dyDescent="0.25">
      <c r="A181" s="1906" t="s">
        <v>351</v>
      </c>
      <c r="B181" s="1907" t="s">
        <v>351</v>
      </c>
      <c r="C181" s="968">
        <f t="shared" si="131"/>
        <v>0</v>
      </c>
      <c r="D181" s="1008">
        <f t="shared" si="128"/>
        <v>0</v>
      </c>
      <c r="E181" s="1009">
        <f t="shared" si="129"/>
        <v>0</v>
      </c>
      <c r="F181" s="892"/>
      <c r="G181" s="895"/>
      <c r="H181" s="895"/>
      <c r="I181" s="895"/>
      <c r="J181" s="895"/>
      <c r="K181" s="895"/>
      <c r="L181" s="895"/>
      <c r="M181" s="895"/>
      <c r="N181" s="895"/>
      <c r="O181" s="895"/>
      <c r="P181" s="895"/>
      <c r="Q181" s="895"/>
      <c r="R181" s="895"/>
      <c r="S181" s="895"/>
      <c r="T181" s="895"/>
      <c r="U181" s="895"/>
      <c r="V181" s="895"/>
      <c r="W181" s="895"/>
      <c r="X181" s="895"/>
      <c r="Y181" s="895"/>
      <c r="Z181" s="895"/>
      <c r="AA181" s="895"/>
      <c r="AB181" s="895"/>
      <c r="AC181" s="895"/>
      <c r="AD181" s="895"/>
      <c r="AE181" s="895"/>
      <c r="AF181" s="895"/>
      <c r="AG181" s="895"/>
      <c r="AH181" s="895"/>
      <c r="AI181" s="895"/>
      <c r="AJ181" s="895"/>
      <c r="AK181" s="895"/>
      <c r="AL181" s="895"/>
      <c r="AM181" s="895"/>
      <c r="AN181" s="895"/>
      <c r="AO181" s="895"/>
      <c r="AP181" s="895"/>
      <c r="AQ181" s="891"/>
      <c r="AR181" s="894"/>
      <c r="AS181" s="891"/>
      <c r="AT181" s="889"/>
      <c r="AU181" s="890"/>
      <c r="AV181" s="787" t="str">
        <f t="shared" si="124"/>
        <v/>
      </c>
      <c r="AW181" s="787"/>
      <c r="AX181" s="787"/>
      <c r="AY181" s="787"/>
      <c r="AZ181" s="787"/>
      <c r="BR181"/>
      <c r="BS181"/>
      <c r="BT181"/>
      <c r="BU181"/>
      <c r="CA181" s="620" t="str">
        <f t="shared" si="125"/>
        <v/>
      </c>
      <c r="CB181" s="620" t="str">
        <f t="shared" si="126"/>
        <v/>
      </c>
      <c r="CC181" s="620" t="str">
        <f t="shared" si="117"/>
        <v/>
      </c>
      <c r="CD181" s="620" t="str">
        <f t="shared" si="118"/>
        <v/>
      </c>
      <c r="DP181" s="501">
        <f t="shared" si="119"/>
        <v>0</v>
      </c>
      <c r="DQ181" s="501">
        <f t="shared" si="120"/>
        <v>0</v>
      </c>
      <c r="DR181" s="501">
        <f t="shared" si="121"/>
        <v>0</v>
      </c>
      <c r="DS181" s="501">
        <f t="shared" si="122"/>
        <v>0</v>
      </c>
    </row>
    <row r="182" spans="1:123" ht="15" customHeight="1" x14ac:dyDescent="0.25">
      <c r="A182" s="1906" t="s">
        <v>352</v>
      </c>
      <c r="B182" s="1907" t="s">
        <v>352</v>
      </c>
      <c r="C182" s="968">
        <f t="shared" si="131"/>
        <v>0</v>
      </c>
      <c r="D182" s="1008">
        <f t="shared" si="128"/>
        <v>0</v>
      </c>
      <c r="E182" s="1009">
        <f t="shared" si="129"/>
        <v>0</v>
      </c>
      <c r="F182" s="892"/>
      <c r="G182" s="895"/>
      <c r="H182" s="895"/>
      <c r="I182" s="895"/>
      <c r="J182" s="895"/>
      <c r="K182" s="895"/>
      <c r="L182" s="895"/>
      <c r="M182" s="895"/>
      <c r="N182" s="895"/>
      <c r="O182" s="895"/>
      <c r="P182" s="895"/>
      <c r="Q182" s="895"/>
      <c r="R182" s="895"/>
      <c r="S182" s="895"/>
      <c r="T182" s="895"/>
      <c r="U182" s="895"/>
      <c r="V182" s="895"/>
      <c r="W182" s="895"/>
      <c r="X182" s="895"/>
      <c r="Y182" s="895"/>
      <c r="Z182" s="895"/>
      <c r="AA182" s="895"/>
      <c r="AB182" s="895"/>
      <c r="AC182" s="895"/>
      <c r="AD182" s="895"/>
      <c r="AE182" s="895"/>
      <c r="AF182" s="895"/>
      <c r="AG182" s="895"/>
      <c r="AH182" s="895"/>
      <c r="AI182" s="895"/>
      <c r="AJ182" s="895"/>
      <c r="AK182" s="895"/>
      <c r="AL182" s="895"/>
      <c r="AM182" s="895"/>
      <c r="AN182" s="895"/>
      <c r="AO182" s="895"/>
      <c r="AP182" s="895"/>
      <c r="AQ182" s="891"/>
      <c r="AR182" s="894"/>
      <c r="AS182" s="891"/>
      <c r="AT182" s="889"/>
      <c r="AU182" s="890"/>
      <c r="AV182" s="787" t="str">
        <f t="shared" si="124"/>
        <v/>
      </c>
      <c r="AW182" s="787"/>
      <c r="AX182" s="787"/>
      <c r="AY182" s="787"/>
      <c r="AZ182" s="787"/>
      <c r="BR182"/>
      <c r="BS182"/>
      <c r="BT182"/>
      <c r="BU182"/>
      <c r="CA182" s="620" t="str">
        <f t="shared" si="125"/>
        <v/>
      </c>
      <c r="CB182" s="620" t="str">
        <f t="shared" si="126"/>
        <v/>
      </c>
      <c r="CC182" s="620" t="str">
        <f t="shared" si="117"/>
        <v/>
      </c>
      <c r="CD182" s="620" t="str">
        <f t="shared" si="118"/>
        <v/>
      </c>
      <c r="DP182" s="501">
        <f t="shared" si="119"/>
        <v>0</v>
      </c>
      <c r="DQ182" s="501">
        <f t="shared" si="120"/>
        <v>0</v>
      </c>
      <c r="DR182" s="501">
        <f t="shared" si="121"/>
        <v>0</v>
      </c>
      <c r="DS182" s="501">
        <f t="shared" si="122"/>
        <v>0</v>
      </c>
    </row>
    <row r="183" spans="1:123" ht="15" customHeight="1" x14ac:dyDescent="0.25">
      <c r="A183" s="1906" t="s">
        <v>353</v>
      </c>
      <c r="B183" s="1907" t="s">
        <v>353</v>
      </c>
      <c r="C183" s="968">
        <f t="shared" si="131"/>
        <v>0</v>
      </c>
      <c r="D183" s="1008">
        <f t="shared" si="128"/>
        <v>0</v>
      </c>
      <c r="E183" s="1009">
        <f t="shared" si="129"/>
        <v>0</v>
      </c>
      <c r="F183" s="892"/>
      <c r="G183" s="895"/>
      <c r="H183" s="895"/>
      <c r="I183" s="895"/>
      <c r="J183" s="895"/>
      <c r="K183" s="895"/>
      <c r="L183" s="895"/>
      <c r="M183" s="895"/>
      <c r="N183" s="895"/>
      <c r="O183" s="895"/>
      <c r="P183" s="895"/>
      <c r="Q183" s="895"/>
      <c r="R183" s="895"/>
      <c r="S183" s="895"/>
      <c r="T183" s="895"/>
      <c r="U183" s="895"/>
      <c r="V183" s="895"/>
      <c r="W183" s="895"/>
      <c r="X183" s="895"/>
      <c r="Y183" s="895"/>
      <c r="Z183" s="895"/>
      <c r="AA183" s="895"/>
      <c r="AB183" s="895"/>
      <c r="AC183" s="895"/>
      <c r="AD183" s="895"/>
      <c r="AE183" s="895"/>
      <c r="AF183" s="895"/>
      <c r="AG183" s="895"/>
      <c r="AH183" s="895"/>
      <c r="AI183" s="895"/>
      <c r="AJ183" s="895"/>
      <c r="AK183" s="895"/>
      <c r="AL183" s="895"/>
      <c r="AM183" s="895"/>
      <c r="AN183" s="895"/>
      <c r="AO183" s="895"/>
      <c r="AP183" s="895"/>
      <c r="AQ183" s="891"/>
      <c r="AR183" s="894"/>
      <c r="AS183" s="891"/>
      <c r="AT183" s="889"/>
      <c r="AU183" s="890"/>
      <c r="AV183" s="787" t="str">
        <f t="shared" si="124"/>
        <v/>
      </c>
      <c r="AW183" s="787"/>
      <c r="AX183" s="787"/>
      <c r="AY183" s="787"/>
      <c r="AZ183" s="787"/>
      <c r="BR183"/>
      <c r="BS183"/>
      <c r="BT183"/>
      <c r="BU183"/>
      <c r="CA183" s="620" t="str">
        <f t="shared" si="125"/>
        <v/>
      </c>
      <c r="CB183" s="620" t="str">
        <f t="shared" si="126"/>
        <v/>
      </c>
      <c r="CC183" s="620" t="str">
        <f t="shared" si="117"/>
        <v/>
      </c>
      <c r="CD183" s="620" t="str">
        <f t="shared" si="118"/>
        <v/>
      </c>
      <c r="DP183" s="501">
        <f t="shared" si="119"/>
        <v>0</v>
      </c>
      <c r="DQ183" s="501">
        <f t="shared" si="120"/>
        <v>0</v>
      </c>
      <c r="DR183" s="501">
        <f t="shared" si="121"/>
        <v>0</v>
      </c>
      <c r="DS183" s="501">
        <f t="shared" si="122"/>
        <v>0</v>
      </c>
    </row>
    <row r="184" spans="1:123" ht="15" customHeight="1" x14ac:dyDescent="0.25">
      <c r="A184" s="1906" t="s">
        <v>354</v>
      </c>
      <c r="B184" s="1907" t="s">
        <v>354</v>
      </c>
      <c r="C184" s="968">
        <f t="shared" si="131"/>
        <v>0</v>
      </c>
      <c r="D184" s="1008">
        <f t="shared" si="128"/>
        <v>0</v>
      </c>
      <c r="E184" s="1009">
        <f t="shared" si="129"/>
        <v>0</v>
      </c>
      <c r="F184" s="892"/>
      <c r="G184" s="895"/>
      <c r="H184" s="895"/>
      <c r="I184" s="895"/>
      <c r="J184" s="895"/>
      <c r="K184" s="895"/>
      <c r="L184" s="895"/>
      <c r="M184" s="895"/>
      <c r="N184" s="895"/>
      <c r="O184" s="895"/>
      <c r="P184" s="895"/>
      <c r="Q184" s="895"/>
      <c r="R184" s="895"/>
      <c r="S184" s="895"/>
      <c r="T184" s="895"/>
      <c r="U184" s="895"/>
      <c r="V184" s="895"/>
      <c r="W184" s="895"/>
      <c r="X184" s="895"/>
      <c r="Y184" s="895"/>
      <c r="Z184" s="895"/>
      <c r="AA184" s="895"/>
      <c r="AB184" s="895"/>
      <c r="AC184" s="895"/>
      <c r="AD184" s="895"/>
      <c r="AE184" s="895"/>
      <c r="AF184" s="895"/>
      <c r="AG184" s="895"/>
      <c r="AH184" s="895"/>
      <c r="AI184" s="895"/>
      <c r="AJ184" s="895"/>
      <c r="AK184" s="895"/>
      <c r="AL184" s="895"/>
      <c r="AM184" s="895"/>
      <c r="AN184" s="895"/>
      <c r="AO184" s="895"/>
      <c r="AP184" s="895"/>
      <c r="AQ184" s="891"/>
      <c r="AR184" s="894"/>
      <c r="AS184" s="891"/>
      <c r="AT184" s="889"/>
      <c r="AU184" s="890"/>
      <c r="AV184" s="787" t="str">
        <f t="shared" si="124"/>
        <v/>
      </c>
      <c r="AW184" s="787"/>
      <c r="AX184" s="787"/>
      <c r="AY184" s="787"/>
      <c r="AZ184" s="787"/>
      <c r="BR184"/>
      <c r="BS184"/>
      <c r="BT184"/>
      <c r="BU184"/>
      <c r="CA184" s="620" t="str">
        <f t="shared" si="125"/>
        <v/>
      </c>
      <c r="CB184" s="620" t="str">
        <f t="shared" si="126"/>
        <v/>
      </c>
      <c r="CC184" s="620" t="str">
        <f t="shared" si="117"/>
        <v/>
      </c>
      <c r="CD184" s="620" t="str">
        <f t="shared" si="118"/>
        <v/>
      </c>
      <c r="DP184" s="501">
        <f t="shared" si="119"/>
        <v>0</v>
      </c>
      <c r="DQ184" s="501">
        <f t="shared" si="120"/>
        <v>0</v>
      </c>
      <c r="DR184" s="501">
        <f t="shared" si="121"/>
        <v>0</v>
      </c>
      <c r="DS184" s="501">
        <f t="shared" si="122"/>
        <v>0</v>
      </c>
    </row>
    <row r="185" spans="1:123" ht="24.75" customHeight="1" x14ac:dyDescent="0.25">
      <c r="A185" s="1906" t="s">
        <v>355</v>
      </c>
      <c r="B185" s="1907" t="s">
        <v>906</v>
      </c>
      <c r="C185" s="968">
        <f t="shared" ref="C185:C188" si="134">SUM(D185:E185)</f>
        <v>0</v>
      </c>
      <c r="D185" s="1008">
        <f t="shared" ref="D185:D188" si="135">+F185+H185+J185+L185+N185+P185+R185+T185+V185+X185+Z185+AB185+AD185+AF185+AH185+AN185+AP185+AJ185+AL185</f>
        <v>0</v>
      </c>
      <c r="E185" s="1009">
        <f t="shared" si="129"/>
        <v>0</v>
      </c>
      <c r="F185" s="892"/>
      <c r="G185" s="895"/>
      <c r="H185" s="895"/>
      <c r="I185" s="895"/>
      <c r="J185" s="895"/>
      <c r="K185" s="895"/>
      <c r="L185" s="895"/>
      <c r="M185" s="895"/>
      <c r="N185" s="895"/>
      <c r="O185" s="895"/>
      <c r="P185" s="895"/>
      <c r="Q185" s="895"/>
      <c r="R185" s="895"/>
      <c r="S185" s="895"/>
      <c r="T185" s="895"/>
      <c r="U185" s="895"/>
      <c r="V185" s="895"/>
      <c r="W185" s="895"/>
      <c r="X185" s="895"/>
      <c r="Y185" s="895"/>
      <c r="Z185" s="895"/>
      <c r="AA185" s="895"/>
      <c r="AB185" s="895"/>
      <c r="AC185" s="895"/>
      <c r="AD185" s="895"/>
      <c r="AE185" s="895"/>
      <c r="AF185" s="895"/>
      <c r="AG185" s="895"/>
      <c r="AH185" s="895"/>
      <c r="AI185" s="895"/>
      <c r="AJ185" s="895"/>
      <c r="AK185" s="895"/>
      <c r="AL185" s="895"/>
      <c r="AM185" s="895"/>
      <c r="AN185" s="895"/>
      <c r="AO185" s="895"/>
      <c r="AP185" s="895"/>
      <c r="AQ185" s="891"/>
      <c r="AR185" s="894"/>
      <c r="AS185" s="891"/>
      <c r="AT185" s="889"/>
      <c r="AU185" s="890"/>
      <c r="AV185" s="787" t="str">
        <f t="shared" si="124"/>
        <v/>
      </c>
      <c r="AW185" s="787"/>
      <c r="AX185" s="787"/>
      <c r="AY185" s="787"/>
      <c r="AZ185" s="787"/>
      <c r="BR185"/>
      <c r="BS185"/>
      <c r="BT185"/>
      <c r="BU185"/>
      <c r="CA185" s="620" t="str">
        <f t="shared" si="125"/>
        <v/>
      </c>
      <c r="CB185" s="620" t="str">
        <f t="shared" si="126"/>
        <v/>
      </c>
      <c r="CC185" s="620" t="str">
        <f t="shared" si="117"/>
        <v/>
      </c>
      <c r="CD185" s="620" t="str">
        <f t="shared" si="118"/>
        <v/>
      </c>
      <c r="DP185" s="501">
        <f t="shared" si="119"/>
        <v>0</v>
      </c>
      <c r="DQ185" s="501">
        <f t="shared" si="120"/>
        <v>0</v>
      </c>
      <c r="DR185" s="501">
        <f t="shared" si="121"/>
        <v>0</v>
      </c>
      <c r="DS185" s="501">
        <f t="shared" si="122"/>
        <v>0</v>
      </c>
    </row>
    <row r="186" spans="1:123" ht="15" customHeight="1" x14ac:dyDescent="0.25">
      <c r="A186" s="1906" t="s">
        <v>356</v>
      </c>
      <c r="B186" s="1907" t="s">
        <v>357</v>
      </c>
      <c r="C186" s="968">
        <f t="shared" si="134"/>
        <v>0</v>
      </c>
      <c r="D186" s="1008">
        <f t="shared" si="135"/>
        <v>0</v>
      </c>
      <c r="E186" s="1009">
        <f t="shared" si="129"/>
        <v>0</v>
      </c>
      <c r="F186" s="892"/>
      <c r="G186" s="895"/>
      <c r="H186" s="895"/>
      <c r="I186" s="895"/>
      <c r="J186" s="895"/>
      <c r="K186" s="895"/>
      <c r="L186" s="895"/>
      <c r="M186" s="895"/>
      <c r="N186" s="895"/>
      <c r="O186" s="895"/>
      <c r="P186" s="895"/>
      <c r="Q186" s="895"/>
      <c r="R186" s="895"/>
      <c r="S186" s="895"/>
      <c r="T186" s="895"/>
      <c r="U186" s="895"/>
      <c r="V186" s="895"/>
      <c r="W186" s="895"/>
      <c r="X186" s="895"/>
      <c r="Y186" s="895"/>
      <c r="Z186" s="895"/>
      <c r="AA186" s="895"/>
      <c r="AB186" s="895"/>
      <c r="AC186" s="895"/>
      <c r="AD186" s="895"/>
      <c r="AE186" s="895"/>
      <c r="AF186" s="895"/>
      <c r="AG186" s="895"/>
      <c r="AH186" s="895"/>
      <c r="AI186" s="895"/>
      <c r="AJ186" s="895"/>
      <c r="AK186" s="895"/>
      <c r="AL186" s="895"/>
      <c r="AM186" s="895"/>
      <c r="AN186" s="895"/>
      <c r="AO186" s="895"/>
      <c r="AP186" s="895"/>
      <c r="AQ186" s="891"/>
      <c r="AR186" s="894"/>
      <c r="AS186" s="891"/>
      <c r="AT186" s="889"/>
      <c r="AU186" s="890"/>
      <c r="AV186" s="787" t="str">
        <f t="shared" si="124"/>
        <v/>
      </c>
      <c r="AW186" s="787"/>
      <c r="AX186" s="787"/>
      <c r="AY186" s="787"/>
      <c r="AZ186" s="787"/>
      <c r="BR186"/>
      <c r="BS186"/>
      <c r="BT186"/>
      <c r="BU186"/>
      <c r="CA186" s="620" t="str">
        <f t="shared" si="125"/>
        <v/>
      </c>
      <c r="CB186" s="620" t="str">
        <f t="shared" si="126"/>
        <v/>
      </c>
      <c r="CC186" s="620" t="str">
        <f t="shared" si="117"/>
        <v/>
      </c>
      <c r="CD186" s="620" t="str">
        <f t="shared" si="118"/>
        <v/>
      </c>
      <c r="DP186" s="501">
        <f t="shared" si="119"/>
        <v>0</v>
      </c>
      <c r="DQ186" s="501">
        <f t="shared" si="120"/>
        <v>0</v>
      </c>
      <c r="DR186" s="501">
        <f t="shared" si="121"/>
        <v>0</v>
      </c>
      <c r="DS186" s="501">
        <f t="shared" si="122"/>
        <v>0</v>
      </c>
    </row>
    <row r="187" spans="1:123" ht="15" customHeight="1" x14ac:dyDescent="0.25">
      <c r="A187" s="1906" t="s">
        <v>358</v>
      </c>
      <c r="B187" s="1907" t="s">
        <v>358</v>
      </c>
      <c r="C187" s="968">
        <f t="shared" si="134"/>
        <v>0</v>
      </c>
      <c r="D187" s="1008">
        <f t="shared" si="135"/>
        <v>0</v>
      </c>
      <c r="E187" s="1009">
        <f t="shared" si="129"/>
        <v>0</v>
      </c>
      <c r="F187" s="892"/>
      <c r="G187" s="895"/>
      <c r="H187" s="895"/>
      <c r="I187" s="895"/>
      <c r="J187" s="895"/>
      <c r="K187" s="895"/>
      <c r="L187" s="895"/>
      <c r="M187" s="895"/>
      <c r="N187" s="895"/>
      <c r="O187" s="895"/>
      <c r="P187" s="895"/>
      <c r="Q187" s="895"/>
      <c r="R187" s="895"/>
      <c r="S187" s="895"/>
      <c r="T187" s="895"/>
      <c r="U187" s="895"/>
      <c r="V187" s="895"/>
      <c r="W187" s="895"/>
      <c r="X187" s="895"/>
      <c r="Y187" s="895"/>
      <c r="Z187" s="895"/>
      <c r="AA187" s="895"/>
      <c r="AB187" s="895"/>
      <c r="AC187" s="895"/>
      <c r="AD187" s="895"/>
      <c r="AE187" s="895"/>
      <c r="AF187" s="895"/>
      <c r="AG187" s="895"/>
      <c r="AH187" s="895"/>
      <c r="AI187" s="895"/>
      <c r="AJ187" s="895"/>
      <c r="AK187" s="895"/>
      <c r="AL187" s="895"/>
      <c r="AM187" s="895"/>
      <c r="AN187" s="895"/>
      <c r="AO187" s="895"/>
      <c r="AP187" s="895"/>
      <c r="AQ187" s="891"/>
      <c r="AR187" s="894"/>
      <c r="AS187" s="891"/>
      <c r="AT187" s="889"/>
      <c r="AU187" s="890"/>
      <c r="AV187" s="787" t="str">
        <f t="shared" si="124"/>
        <v/>
      </c>
      <c r="AW187" s="787"/>
      <c r="AX187" s="787"/>
      <c r="AY187" s="787"/>
      <c r="AZ187" s="787"/>
      <c r="BR187"/>
      <c r="BS187"/>
      <c r="BT187"/>
      <c r="BU187"/>
      <c r="CA187" s="620" t="str">
        <f t="shared" si="125"/>
        <v/>
      </c>
      <c r="CB187" s="620" t="str">
        <f t="shared" si="126"/>
        <v/>
      </c>
      <c r="CC187" s="620" t="str">
        <f t="shared" si="117"/>
        <v/>
      </c>
      <c r="CD187" s="620" t="str">
        <f t="shared" si="118"/>
        <v/>
      </c>
      <c r="DP187" s="501">
        <f t="shared" si="119"/>
        <v>0</v>
      </c>
      <c r="DQ187" s="501">
        <f t="shared" si="120"/>
        <v>0</v>
      </c>
      <c r="DR187" s="501">
        <f t="shared" si="121"/>
        <v>0</v>
      </c>
      <c r="DS187" s="501">
        <f t="shared" si="122"/>
        <v>0</v>
      </c>
    </row>
    <row r="188" spans="1:123" ht="15" customHeight="1" x14ac:dyDescent="0.25">
      <c r="A188" s="1906" t="s">
        <v>359</v>
      </c>
      <c r="B188" s="1907" t="s">
        <v>359</v>
      </c>
      <c r="C188" s="968">
        <f t="shared" si="134"/>
        <v>0</v>
      </c>
      <c r="D188" s="1008">
        <f t="shared" si="135"/>
        <v>0</v>
      </c>
      <c r="E188" s="1009">
        <f t="shared" si="129"/>
        <v>0</v>
      </c>
      <c r="F188" s="892"/>
      <c r="G188" s="895"/>
      <c r="H188" s="895"/>
      <c r="I188" s="895"/>
      <c r="J188" s="895"/>
      <c r="K188" s="895"/>
      <c r="L188" s="895"/>
      <c r="M188" s="895"/>
      <c r="N188" s="895"/>
      <c r="O188" s="895"/>
      <c r="P188" s="895"/>
      <c r="Q188" s="895"/>
      <c r="R188" s="895"/>
      <c r="S188" s="895"/>
      <c r="T188" s="895"/>
      <c r="U188" s="895"/>
      <c r="V188" s="895"/>
      <c r="W188" s="895"/>
      <c r="X188" s="895"/>
      <c r="Y188" s="895"/>
      <c r="Z188" s="895"/>
      <c r="AA188" s="895"/>
      <c r="AB188" s="895"/>
      <c r="AC188" s="895"/>
      <c r="AD188" s="895"/>
      <c r="AE188" s="895"/>
      <c r="AF188" s="895"/>
      <c r="AG188" s="895"/>
      <c r="AH188" s="895"/>
      <c r="AI188" s="895"/>
      <c r="AJ188" s="895"/>
      <c r="AK188" s="895"/>
      <c r="AL188" s="895"/>
      <c r="AM188" s="895"/>
      <c r="AN188" s="895"/>
      <c r="AO188" s="895"/>
      <c r="AP188" s="895"/>
      <c r="AQ188" s="891"/>
      <c r="AR188" s="894"/>
      <c r="AS188" s="891"/>
      <c r="AT188" s="889"/>
      <c r="AU188" s="890"/>
      <c r="AV188" s="787" t="str">
        <f t="shared" si="124"/>
        <v/>
      </c>
      <c r="AW188" s="787"/>
      <c r="AX188" s="787"/>
      <c r="AY188" s="787"/>
      <c r="AZ188" s="787"/>
      <c r="BR188"/>
      <c r="BS188"/>
      <c r="BT188"/>
      <c r="BU188"/>
      <c r="CA188" s="620" t="str">
        <f t="shared" si="125"/>
        <v/>
      </c>
      <c r="CB188" s="620" t="str">
        <f t="shared" si="126"/>
        <v/>
      </c>
      <c r="CC188" s="620" t="str">
        <f t="shared" si="117"/>
        <v/>
      </c>
      <c r="CD188" s="620" t="str">
        <f t="shared" si="118"/>
        <v/>
      </c>
      <c r="DP188" s="501">
        <f t="shared" si="119"/>
        <v>0</v>
      </c>
      <c r="DQ188" s="501">
        <f t="shared" si="120"/>
        <v>0</v>
      </c>
      <c r="DR188" s="501">
        <f t="shared" si="121"/>
        <v>0</v>
      </c>
      <c r="DS188" s="501">
        <f t="shared" si="122"/>
        <v>0</v>
      </c>
    </row>
    <row r="189" spans="1:123" ht="15" customHeight="1" x14ac:dyDescent="0.25">
      <c r="A189" s="1906" t="s">
        <v>360</v>
      </c>
      <c r="B189" s="1907" t="s">
        <v>360</v>
      </c>
      <c r="C189" s="968">
        <f t="shared" si="131"/>
        <v>0</v>
      </c>
      <c r="D189" s="1008">
        <f t="shared" si="128"/>
        <v>0</v>
      </c>
      <c r="E189" s="1009">
        <f t="shared" ref="E189:E190" si="136">+G189+I189+K189+M189+O189+Q189+S189+U189+W189+Y189+AA189+AC189+AE189+AG189+AI189+AO189+AQ189+AK189+AM189</f>
        <v>0</v>
      </c>
      <c r="F189" s="892"/>
      <c r="G189" s="895"/>
      <c r="H189" s="895"/>
      <c r="I189" s="895"/>
      <c r="J189" s="895"/>
      <c r="K189" s="895"/>
      <c r="L189" s="895"/>
      <c r="M189" s="895"/>
      <c r="N189" s="895"/>
      <c r="O189" s="895"/>
      <c r="P189" s="895"/>
      <c r="Q189" s="895"/>
      <c r="R189" s="895"/>
      <c r="S189" s="895"/>
      <c r="T189" s="895"/>
      <c r="U189" s="895"/>
      <c r="V189" s="895"/>
      <c r="W189" s="895"/>
      <c r="X189" s="895"/>
      <c r="Y189" s="895"/>
      <c r="Z189" s="895"/>
      <c r="AA189" s="895"/>
      <c r="AB189" s="895"/>
      <c r="AC189" s="895"/>
      <c r="AD189" s="895"/>
      <c r="AE189" s="895"/>
      <c r="AF189" s="895"/>
      <c r="AG189" s="895"/>
      <c r="AH189" s="895"/>
      <c r="AI189" s="895"/>
      <c r="AJ189" s="895"/>
      <c r="AK189" s="895"/>
      <c r="AL189" s="895"/>
      <c r="AM189" s="895"/>
      <c r="AN189" s="895"/>
      <c r="AO189" s="895"/>
      <c r="AP189" s="895"/>
      <c r="AQ189" s="891"/>
      <c r="AR189" s="894"/>
      <c r="AS189" s="891"/>
      <c r="AT189" s="889"/>
      <c r="AU189" s="890"/>
      <c r="AV189" s="787" t="str">
        <f t="shared" si="124"/>
        <v/>
      </c>
      <c r="AW189" s="787"/>
      <c r="AX189" s="787"/>
      <c r="AY189" s="787"/>
      <c r="AZ189" s="787"/>
      <c r="BR189"/>
      <c r="BS189"/>
      <c r="BT189"/>
      <c r="BU189"/>
      <c r="CA189" s="620" t="str">
        <f t="shared" si="125"/>
        <v/>
      </c>
      <c r="CB189" s="620" t="str">
        <f t="shared" si="126"/>
        <v/>
      </c>
      <c r="CC189" s="620" t="str">
        <f t="shared" si="117"/>
        <v/>
      </c>
      <c r="CD189" s="620" t="str">
        <f t="shared" si="118"/>
        <v/>
      </c>
      <c r="DP189" s="501">
        <f t="shared" si="119"/>
        <v>0</v>
      </c>
      <c r="DQ189" s="501">
        <f t="shared" si="120"/>
        <v>0</v>
      </c>
      <c r="DR189" s="501">
        <f t="shared" si="121"/>
        <v>0</v>
      </c>
      <c r="DS189" s="501">
        <f t="shared" si="122"/>
        <v>0</v>
      </c>
    </row>
    <row r="190" spans="1:123" ht="15" customHeight="1" x14ac:dyDescent="0.25">
      <c r="A190" s="1934" t="s">
        <v>361</v>
      </c>
      <c r="B190" s="1935" t="s">
        <v>361</v>
      </c>
      <c r="C190" s="972">
        <f t="shared" si="131"/>
        <v>0</v>
      </c>
      <c r="D190" s="1021">
        <f t="shared" si="128"/>
        <v>0</v>
      </c>
      <c r="E190" s="1022">
        <f t="shared" si="136"/>
        <v>0</v>
      </c>
      <c r="F190" s="836"/>
      <c r="G190" s="840"/>
      <c r="H190" s="840"/>
      <c r="I190" s="840"/>
      <c r="J190" s="840"/>
      <c r="K190" s="840"/>
      <c r="L190" s="840"/>
      <c r="M190" s="840"/>
      <c r="N190" s="840"/>
      <c r="O190" s="840"/>
      <c r="P190" s="840"/>
      <c r="Q190" s="840"/>
      <c r="R190" s="840"/>
      <c r="S190" s="840"/>
      <c r="T190" s="840"/>
      <c r="U190" s="840"/>
      <c r="V190" s="840"/>
      <c r="W190" s="840"/>
      <c r="X190" s="840"/>
      <c r="Y190" s="840"/>
      <c r="Z190" s="840"/>
      <c r="AA190" s="840"/>
      <c r="AB190" s="840"/>
      <c r="AC190" s="840"/>
      <c r="AD190" s="840"/>
      <c r="AE190" s="840"/>
      <c r="AF190" s="840"/>
      <c r="AG190" s="840"/>
      <c r="AH190" s="840"/>
      <c r="AI190" s="840"/>
      <c r="AJ190" s="840"/>
      <c r="AK190" s="840"/>
      <c r="AL190" s="840"/>
      <c r="AM190" s="840"/>
      <c r="AN190" s="840"/>
      <c r="AO190" s="840"/>
      <c r="AP190" s="840"/>
      <c r="AQ190" s="835"/>
      <c r="AR190" s="839"/>
      <c r="AS190" s="835"/>
      <c r="AT190" s="832"/>
      <c r="AU190" s="834"/>
      <c r="AV190" s="787" t="str">
        <f t="shared" si="124"/>
        <v/>
      </c>
      <c r="AW190" s="787"/>
      <c r="AX190" s="787"/>
      <c r="AY190" s="787"/>
      <c r="AZ190" s="787"/>
      <c r="BR190"/>
      <c r="BS190"/>
      <c r="BT190"/>
      <c r="BU190"/>
      <c r="CA190" s="620" t="str">
        <f t="shared" si="125"/>
        <v/>
      </c>
      <c r="CB190" s="620" t="str">
        <f t="shared" si="126"/>
        <v/>
      </c>
      <c r="CC190" s="620" t="str">
        <f t="shared" si="117"/>
        <v/>
      </c>
      <c r="CD190" s="620" t="str">
        <f t="shared" si="118"/>
        <v/>
      </c>
      <c r="DP190" s="501">
        <f t="shared" si="119"/>
        <v>0</v>
      </c>
      <c r="DQ190" s="501">
        <f t="shared" si="120"/>
        <v>0</v>
      </c>
      <c r="DR190" s="501">
        <f t="shared" si="121"/>
        <v>0</v>
      </c>
      <c r="DS190" s="501">
        <f t="shared" si="122"/>
        <v>0</v>
      </c>
    </row>
    <row r="191" spans="1:123" ht="17.100000000000001" customHeight="1" x14ac:dyDescent="0.25">
      <c r="A191" s="2031" t="s">
        <v>362</v>
      </c>
      <c r="B191" s="2031"/>
      <c r="C191" s="2031"/>
      <c r="D191" s="2031"/>
      <c r="E191" s="2031"/>
      <c r="F191" s="2031"/>
      <c r="G191" s="2031"/>
      <c r="H191" s="2031"/>
      <c r="I191" s="2031"/>
      <c r="J191" s="2031"/>
      <c r="K191" s="2031"/>
      <c r="L191" s="2031"/>
      <c r="M191" s="2031"/>
      <c r="N191" s="2031"/>
      <c r="O191" s="2031"/>
      <c r="P191" s="2031"/>
      <c r="Q191" s="2031"/>
      <c r="R191" s="2031"/>
      <c r="S191" s="2031"/>
      <c r="T191" s="2031"/>
      <c r="U191" s="2031"/>
      <c r="V191" s="2031"/>
      <c r="W191" s="2031"/>
      <c r="X191" s="2031"/>
      <c r="Y191" s="2031"/>
      <c r="Z191" s="2031"/>
      <c r="AA191" s="2031"/>
      <c r="AB191" s="2031"/>
      <c r="AC191" s="2031"/>
      <c r="AD191" s="2031"/>
      <c r="AE191" s="2031"/>
      <c r="AF191" s="2031"/>
      <c r="AG191" s="2031"/>
      <c r="AH191" s="2031"/>
      <c r="AI191" s="2031"/>
      <c r="AJ191" s="2031"/>
      <c r="AK191" s="2031"/>
      <c r="AL191" s="2031"/>
      <c r="AM191" s="2031"/>
      <c r="AN191" s="2031"/>
      <c r="AO191" s="2031"/>
      <c r="AP191" s="2031"/>
      <c r="AQ191" s="2031"/>
      <c r="AR191" s="470"/>
      <c r="AS191" s="470"/>
      <c r="AT191" s="470"/>
      <c r="AU191" s="470"/>
      <c r="AV191" s="470"/>
    </row>
    <row r="192" spans="1:123" ht="15" customHeight="1" x14ac:dyDescent="0.25">
      <c r="A192" s="1918" t="s">
        <v>363</v>
      </c>
      <c r="B192" s="1899"/>
      <c r="C192" s="1908" t="s">
        <v>49</v>
      </c>
      <c r="D192" s="1909"/>
      <c r="E192" s="1910"/>
      <c r="F192" s="1932" t="s">
        <v>243</v>
      </c>
      <c r="G192" s="1933"/>
      <c r="H192" s="1933"/>
      <c r="I192" s="1933"/>
      <c r="J192" s="1933"/>
      <c r="K192" s="1933"/>
      <c r="L192" s="1933"/>
      <c r="M192" s="1933"/>
      <c r="N192" s="1933"/>
      <c r="O192" s="1933"/>
      <c r="P192" s="1933"/>
      <c r="Q192" s="1933"/>
      <c r="R192" s="1933"/>
      <c r="S192" s="1933"/>
      <c r="T192" s="1933"/>
      <c r="U192" s="1933"/>
      <c r="V192" s="1933"/>
      <c r="W192" s="1933"/>
      <c r="X192" s="1933"/>
      <c r="Y192" s="1933"/>
      <c r="Z192" s="1933"/>
      <c r="AA192" s="1933"/>
      <c r="AB192" s="1933"/>
      <c r="AC192" s="1933"/>
      <c r="AD192" s="1933"/>
      <c r="AE192" s="1933"/>
      <c r="AF192" s="1933"/>
      <c r="AG192" s="1933"/>
      <c r="AH192" s="1933"/>
      <c r="AI192" s="1933"/>
      <c r="AJ192" s="1933"/>
      <c r="AK192" s="1933"/>
      <c r="AL192" s="1933"/>
      <c r="AM192" s="1933"/>
      <c r="AN192" s="1933"/>
      <c r="AO192" s="1933"/>
      <c r="AP192" s="1933"/>
      <c r="AQ192" s="1939"/>
      <c r="AR192" s="1889" t="s">
        <v>51</v>
      </c>
      <c r="AS192" s="1846"/>
      <c r="AT192" s="1905" t="s">
        <v>52</v>
      </c>
      <c r="AU192" s="1846"/>
      <c r="AV192" s="470"/>
      <c r="AW192" s="470"/>
      <c r="AX192" s="470"/>
      <c r="AY192" s="470"/>
      <c r="AZ192" s="470"/>
      <c r="BR192"/>
      <c r="BS192"/>
      <c r="BT192"/>
      <c r="BU192"/>
    </row>
    <row r="193" spans="1:127" ht="12" customHeight="1" x14ac:dyDescent="0.25">
      <c r="A193" s="1936"/>
      <c r="B193" s="1900"/>
      <c r="C193" s="1911"/>
      <c r="D193" s="1912"/>
      <c r="E193" s="1913"/>
      <c r="F193" s="1896" t="s">
        <v>210</v>
      </c>
      <c r="G193" s="1897"/>
      <c r="H193" s="1896" t="s">
        <v>211</v>
      </c>
      <c r="I193" s="1897"/>
      <c r="J193" s="1896" t="s">
        <v>212</v>
      </c>
      <c r="K193" s="1897"/>
      <c r="L193" s="1896" t="s">
        <v>213</v>
      </c>
      <c r="M193" s="1897"/>
      <c r="N193" s="1896" t="s">
        <v>214</v>
      </c>
      <c r="O193" s="1897"/>
      <c r="P193" s="1896" t="s">
        <v>215</v>
      </c>
      <c r="Q193" s="1897"/>
      <c r="R193" s="1896" t="s">
        <v>216</v>
      </c>
      <c r="S193" s="1897"/>
      <c r="T193" s="1896" t="s">
        <v>217</v>
      </c>
      <c r="U193" s="1897"/>
      <c r="V193" s="1896" t="s">
        <v>218</v>
      </c>
      <c r="W193" s="1897"/>
      <c r="X193" s="1896" t="s">
        <v>219</v>
      </c>
      <c r="Y193" s="1897"/>
      <c r="Z193" s="1896" t="s">
        <v>220</v>
      </c>
      <c r="AA193" s="1897"/>
      <c r="AB193" s="1896" t="s">
        <v>221</v>
      </c>
      <c r="AC193" s="1897"/>
      <c r="AD193" s="1896" t="s">
        <v>222</v>
      </c>
      <c r="AE193" s="1897"/>
      <c r="AF193" s="1896" t="s">
        <v>223</v>
      </c>
      <c r="AG193" s="1897"/>
      <c r="AH193" s="1898" t="s">
        <v>307</v>
      </c>
      <c r="AI193" s="1897"/>
      <c r="AJ193" s="1896" t="s">
        <v>312</v>
      </c>
      <c r="AK193" s="1897"/>
      <c r="AL193" s="1896" t="s">
        <v>313</v>
      </c>
      <c r="AM193" s="1897"/>
      <c r="AN193" s="1898" t="s">
        <v>314</v>
      </c>
      <c r="AO193" s="1897"/>
      <c r="AP193" s="1896" t="s">
        <v>57</v>
      </c>
      <c r="AQ193" s="1938"/>
      <c r="AR193" s="1891"/>
      <c r="AS193" s="1847"/>
      <c r="AT193" s="1895"/>
      <c r="AU193" s="1847"/>
      <c r="AV193" s="470"/>
      <c r="AW193" s="470"/>
      <c r="AX193" s="470"/>
      <c r="AY193" s="470"/>
      <c r="AZ193" s="470"/>
      <c r="BR193"/>
      <c r="BS193"/>
      <c r="BT193"/>
      <c r="BU193"/>
    </row>
    <row r="194" spans="1:127" ht="15" customHeight="1" x14ac:dyDescent="0.25">
      <c r="A194" s="1937"/>
      <c r="B194" s="1901"/>
      <c r="C194" s="797" t="s">
        <v>224</v>
      </c>
      <c r="D194" s="798" t="s">
        <v>86</v>
      </c>
      <c r="E194" s="793" t="s">
        <v>225</v>
      </c>
      <c r="F194" s="798" t="s">
        <v>86</v>
      </c>
      <c r="G194" s="799" t="s">
        <v>225</v>
      </c>
      <c r="H194" s="798" t="s">
        <v>86</v>
      </c>
      <c r="I194" s="799" t="s">
        <v>225</v>
      </c>
      <c r="J194" s="798" t="s">
        <v>86</v>
      </c>
      <c r="K194" s="799" t="s">
        <v>225</v>
      </c>
      <c r="L194" s="798" t="s">
        <v>86</v>
      </c>
      <c r="M194" s="799" t="s">
        <v>225</v>
      </c>
      <c r="N194" s="798" t="s">
        <v>86</v>
      </c>
      <c r="O194" s="799" t="s">
        <v>225</v>
      </c>
      <c r="P194" s="798" t="s">
        <v>86</v>
      </c>
      <c r="Q194" s="799" t="s">
        <v>225</v>
      </c>
      <c r="R194" s="798" t="s">
        <v>86</v>
      </c>
      <c r="S194" s="799" t="s">
        <v>225</v>
      </c>
      <c r="T194" s="798" t="s">
        <v>86</v>
      </c>
      <c r="U194" s="799" t="s">
        <v>225</v>
      </c>
      <c r="V194" s="798" t="s">
        <v>86</v>
      </c>
      <c r="W194" s="799" t="s">
        <v>225</v>
      </c>
      <c r="X194" s="798" t="s">
        <v>86</v>
      </c>
      <c r="Y194" s="799" t="s">
        <v>225</v>
      </c>
      <c r="Z194" s="798" t="s">
        <v>86</v>
      </c>
      <c r="AA194" s="799" t="s">
        <v>225</v>
      </c>
      <c r="AB194" s="798" t="s">
        <v>86</v>
      </c>
      <c r="AC194" s="799" t="s">
        <v>225</v>
      </c>
      <c r="AD194" s="798" t="s">
        <v>86</v>
      </c>
      <c r="AE194" s="799" t="s">
        <v>225</v>
      </c>
      <c r="AF194" s="798" t="s">
        <v>86</v>
      </c>
      <c r="AG194" s="799" t="s">
        <v>225</v>
      </c>
      <c r="AH194" s="910" t="s">
        <v>86</v>
      </c>
      <c r="AI194" s="909" t="s">
        <v>225</v>
      </c>
      <c r="AJ194" s="908" t="s">
        <v>86</v>
      </c>
      <c r="AK194" s="799" t="s">
        <v>225</v>
      </c>
      <c r="AL194" s="910" t="s">
        <v>86</v>
      </c>
      <c r="AM194" s="909" t="s">
        <v>225</v>
      </c>
      <c r="AN194" s="910" t="s">
        <v>86</v>
      </c>
      <c r="AO194" s="799" t="s">
        <v>225</v>
      </c>
      <c r="AP194" s="910" t="s">
        <v>86</v>
      </c>
      <c r="AQ194" s="911" t="s">
        <v>225</v>
      </c>
      <c r="AR194" s="912" t="s">
        <v>86</v>
      </c>
      <c r="AS194" s="909" t="s">
        <v>225</v>
      </c>
      <c r="AT194" s="798" t="s">
        <v>86</v>
      </c>
      <c r="AU194" s="793" t="s">
        <v>225</v>
      </c>
      <c r="AV194" s="470"/>
      <c r="AW194" s="470"/>
      <c r="AX194" s="470"/>
      <c r="AY194" s="470"/>
      <c r="AZ194" s="470"/>
      <c r="BR194"/>
      <c r="BS194"/>
      <c r="BT194"/>
      <c r="BU194"/>
    </row>
    <row r="195" spans="1:127" ht="15" customHeight="1" x14ac:dyDescent="0.25">
      <c r="A195" s="1896" t="s">
        <v>364</v>
      </c>
      <c r="B195" s="1897"/>
      <c r="C195" s="818">
        <f>SUM(D195:E195)</f>
        <v>0</v>
      </c>
      <c r="D195" s="916">
        <f>+F195+H195+J195+L195+N195+P195+R195+T195+V195+X195+Z195+AB195+AD195+AF195+AH195+AN195+AP195+AJ195+AL195</f>
        <v>0</v>
      </c>
      <c r="E195" s="820">
        <f>+G195+I195+K195+M195+O195+Q195+S195+U195+W195+Y195+AA195+AC195+AE195+AG195+AI195+AO195+AQ195+AK195+AM195</f>
        <v>0</v>
      </c>
      <c r="F195" s="1023">
        <f>SUM(F196:F198)</f>
        <v>0</v>
      </c>
      <c r="G195" s="1024">
        <f>SUM(G196:G198)</f>
        <v>0</v>
      </c>
      <c r="H195" s="1023">
        <f t="shared" ref="H195:AQ195" si="137">SUM(H196:H198)</f>
        <v>0</v>
      </c>
      <c r="I195" s="1024">
        <f t="shared" si="137"/>
        <v>0</v>
      </c>
      <c r="J195" s="1023">
        <f t="shared" si="137"/>
        <v>0</v>
      </c>
      <c r="K195" s="1024">
        <f t="shared" si="137"/>
        <v>0</v>
      </c>
      <c r="L195" s="1023">
        <f t="shared" si="137"/>
        <v>0</v>
      </c>
      <c r="M195" s="1024">
        <f t="shared" si="137"/>
        <v>0</v>
      </c>
      <c r="N195" s="1023">
        <f t="shared" si="137"/>
        <v>0</v>
      </c>
      <c r="O195" s="1024">
        <f t="shared" si="137"/>
        <v>0</v>
      </c>
      <c r="P195" s="1023">
        <f t="shared" si="137"/>
        <v>0</v>
      </c>
      <c r="Q195" s="1024">
        <f t="shared" si="137"/>
        <v>0</v>
      </c>
      <c r="R195" s="1023">
        <f t="shared" si="137"/>
        <v>0</v>
      </c>
      <c r="S195" s="1024">
        <f t="shared" si="137"/>
        <v>0</v>
      </c>
      <c r="T195" s="1023">
        <f t="shared" si="137"/>
        <v>0</v>
      </c>
      <c r="U195" s="1024">
        <f t="shared" si="137"/>
        <v>0</v>
      </c>
      <c r="V195" s="1023">
        <f t="shared" si="137"/>
        <v>0</v>
      </c>
      <c r="W195" s="1024">
        <f t="shared" si="137"/>
        <v>0</v>
      </c>
      <c r="X195" s="1023">
        <f t="shared" si="137"/>
        <v>0</v>
      </c>
      <c r="Y195" s="1024">
        <f t="shared" si="137"/>
        <v>0</v>
      </c>
      <c r="Z195" s="1023">
        <f t="shared" si="137"/>
        <v>0</v>
      </c>
      <c r="AA195" s="1024">
        <f t="shared" si="137"/>
        <v>0</v>
      </c>
      <c r="AB195" s="1023">
        <f t="shared" si="137"/>
        <v>0</v>
      </c>
      <c r="AC195" s="1024">
        <f t="shared" si="137"/>
        <v>0</v>
      </c>
      <c r="AD195" s="1023">
        <f t="shared" si="137"/>
        <v>0</v>
      </c>
      <c r="AE195" s="1024">
        <f t="shared" si="137"/>
        <v>0</v>
      </c>
      <c r="AF195" s="1023">
        <f t="shared" si="137"/>
        <v>0</v>
      </c>
      <c r="AG195" s="1024">
        <f t="shared" si="137"/>
        <v>0</v>
      </c>
      <c r="AH195" s="1023">
        <f t="shared" si="137"/>
        <v>0</v>
      </c>
      <c r="AI195" s="1024">
        <f t="shared" si="137"/>
        <v>0</v>
      </c>
      <c r="AJ195" s="1023">
        <f t="shared" si="137"/>
        <v>0</v>
      </c>
      <c r="AK195" s="1024">
        <f t="shared" si="137"/>
        <v>0</v>
      </c>
      <c r="AL195" s="1023">
        <f t="shared" si="137"/>
        <v>0</v>
      </c>
      <c r="AM195" s="1024">
        <f t="shared" si="137"/>
        <v>0</v>
      </c>
      <c r="AN195" s="1023">
        <f t="shared" si="137"/>
        <v>0</v>
      </c>
      <c r="AO195" s="1024">
        <f t="shared" si="137"/>
        <v>0</v>
      </c>
      <c r="AP195" s="1023">
        <f t="shared" si="137"/>
        <v>0</v>
      </c>
      <c r="AQ195" s="1024">
        <f t="shared" si="137"/>
        <v>0</v>
      </c>
      <c r="AR195" s="1025">
        <f>SUM(AR196:AR198)</f>
        <v>0</v>
      </c>
      <c r="AS195" s="1024">
        <f>SUM(AS196:AS198)</f>
        <v>0</v>
      </c>
      <c r="AT195" s="858">
        <f>SUM(AT196:AT198)</f>
        <v>0</v>
      </c>
      <c r="AU195" s="1024">
        <f>SUM(AU196:AU198)</f>
        <v>0</v>
      </c>
      <c r="BR195"/>
      <c r="BS195"/>
      <c r="BT195"/>
      <c r="BU195"/>
      <c r="DP195" s="501">
        <f t="shared" ref="DP195:DQ198" si="138">IF(AND(D195&gt;0,AR195=""),1,IF(AR195&gt;D195,1,0))</f>
        <v>0</v>
      </c>
      <c r="DQ195" s="501">
        <f t="shared" si="138"/>
        <v>0</v>
      </c>
      <c r="DR195" s="501">
        <f t="shared" ref="DR195:DS198" si="139">IF(AND(D195&gt;0,AT195=""),1,IF(AT195&gt;D195,1,0))</f>
        <v>0</v>
      </c>
      <c r="DS195" s="501">
        <f t="shared" si="139"/>
        <v>0</v>
      </c>
    </row>
    <row r="196" spans="1:127" ht="15" customHeight="1" x14ac:dyDescent="0.25">
      <c r="A196" s="1924" t="s">
        <v>365</v>
      </c>
      <c r="B196" s="1925"/>
      <c r="C196" s="818">
        <f>SUM(D196:E196)</f>
        <v>0</v>
      </c>
      <c r="D196" s="916">
        <f>+F196+H196+J196+L196+N196+P196+R196+T196+V196+X196+Z196+AB196+AD196+AF196+AH196+AN196+AP196+AJ196+AL196</f>
        <v>0</v>
      </c>
      <c r="E196" s="820">
        <f>+G196+I196+K196+M196+O196+Q196+S196+U196+W196+Y196+AA196+AC196+AE196+AG196+AI196+AO196+AQ196+AK196+AM196</f>
        <v>0</v>
      </c>
      <c r="F196" s="821"/>
      <c r="G196" s="823"/>
      <c r="H196" s="821"/>
      <c r="I196" s="823"/>
      <c r="J196" s="821"/>
      <c r="K196" s="823"/>
      <c r="L196" s="821"/>
      <c r="M196" s="824"/>
      <c r="N196" s="821"/>
      <c r="O196" s="823"/>
      <c r="P196" s="821"/>
      <c r="Q196" s="823"/>
      <c r="R196" s="825"/>
      <c r="S196" s="823"/>
      <c r="T196" s="821"/>
      <c r="U196" s="824"/>
      <c r="V196" s="821"/>
      <c r="W196" s="823"/>
      <c r="X196" s="821"/>
      <c r="Y196" s="823"/>
      <c r="Z196" s="821"/>
      <c r="AA196" s="823"/>
      <c r="AB196" s="821"/>
      <c r="AC196" s="826"/>
      <c r="AD196" s="821"/>
      <c r="AE196" s="823"/>
      <c r="AF196" s="821"/>
      <c r="AG196" s="824"/>
      <c r="AH196" s="821"/>
      <c r="AI196" s="824"/>
      <c r="AJ196" s="821"/>
      <c r="AK196" s="824"/>
      <c r="AL196" s="821"/>
      <c r="AM196" s="823"/>
      <c r="AN196" s="825"/>
      <c r="AO196" s="824"/>
      <c r="AP196" s="821"/>
      <c r="AQ196" s="1026"/>
      <c r="AR196" s="828"/>
      <c r="AS196" s="823"/>
      <c r="AT196" s="821"/>
      <c r="AU196" s="823"/>
      <c r="AV196" s="787" t="str">
        <f>CA196&amp;CB196&amp;CC196&amp;CD196</f>
        <v/>
      </c>
      <c r="AW196" s="787"/>
      <c r="AX196" s="787"/>
      <c r="AY196" s="787"/>
      <c r="AZ196" s="787"/>
      <c r="BR196"/>
      <c r="BS196"/>
      <c r="BT196"/>
      <c r="BU196"/>
      <c r="CA196" s="620" t="str">
        <f>IF(AND(D196&gt;0,AR196="")," * No olvide digitar la variable Pueblos Originarios hombres (Digite Cero si no tiene).",IF(AR196&gt;D196," * La variable Pueblos Originarios hombres  no debe ser mayor que el Total de Hombres.",""))</f>
        <v/>
      </c>
      <c r="CB196" s="620" t="str">
        <f>IF(AND(E196&gt;0,AS196="")," * No olvide digitar la variable Pueblos Originarios Mujeres (Digite Cero si no tiene). Digite Cero si no tiene.",IF(AS196&gt;E196," * La variable Pueblos Originarios Mujeres no debe ser mayor que el Total de Mujeres",""))</f>
        <v/>
      </c>
      <c r="CC196" s="620" t="str">
        <f>IF(AND(D196&gt;0,AT196="")," * No olvide digitar la variable Migrantes hombres (Digite Cero si no tiene).",IF(AT196&gt;D196," * La variable Migrantes hombres  no debe ser mayor que el Total de Hombres",""))</f>
        <v/>
      </c>
      <c r="CD196" s="620" t="str">
        <f>IF(AND(E196&gt;0,AU196="")," * No olvide digitar la variable Migrantes Mujeres (Digite Cero si no tiene).",IF(AU196&gt;E196," * La variable Migrantes Mujeres no debe ser mayor que el Total de Mujeres",""))</f>
        <v/>
      </c>
      <c r="CG196" s="470" t="str">
        <f>IF(AND(D196&gt;0,AF196="")," * No olvide digitar la variable Niños, Niñas, adolescentes y jóvenes Mejor Niñez hombres (Digite Cero si no tiene).",IF(AF196&gt;D196," * La variable Niños, Niñas, adolescentes y jóvenes Mejor Niñez hombres  no debe ser mayor que el Total de Hombres",""))</f>
        <v/>
      </c>
      <c r="CH196" s="470" t="str">
        <f>IF(AND(E196&gt;0,AG196="")," * No olvide digitar la variable Niños, Niñas, adolescentes y jóvenes Mejor Niñez Mujeres (Digite Cero si no tiene).",IF(AG196&gt;E196," * La variable Niños, Niñas, adolescentes y jóvenes Mejor Niñez Mujeres no debe ser mayor que el Total de Mujeres",""))</f>
        <v/>
      </c>
      <c r="DP196" s="501">
        <f t="shared" si="138"/>
        <v>0</v>
      </c>
      <c r="DQ196" s="501">
        <f t="shared" si="138"/>
        <v>0</v>
      </c>
      <c r="DR196" s="501">
        <f t="shared" si="139"/>
        <v>0</v>
      </c>
      <c r="DS196" s="501">
        <f t="shared" si="139"/>
        <v>0</v>
      </c>
    </row>
    <row r="197" spans="1:127" ht="15" customHeight="1" x14ac:dyDescent="0.25">
      <c r="A197" s="1926" t="s">
        <v>366</v>
      </c>
      <c r="B197" s="1927"/>
      <c r="C197" s="968">
        <f t="shared" ref="C197:C198" si="140">SUM(D197:E197)</f>
        <v>0</v>
      </c>
      <c r="D197" s="918">
        <f t="shared" ref="D197:D198" si="141">+F197+H197+J197+L197+N197+P197+R197+T197+V197+X197+Z197+AB197+AD197+AF197+AH197+AN197+AP197+AJ197+AL197</f>
        <v>0</v>
      </c>
      <c r="E197" s="886">
        <f t="shared" ref="E197:E198" si="142">+G197+I197+K197+M197+O197+Q197+S197+U197+W197+Y197+AA197+AC197+AE197+AG197+AI197+AO197+AQ197+AK197+AM197</f>
        <v>0</v>
      </c>
      <c r="F197" s="889"/>
      <c r="G197" s="890"/>
      <c r="H197" s="889"/>
      <c r="I197" s="890"/>
      <c r="J197" s="889"/>
      <c r="K197" s="890"/>
      <c r="L197" s="889"/>
      <c r="M197" s="891"/>
      <c r="N197" s="889"/>
      <c r="O197" s="890"/>
      <c r="P197" s="889"/>
      <c r="Q197" s="890"/>
      <c r="R197" s="892"/>
      <c r="S197" s="890"/>
      <c r="T197" s="889"/>
      <c r="U197" s="891"/>
      <c r="V197" s="889"/>
      <c r="W197" s="890"/>
      <c r="X197" s="889"/>
      <c r="Y197" s="890"/>
      <c r="Z197" s="889"/>
      <c r="AA197" s="890"/>
      <c r="AB197" s="889"/>
      <c r="AC197" s="1028"/>
      <c r="AD197" s="889"/>
      <c r="AE197" s="890"/>
      <c r="AF197" s="889"/>
      <c r="AG197" s="891"/>
      <c r="AH197" s="889"/>
      <c r="AI197" s="891"/>
      <c r="AJ197" s="889"/>
      <c r="AK197" s="891"/>
      <c r="AL197" s="889"/>
      <c r="AM197" s="890"/>
      <c r="AN197" s="892"/>
      <c r="AO197" s="891"/>
      <c r="AP197" s="889"/>
      <c r="AQ197" s="1029"/>
      <c r="AR197" s="894"/>
      <c r="AS197" s="890"/>
      <c r="AT197" s="889"/>
      <c r="AU197" s="890"/>
      <c r="AV197" s="787" t="str">
        <f>CA197&amp;CB197&amp;CC197&amp;CD197</f>
        <v/>
      </c>
      <c r="AW197" s="787"/>
      <c r="AX197" s="787"/>
      <c r="AY197" s="787"/>
      <c r="AZ197" s="787"/>
      <c r="BR197"/>
      <c r="BS197"/>
      <c r="BT197"/>
      <c r="BU197"/>
      <c r="CA197" s="620" t="str">
        <f>IF(AND(D197&gt;0,AR197="")," * No olvide digitar la variable Pueblos Originarios hombres (Digite Cero si no tiene).",IF(AR197&gt;D197," * La variable Pueblos Originarios hombres  no debe ser mayor que el Total de Hombres.",""))</f>
        <v/>
      </c>
      <c r="CB197" s="620" t="str">
        <f>IF(AND(E197&gt;0,AS197="")," * No olvide digitar la variable Pueblos Originarios Mujeres (Digite Cero si no tiene). Digite Cero si no tiene.",IF(AS197&gt;E197," * La variable Pueblos Originarios Mujeres no debe ser mayor que el Total de Mujeres",""))</f>
        <v/>
      </c>
      <c r="CC197" s="620" t="str">
        <f>IF(AND(D197&gt;0,AT197="")," * No olvide digitar la variable Migrantes hombres (Digite Cero si no tiene).",IF(AT197&gt;D197," * La variable Migrantes hombres  no debe ser mayor que el Total de Hombres",""))</f>
        <v/>
      </c>
      <c r="CD197" s="620" t="str">
        <f>IF(AND(E197&gt;0,AU197="")," * No olvide digitar la variable Migrantes Mujeres (Digite Cero si no tiene).",IF(AU197&gt;E197," * La variable Migrantes Mujeres no debe ser mayor que el Total de Mujeres",""))</f>
        <v/>
      </c>
      <c r="CG197" s="470" t="str">
        <f>IF(AND(D197&gt;0,AF197="")," * No olvide digitar la variable Niños, Niñas, adolescentes y jóvenes Mejor Niñez hombres (Digite Cero si no tiene).",IF(AF197&gt;D197," * La variable Niños, Niñas, adolescentes y jóvenes Mejor Niñez hombres  no debe ser mayor que el Total de Hombres",""))</f>
        <v/>
      </c>
      <c r="CH197" s="470" t="str">
        <f>IF(AND(E197&gt;0,AG197="")," * No olvide digitar la variable Niños, Niñas, adolescentes y jóvenes Mejor Niñez Mujeres (Digite Cero si no tiene).",IF(AG197&gt;E197," * La variable Niños, Niñas, adolescentes y jóvenes Mejor Niñez Mujeres no debe ser mayor que el Total de Mujeres",""))</f>
        <v/>
      </c>
      <c r="DP197" s="501">
        <f>IF(AND(D197&gt;0,AR197=""),1,IF(AR197&gt;D197,1,0))</f>
        <v>0</v>
      </c>
      <c r="DQ197" s="501">
        <f t="shared" si="138"/>
        <v>0</v>
      </c>
      <c r="DR197" s="501">
        <f t="shared" si="139"/>
        <v>0</v>
      </c>
      <c r="DS197" s="501">
        <f t="shared" si="139"/>
        <v>0</v>
      </c>
    </row>
    <row r="198" spans="1:127" ht="15" customHeight="1" x14ac:dyDescent="0.25">
      <c r="A198" s="1928" t="s">
        <v>367</v>
      </c>
      <c r="B198" s="1929"/>
      <c r="C198" s="972">
        <f t="shared" si="140"/>
        <v>0</v>
      </c>
      <c r="D198" s="1030">
        <f t="shared" si="141"/>
        <v>0</v>
      </c>
      <c r="E198" s="1031">
        <f t="shared" si="142"/>
        <v>0</v>
      </c>
      <c r="F198" s="805"/>
      <c r="G198" s="807"/>
      <c r="H198" s="805"/>
      <c r="I198" s="807"/>
      <c r="J198" s="805"/>
      <c r="K198" s="807"/>
      <c r="L198" s="805"/>
      <c r="M198" s="807"/>
      <c r="N198" s="805"/>
      <c r="O198" s="807"/>
      <c r="P198" s="805"/>
      <c r="Q198" s="807"/>
      <c r="R198" s="805"/>
      <c r="S198" s="807"/>
      <c r="T198" s="805"/>
      <c r="U198" s="807"/>
      <c r="V198" s="805"/>
      <c r="W198" s="807"/>
      <c r="X198" s="805"/>
      <c r="Y198" s="807"/>
      <c r="Z198" s="805"/>
      <c r="AA198" s="807"/>
      <c r="AB198" s="805"/>
      <c r="AC198" s="807"/>
      <c r="AD198" s="805"/>
      <c r="AE198" s="807"/>
      <c r="AF198" s="805"/>
      <c r="AG198" s="807"/>
      <c r="AH198" s="805"/>
      <c r="AI198" s="807"/>
      <c r="AJ198" s="805"/>
      <c r="AK198" s="807"/>
      <c r="AL198" s="805"/>
      <c r="AM198" s="807"/>
      <c r="AN198" s="811"/>
      <c r="AO198" s="807"/>
      <c r="AP198" s="805"/>
      <c r="AQ198" s="945"/>
      <c r="AR198" s="879"/>
      <c r="AS198" s="807"/>
      <c r="AT198" s="805"/>
      <c r="AU198" s="807"/>
      <c r="AV198" s="787" t="str">
        <f>CA198&amp;CB198&amp;CC198&amp;CD198</f>
        <v/>
      </c>
      <c r="AW198" s="787"/>
      <c r="AX198" s="787"/>
      <c r="AY198" s="787"/>
      <c r="AZ198" s="787"/>
      <c r="BR198"/>
      <c r="BS198"/>
      <c r="BT198"/>
      <c r="BU198"/>
      <c r="CA198" s="620" t="str">
        <f>IF(AND(D198&gt;0,AR198="")," * No olvide digitar la variable Pueblos Originarios hombres (Digite Cero si no tiene).",IF(AR198&gt;D198," * La variable Pueblos Originarios hombres  no debe ser mayor que el Total de Hombres.",""))</f>
        <v/>
      </c>
      <c r="CB198" s="620" t="str">
        <f>IF(AND(E198&gt;0,AS198="")," * No olvide digitar la variable Pueblos Originarios Mujeres (Digite Cero si no tiene). Digite Cero si no tiene.",IF(AS198&gt;E198," * La variable Pueblos Originarios Mujeres no debe ser mayor que el Total de Mujeres",""))</f>
        <v/>
      </c>
      <c r="CC198" s="620" t="str">
        <f>IF(AND(D198&gt;0,AT198="")," * No olvide digitar la variable Migrantes hombres (Digite Cero si no tiene).",IF(AT198&gt;D198," * La variable Migrantes hombres  no debe ser mayor que el Total de Hombres",""))</f>
        <v/>
      </c>
      <c r="CD198" s="620" t="str">
        <f>IF(AND(E198&gt;0,AU198="")," * No olvide digitar la variable Migrantes Mujeres (Digite Cero si no tiene).",IF(AU198&gt;E198," * La variable Migrantes Mujeres no debe ser mayor que el Total de Mujeres",""))</f>
        <v/>
      </c>
      <c r="CG198" s="470" t="str">
        <f>IF(AND(D198&gt;0,AF198="")," * No olvide digitar la variable Niños, Niñas, adolescentes y jóvenes Mejor Niñez hombres (Digite Cero si no tiene).",IF(AF198&gt;D198," * La variable Niños, Niñas, adolescentes y jóvenes Mejor Niñez hombres  no debe ser mayor que el Total de Hombres",""))</f>
        <v/>
      </c>
      <c r="CH198" s="470" t="str">
        <f>IF(AND(E198&gt;0,AG198="")," * No olvide digitar la variable Niños, Niñas, adolescentes y jóvenes Mejor Niñez Mujeres (Digite Cero si no tiene).",IF(AG198&gt;E198," * La variable Niños, Niñas, adolescentes y jóvenes Mejor Niñez Mujeres no debe ser mayor que el Total de Mujeres",""))</f>
        <v/>
      </c>
      <c r="DP198" s="501">
        <f>IF(AND(D198&gt;0,AR198=""),1,IF(AR198&gt;D198,1,0))</f>
        <v>0</v>
      </c>
      <c r="DQ198" s="501">
        <f t="shared" si="138"/>
        <v>0</v>
      </c>
      <c r="DR198" s="501">
        <f t="shared" si="139"/>
        <v>0</v>
      </c>
      <c r="DS198" s="501">
        <f t="shared" si="139"/>
        <v>0</v>
      </c>
    </row>
    <row r="199" spans="1:127" ht="17.100000000000001" customHeight="1" x14ac:dyDescent="0.25">
      <c r="A199" s="2031" t="s">
        <v>368</v>
      </c>
      <c r="B199" s="2031"/>
      <c r="C199" s="2031"/>
      <c r="D199" s="2031"/>
      <c r="E199" s="2031"/>
      <c r="F199" s="2031"/>
      <c r="G199" s="2031"/>
      <c r="H199" s="2031"/>
      <c r="I199" s="2031"/>
      <c r="J199" s="2031"/>
      <c r="K199" s="2031"/>
      <c r="L199" s="2031"/>
      <c r="M199" s="2031"/>
      <c r="N199" s="2031"/>
      <c r="O199" s="2031"/>
      <c r="P199" s="2031"/>
      <c r="Q199" s="2031"/>
      <c r="R199" s="2031"/>
      <c r="S199" s="2031"/>
      <c r="T199" s="2031"/>
      <c r="U199" s="2031"/>
      <c r="V199" s="2031"/>
      <c r="W199" s="2031"/>
      <c r="X199" s="2031"/>
      <c r="Y199" s="2031"/>
      <c r="Z199"/>
      <c r="AA199"/>
      <c r="AB199"/>
      <c r="AC199"/>
      <c r="AD199"/>
      <c r="AE199"/>
      <c r="AF199"/>
      <c r="AG199"/>
      <c r="AH199"/>
      <c r="AI199"/>
      <c r="AJ199" s="470"/>
      <c r="AK199" s="470"/>
      <c r="AL199" s="470"/>
      <c r="AM199" s="470"/>
      <c r="AN199" s="470"/>
      <c r="AO199" s="470"/>
      <c r="AP199" s="470"/>
      <c r="AQ199" s="470"/>
      <c r="AR199" s="470"/>
      <c r="AS199" s="470"/>
      <c r="AT199" s="470"/>
      <c r="AU199" s="470"/>
      <c r="AV199" s="470"/>
    </row>
    <row r="200" spans="1:127" ht="18.600000000000001" customHeight="1" x14ac:dyDescent="0.25">
      <c r="A200" s="1918" t="s">
        <v>369</v>
      </c>
      <c r="B200" s="1919"/>
      <c r="C200" s="1908" t="s">
        <v>49</v>
      </c>
      <c r="D200" s="1909"/>
      <c r="E200" s="1910"/>
      <c r="F200" s="1932" t="s">
        <v>370</v>
      </c>
      <c r="G200" s="1933"/>
      <c r="H200" s="1933"/>
      <c r="I200" s="1933"/>
      <c r="J200" s="1933"/>
      <c r="K200" s="1933"/>
      <c r="L200" s="1933"/>
      <c r="M200" s="1933"/>
      <c r="N200" s="1933"/>
      <c r="O200" s="1933"/>
      <c r="P200" s="1933"/>
      <c r="Q200" s="1933"/>
      <c r="R200" s="1933"/>
      <c r="S200" s="1933"/>
      <c r="T200" s="1933"/>
      <c r="U200" s="1933"/>
      <c r="V200" s="1933"/>
      <c r="W200" s="1933"/>
      <c r="X200" s="1933"/>
      <c r="Y200" s="1933"/>
      <c r="Z200" s="1889" t="s">
        <v>51</v>
      </c>
      <c r="AA200" s="1846"/>
      <c r="AB200" s="1904" t="s">
        <v>52</v>
      </c>
      <c r="AC200" s="1846"/>
      <c r="AD200" s="1904" t="s">
        <v>371</v>
      </c>
      <c r="AE200" s="1846"/>
      <c r="AF200" s="1905" t="s">
        <v>898</v>
      </c>
      <c r="AG200" s="1846"/>
      <c r="AH200" s="791"/>
      <c r="AI200" s="791"/>
      <c r="AJ200" s="470"/>
      <c r="AK200" s="470"/>
      <c r="AL200" s="470"/>
      <c r="AM200" s="470"/>
      <c r="AN200" s="470"/>
      <c r="AO200" s="470"/>
      <c r="AP200" s="470"/>
      <c r="AQ200" s="470"/>
      <c r="AR200" s="470"/>
      <c r="AS200" s="470"/>
      <c r="AT200" s="470"/>
      <c r="AU200" s="470"/>
      <c r="AV200" s="470"/>
    </row>
    <row r="201" spans="1:127" ht="15" customHeight="1" x14ac:dyDescent="0.25">
      <c r="A201" s="1920"/>
      <c r="B201" s="1921"/>
      <c r="C201" s="1911"/>
      <c r="D201" s="1912"/>
      <c r="E201" s="1913"/>
      <c r="F201" s="1896" t="s">
        <v>372</v>
      </c>
      <c r="G201" s="1897"/>
      <c r="H201" s="1896" t="s">
        <v>373</v>
      </c>
      <c r="I201" s="1897"/>
      <c r="J201" s="1896" t="s">
        <v>374</v>
      </c>
      <c r="K201" s="1897"/>
      <c r="L201" s="1896" t="s">
        <v>375</v>
      </c>
      <c r="M201" s="1897"/>
      <c r="N201" s="1896" t="s">
        <v>376</v>
      </c>
      <c r="O201" s="1897"/>
      <c r="P201" s="1896" t="s">
        <v>377</v>
      </c>
      <c r="Q201" s="1897"/>
      <c r="R201" s="1896" t="s">
        <v>378</v>
      </c>
      <c r="S201" s="1897"/>
      <c r="T201" s="1896" t="s">
        <v>379</v>
      </c>
      <c r="U201" s="1897"/>
      <c r="V201" s="1896" t="s">
        <v>380</v>
      </c>
      <c r="W201" s="1897"/>
      <c r="X201" s="1896" t="s">
        <v>381</v>
      </c>
      <c r="Y201" s="1898"/>
      <c r="Z201" s="1891"/>
      <c r="AA201" s="1847"/>
      <c r="AB201" s="1892"/>
      <c r="AC201" s="1847"/>
      <c r="AD201" s="1892"/>
      <c r="AE201" s="1847"/>
      <c r="AF201" s="1895"/>
      <c r="AG201" s="1847"/>
      <c r="AH201" s="791"/>
      <c r="AI201" s="791"/>
      <c r="AJ201" s="470"/>
      <c r="AK201" s="470"/>
      <c r="AL201" s="470"/>
      <c r="AM201" s="470"/>
      <c r="AN201" s="470"/>
      <c r="AO201" s="470"/>
      <c r="AP201" s="470"/>
      <c r="AQ201" s="470"/>
      <c r="AR201" s="470"/>
      <c r="AS201" s="470"/>
      <c r="AT201" s="470"/>
      <c r="AU201" s="470"/>
      <c r="AV201" s="470"/>
    </row>
    <row r="202" spans="1:127" x14ac:dyDescent="0.25">
      <c r="A202" s="1922"/>
      <c r="B202" s="1923"/>
      <c r="C202" s="797" t="s">
        <v>224</v>
      </c>
      <c r="D202" s="798" t="s">
        <v>86</v>
      </c>
      <c r="E202" s="793" t="s">
        <v>225</v>
      </c>
      <c r="F202" s="960" t="s">
        <v>86</v>
      </c>
      <c r="G202" s="880" t="s">
        <v>225</v>
      </c>
      <c r="H202" s="960" t="s">
        <v>86</v>
      </c>
      <c r="I202" s="880" t="s">
        <v>225</v>
      </c>
      <c r="J202" s="960" t="s">
        <v>86</v>
      </c>
      <c r="K202" s="880" t="s">
        <v>225</v>
      </c>
      <c r="L202" s="960" t="s">
        <v>86</v>
      </c>
      <c r="M202" s="880" t="s">
        <v>225</v>
      </c>
      <c r="N202" s="960" t="s">
        <v>86</v>
      </c>
      <c r="O202" s="880" t="s">
        <v>225</v>
      </c>
      <c r="P202" s="960" t="s">
        <v>86</v>
      </c>
      <c r="Q202" s="880" t="s">
        <v>225</v>
      </c>
      <c r="R202" s="960" t="s">
        <v>86</v>
      </c>
      <c r="S202" s="880" t="s">
        <v>225</v>
      </c>
      <c r="T202" s="960" t="s">
        <v>86</v>
      </c>
      <c r="U202" s="880" t="s">
        <v>225</v>
      </c>
      <c r="V202" s="960" t="s">
        <v>86</v>
      </c>
      <c r="W202" s="880" t="s">
        <v>225</v>
      </c>
      <c r="X202" s="960" t="s">
        <v>86</v>
      </c>
      <c r="Y202" s="989" t="s">
        <v>225</v>
      </c>
      <c r="Z202" s="801" t="s">
        <v>86</v>
      </c>
      <c r="AA202" s="660" t="s">
        <v>225</v>
      </c>
      <c r="AB202" s="1032" t="s">
        <v>86</v>
      </c>
      <c r="AC202" s="1033" t="s">
        <v>225</v>
      </c>
      <c r="AD202" s="1032" t="s">
        <v>86</v>
      </c>
      <c r="AE202" s="1033" t="s">
        <v>225</v>
      </c>
      <c r="AF202" s="1034" t="s">
        <v>86</v>
      </c>
      <c r="AG202" s="1033" t="s">
        <v>225</v>
      </c>
      <c r="AH202" s="487"/>
      <c r="AI202" s="487"/>
      <c r="AJ202" s="470"/>
      <c r="AK202" s="470"/>
      <c r="AL202" s="470"/>
      <c r="AM202" s="470"/>
      <c r="AN202" s="470"/>
      <c r="AO202" s="470"/>
      <c r="AP202" s="470"/>
      <c r="AQ202" s="470"/>
      <c r="AR202" s="470"/>
      <c r="AS202" s="470"/>
      <c r="AT202" s="470"/>
      <c r="AU202" s="470"/>
      <c r="AV202" s="470"/>
    </row>
    <row r="203" spans="1:127" ht="15" customHeight="1" thickBot="1" x14ac:dyDescent="0.3">
      <c r="A203" s="1902" t="s">
        <v>382</v>
      </c>
      <c r="B203" s="1903"/>
      <c r="C203" s="1035">
        <f t="shared" ref="C203:C205" si="143">SUM(D203:E203)</f>
        <v>0</v>
      </c>
      <c r="D203" s="1036">
        <f t="shared" ref="D203" si="144">+F203+H203+J203+L203+N203+P203+R203+T203+V203+X203</f>
        <v>0</v>
      </c>
      <c r="E203" s="1037">
        <f>+G203+I203+K203+M203+O203+Q203+S203+U203+W203+Y203</f>
        <v>0</v>
      </c>
      <c r="F203" s="1038"/>
      <c r="G203" s="1039"/>
      <c r="H203" s="1038"/>
      <c r="I203" s="1039"/>
      <c r="J203" s="1038"/>
      <c r="K203" s="1039"/>
      <c r="L203" s="1038"/>
      <c r="M203" s="1039"/>
      <c r="N203" s="1038"/>
      <c r="O203" s="1039"/>
      <c r="P203" s="1038"/>
      <c r="Q203" s="1039"/>
      <c r="R203" s="1038"/>
      <c r="S203" s="1039"/>
      <c r="T203" s="1038"/>
      <c r="U203" s="1039"/>
      <c r="V203" s="1038"/>
      <c r="W203" s="1039"/>
      <c r="X203" s="1038"/>
      <c r="Y203" s="1040"/>
      <c r="Z203" s="1041"/>
      <c r="AA203" s="1039"/>
      <c r="AB203" s="1038"/>
      <c r="AC203" s="1039"/>
      <c r="AD203" s="1038"/>
      <c r="AE203" s="1039"/>
      <c r="AF203" s="1038"/>
      <c r="AG203" s="1039"/>
      <c r="AH203" s="470" t="str">
        <f>CA203&amp;CB203&amp;CC203&amp;CD203&amp;CE203&amp;CF203&amp;CG203&amp;CH203</f>
        <v/>
      </c>
      <c r="AI203" s="1042"/>
      <c r="AJ203" s="470"/>
      <c r="AK203"/>
      <c r="AL203"/>
      <c r="AM203"/>
      <c r="AN203"/>
      <c r="AO203"/>
      <c r="AP203"/>
      <c r="AQ203"/>
      <c r="AR203"/>
      <c r="AS203"/>
      <c r="AT203"/>
      <c r="AU203"/>
      <c r="AV203" s="470"/>
      <c r="AW203" s="470"/>
      <c r="AX203" s="470"/>
      <c r="AY203" s="470"/>
      <c r="AZ203" s="470"/>
      <c r="BA203" s="470"/>
      <c r="BB203" s="470"/>
      <c r="BC203" s="470"/>
      <c r="BD203" s="470"/>
      <c r="BE203" s="470"/>
      <c r="BF203" s="470"/>
      <c r="BG203" s="470"/>
      <c r="BH203" s="470"/>
      <c r="BI203" s="470"/>
      <c r="BJ203" s="470"/>
      <c r="BK203" s="470"/>
      <c r="BL203" s="470"/>
      <c r="BM203" s="470"/>
      <c r="BN203" s="470"/>
      <c r="BO203" s="470"/>
      <c r="BP203" s="470"/>
      <c r="BQ203" s="470"/>
      <c r="CA203" s="620" t="str">
        <f>IF(AND(D203&gt;0,Z203="")," * No olvide digitar la variable Pueblos Originarios hombres (Digite Cero si no tiene).",IF(Z203&gt;D203," * La variable Pueblos Originarios hombres  no debe ser mayor que el Total de Hombres.",""))</f>
        <v/>
      </c>
      <c r="CB203" s="620" t="str">
        <f>IF(AND(E203&gt;0,AA203="")," * No olvide digitar la variable Pueblos Originarios Mujeres (Digite Cero si no tiene). Digite Cero si no tiene.",IF(AA203&gt;E203," * La variable Pueblos Originarios Mujeres no debe ser mayor que el Total de Mujeres",""))</f>
        <v/>
      </c>
      <c r="CC203" s="620" t="str">
        <f>IF(AND(D203&gt;0,AB203="")," * No olvide digitar la variable Migrantes Hombres (Digite Cero si no tiene).",IF(AB203&gt;D203," * La variable Migrantes hombres  no debe ser mayor que el Total de Hombres",""))</f>
        <v/>
      </c>
      <c r="CD203" s="620" t="str">
        <f>IF(AND(E203&gt;0,AC203="")," * No olvide digitar la variable Migrantes Mujeres (Digite Cero si no tiene).",IF(AC203&gt;E203," * La variable Migrantes Mujeres no debe ser mayor que el Total de Mujeres",""))</f>
        <v/>
      </c>
      <c r="CE203" s="620" t="str">
        <f>IF(AND(D203&gt;0,AD203="")," * No olvide digitar la variable Usuarios con Discapacidad hombres (Digite Cero si no tiene).",IF(AD203&gt;D203," * La variable Usuarios con Discapacidad hombres  no debe ser mayor que el Total de Hombres",""))</f>
        <v/>
      </c>
      <c r="CF203" s="620" t="str">
        <f>IF(AND(E203&gt;0,AE203="")," * No olvide digitar la variable Usuarios con Discapacidad  Mujeres (Digite Cero si no tiene).",IF(AE203&gt;E203," * La variable Usuarios con Discapacidad Mujeres no debe ser mayor que el Total de Mujeres",""))</f>
        <v/>
      </c>
      <c r="CG203" s="620" t="str">
        <f>IF(AND(D203&gt;0,AF203="")," * No olvide digitar la variable "&amp;AF$200&amp;" hombres (Digite Cero si no tiene).",IF(AF203&gt;D203," * La variable "&amp;AF$200&amp;" hombres  no debe ser mayor que el Total de Hombres",""))</f>
        <v/>
      </c>
      <c r="CH203" s="620" t="str">
        <f>IF(AND(E203&gt;0,AG203="")," * No olvide digitar la variable "&amp;AF$200&amp;" Mujeres (Digite Cero si no tiene).",IF(AG203&gt;E203," * La variable "&amp;AF$200&amp;" Mujeres no debe ser mayor que el Total de Mujeres",""))</f>
        <v/>
      </c>
      <c r="CL203" s="470"/>
      <c r="CM203" s="470"/>
      <c r="CN203" s="470"/>
      <c r="CO203" s="470"/>
      <c r="CP203" s="470"/>
      <c r="CQ203" s="470"/>
      <c r="CR203" s="470"/>
      <c r="CS203" s="470"/>
      <c r="CT203" s="470"/>
      <c r="CU203" s="470"/>
      <c r="CV203" s="470"/>
      <c r="CW203" s="470"/>
      <c r="CX203" s="470"/>
      <c r="CY203" s="470"/>
      <c r="CZ203" s="470"/>
      <c r="DA203" s="470"/>
      <c r="DP203" s="501">
        <f t="shared" ref="DP203:DQ205" si="145">IF(AND(D203&gt;0,Z203=""),1,IF(Z203&gt;D203,1,0))</f>
        <v>0</v>
      </c>
      <c r="DQ203" s="501">
        <f t="shared" si="145"/>
        <v>0</v>
      </c>
      <c r="DR203" s="501">
        <f t="shared" ref="DR203:DS205" si="146">IF(AND(D203&gt;0,AB203=""),1,IF(AB203&gt;D203,1,0))</f>
        <v>0</v>
      </c>
      <c r="DS203" s="501">
        <f t="shared" si="146"/>
        <v>0</v>
      </c>
      <c r="DT203" s="501">
        <f t="shared" ref="DT203:DU205" si="147">IF(AND(D203&gt;0,AD203=""),1,IF(AD203&gt;D203,1,0))</f>
        <v>0</v>
      </c>
      <c r="DU203" s="501">
        <f t="shared" si="147"/>
        <v>0</v>
      </c>
      <c r="DV203" s="501">
        <f t="shared" ref="DV203:DW205" si="148">IF(AND(D203&gt;0,AF203=""),1,IF(AF203&gt;D203,1,0))</f>
        <v>0</v>
      </c>
      <c r="DW203" s="501">
        <f t="shared" si="148"/>
        <v>0</v>
      </c>
    </row>
    <row r="204" spans="1:127" ht="15" customHeight="1" thickTop="1" x14ac:dyDescent="0.15">
      <c r="A204" s="1930" t="s">
        <v>896</v>
      </c>
      <c r="B204" s="1931"/>
      <c r="C204" s="852">
        <f t="shared" si="143"/>
        <v>0</v>
      </c>
      <c r="D204" s="925">
        <f>+F204+H204+J204+L204+N204+P204+R204+T204+V204+X204</f>
        <v>0</v>
      </c>
      <c r="E204" s="897">
        <f t="shared" ref="E204:E205" si="149">+G204+I204+K204+M204+O204+Q204+S204+U204+W204+Y204</f>
        <v>0</v>
      </c>
      <c r="F204" s="1043"/>
      <c r="G204" s="1044"/>
      <c r="H204" s="1043"/>
      <c r="I204" s="1044"/>
      <c r="J204" s="1043"/>
      <c r="K204" s="1044"/>
      <c r="L204" s="1043"/>
      <c r="M204" s="1044"/>
      <c r="N204" s="1043"/>
      <c r="O204" s="1044"/>
      <c r="P204" s="1043"/>
      <c r="Q204" s="1044"/>
      <c r="R204" s="1043"/>
      <c r="S204" s="1044"/>
      <c r="T204" s="1043"/>
      <c r="U204" s="1044"/>
      <c r="V204" s="1043"/>
      <c r="W204" s="1044"/>
      <c r="X204" s="1043"/>
      <c r="Y204" s="1045"/>
      <c r="Z204" s="1046"/>
      <c r="AA204" s="1044"/>
      <c r="AB204" s="1043"/>
      <c r="AC204" s="1044"/>
      <c r="AD204" s="1043"/>
      <c r="AE204" s="1044"/>
      <c r="AF204" s="1043"/>
      <c r="AG204" s="1044"/>
      <c r="AH204" s="470" t="str">
        <f>CA204&amp;CB204&amp;CC204&amp;CD204&amp;CE204&amp;CF204&amp;CG204&amp;CH204</f>
        <v/>
      </c>
      <c r="AI204" s="1042"/>
      <c r="AK204" s="470"/>
      <c r="AL204" s="470"/>
      <c r="AM204" s="470"/>
      <c r="AN204" s="470"/>
      <c r="AO204" s="470"/>
      <c r="AP204" s="470"/>
      <c r="AQ204" s="470"/>
      <c r="AR204" s="470"/>
      <c r="AS204" s="470"/>
      <c r="AT204" s="470"/>
      <c r="AU204" s="470"/>
      <c r="AV204" s="470"/>
      <c r="AW204" s="470"/>
      <c r="AX204" s="470"/>
      <c r="AY204" s="470"/>
      <c r="AZ204" s="470"/>
      <c r="BA204" s="470"/>
      <c r="BB204" s="470"/>
      <c r="BC204" s="470"/>
      <c r="BD204" s="470"/>
      <c r="BE204" s="470"/>
      <c r="BF204" s="470"/>
      <c r="BG204" s="470"/>
      <c r="BH204" s="470"/>
      <c r="BI204" s="470"/>
      <c r="BJ204" s="470"/>
      <c r="BK204" s="470"/>
      <c r="BL204" s="470"/>
      <c r="BM204" s="470"/>
      <c r="BN204" s="470"/>
      <c r="BO204" s="470"/>
      <c r="BP204" s="470"/>
      <c r="BQ204" s="470"/>
      <c r="CA204" s="620" t="str">
        <f>IF(AND(D204&gt;0,Z204="")," * No olvide digitar la variable Pueblos Originarios hombres (Digite Cero si no tiene).",IF(Z204&gt;D204," * La variable Pueblos Originarios hombres  no debe ser mayor que el Total de Hombres.",""))</f>
        <v/>
      </c>
      <c r="CB204" s="620" t="str">
        <f>IF(AND(E204&gt;0,AA204="")," * No olvide digitar la variable Pueblos Originarios Mujeres (Digite Cero si no tiene). Digite Cero si no tiene.",IF(AA204&gt;E204," * La variable Pueblos Originarios Mujeres no debe ser mayor que el Total de Mujeres",""))</f>
        <v/>
      </c>
      <c r="CC204" s="620" t="str">
        <f>IF(AND(D204&gt;0,AB204="")," * No olvide digitar la variable Migrantes hombres (Digite Cero si no tiene).",IF(AB204&gt;D204," * La variable Migrantes hombres  no debe ser mayor que el Total de Hombres",""))</f>
        <v/>
      </c>
      <c r="CD204" s="620" t="str">
        <f>IF(AND(E204&gt;0,AC204="")," * No olvide digitar la variable Migrantes Mujeres (Digite Cero si no tiene).",IF(AC204&gt;E204," * La variable Migrantes Mujeres no debe ser mayor que el Total de Mujeres",""))</f>
        <v/>
      </c>
      <c r="CE204" s="620" t="str">
        <f>IF(AND(D204&gt;0,AD204="")," * No olvide digitar la variable Usuarios con Discapacidad hombres (Digite Cero si no tiene).",IF(AD204&gt;D204," * La variable Usuarios con Discapacidad hombres  no debe ser mayor que el Total de Hombres",""))</f>
        <v/>
      </c>
      <c r="CF204" s="620" t="str">
        <f>IF(AND(E204&gt;0,AE204="")," * No olvide digitar la variable Usuarios con Discapacidad  Mujeres (Digite Cero si no tiene).",IF(AE204&gt;E204," * La variable Usuarios con Discapacidad Mujeres no debe ser mayor que el Total de Mujeres",""))</f>
        <v/>
      </c>
      <c r="CG204" s="620" t="str">
        <f>IF(AND(D204&gt;0,AF204="")," * No olvide digitar la variable "&amp;AF$200&amp;" hombres (Digite Cero si no tiene).",IF(AF204&gt;D204," * La variable "&amp;AF$200&amp;" hombres  no debe ser mayor que el Total de Hombres",""))</f>
        <v/>
      </c>
      <c r="CH204" s="620" t="str">
        <f>IF(AND(E204&gt;0,AG204="")," * No olvide digitar la variable "&amp;AF$200&amp;" Mujeres (Digite Cero si no tiene).",IF(AG204&gt;E204," * La variable "&amp;AF$200&amp;" Mujeres no debe ser mayor que el Total de Mujeres",""))</f>
        <v/>
      </c>
      <c r="CL204" s="470"/>
      <c r="CM204" s="470"/>
      <c r="CN204" s="470"/>
      <c r="CO204" s="470"/>
      <c r="CP204" s="470"/>
      <c r="CQ204" s="470"/>
      <c r="CR204" s="470"/>
      <c r="CS204" s="470"/>
      <c r="CT204" s="470"/>
      <c r="CU204" s="470"/>
      <c r="CV204" s="470"/>
      <c r="CW204" s="470"/>
      <c r="CX204" s="470"/>
      <c r="CY204" s="470"/>
      <c r="CZ204" s="470"/>
      <c r="DA204" s="470"/>
      <c r="DP204" s="501">
        <f t="shared" si="145"/>
        <v>0</v>
      </c>
      <c r="DQ204" s="501">
        <f t="shared" si="145"/>
        <v>0</v>
      </c>
      <c r="DR204" s="501">
        <f t="shared" si="146"/>
        <v>0</v>
      </c>
      <c r="DS204" s="501">
        <f t="shared" si="146"/>
        <v>0</v>
      </c>
      <c r="DT204" s="501">
        <f t="shared" si="147"/>
        <v>0</v>
      </c>
      <c r="DU204" s="501">
        <f t="shared" si="147"/>
        <v>0</v>
      </c>
      <c r="DV204" s="501">
        <f t="shared" si="148"/>
        <v>0</v>
      </c>
      <c r="DW204" s="501">
        <f t="shared" si="148"/>
        <v>0</v>
      </c>
    </row>
    <row r="205" spans="1:127" ht="15" customHeight="1" x14ac:dyDescent="0.25">
      <c r="A205" s="2028" t="s">
        <v>897</v>
      </c>
      <c r="B205" s="2029"/>
      <c r="C205" s="976">
        <f t="shared" si="143"/>
        <v>0</v>
      </c>
      <c r="D205" s="1047">
        <f>+F205+H205+J205+L205+N205+P205+R205+T205+V205+X205</f>
        <v>0</v>
      </c>
      <c r="E205" s="804">
        <f t="shared" si="149"/>
        <v>0</v>
      </c>
      <c r="F205" s="1048"/>
      <c r="G205" s="1049"/>
      <c r="H205" s="1048"/>
      <c r="I205" s="1049"/>
      <c r="J205" s="1048"/>
      <c r="K205" s="1049"/>
      <c r="L205" s="1048"/>
      <c r="M205" s="1049"/>
      <c r="N205" s="1048"/>
      <c r="O205" s="1049"/>
      <c r="P205" s="1048"/>
      <c r="Q205" s="1049"/>
      <c r="R205" s="1048"/>
      <c r="S205" s="1049"/>
      <c r="T205" s="1048"/>
      <c r="U205" s="1049"/>
      <c r="V205" s="1048"/>
      <c r="W205" s="1049"/>
      <c r="X205" s="1043"/>
      <c r="Y205" s="1045"/>
      <c r="Z205" s="1046"/>
      <c r="AA205" s="1044"/>
      <c r="AB205" s="1043"/>
      <c r="AC205" s="1044"/>
      <c r="AD205" s="1043"/>
      <c r="AE205" s="1044"/>
      <c r="AF205" s="1048"/>
      <c r="AG205" s="1049"/>
      <c r="AH205" s="470" t="str">
        <f>CA205&amp;CB205&amp;CC205&amp;CD205&amp;CE205&amp;CF205&amp;CG205&amp;CH205</f>
        <v/>
      </c>
      <c r="AI205" s="1042"/>
      <c r="CA205" s="620" t="str">
        <f>IF(AND(D205&gt;0,Z205="")," * No olvide digitar la variable Pueblos Originarios hombres (Digite Cero si no tiene).",IF(Z205&gt;D205," * La variable Pueblos Originarios hombres  no debe ser mayor que el Total de Hombres.",""))</f>
        <v/>
      </c>
      <c r="CB205" s="620" t="str">
        <f>IF(AND(E205&gt;0,AA205="")," * No olvide digitar la variable Pueblos Originarios Mujeres (Digite Cero si no tiene). Digite Cero si no tiene.",IF(AA205&gt;E205," * La variable Pueblos Originarios Mujeres no debe ser mayor que el Total de Mujeres",""))</f>
        <v/>
      </c>
      <c r="CC205" s="620" t="str">
        <f>IF(AND(D205&gt;0,AB205="")," * No olvide digitar la variable Migrantes hombres (Digite Cero si no tiene).",IF(AB205&gt;D205," * La variable Migrantes hombres  no debe ser mayor que el Total de Hombres",""))</f>
        <v/>
      </c>
      <c r="CD205" s="620" t="str">
        <f>IF(AND(E205&gt;0,AC205="")," * No olvide digitar la variable Migrantes Mujeres (Digite Cero si no tiene).",IF(AC205&gt;E205," * La variable Migrantes Mujeres no debe ser mayor que el Total de Mujeres",""))</f>
        <v/>
      </c>
      <c r="CE205" s="620" t="str">
        <f>IF(AND(D205&gt;0,AD205="")," * No olvide digitar la variable Usuarios con Discapacidad hombres (Digite Cero si no tiene).",IF(AD205&gt;D205," * La variable Usuarios con Discapacidad hombres  no debe ser mayor que el Total de Hombres",""))</f>
        <v/>
      </c>
      <c r="CF205" s="620" t="str">
        <f>IF(AND(E205&gt;0,AE205="")," * No olvide digitar la variable Usuarios con Discapacidad  Mujeres (Digite Cero si no tiene).",IF(AE205&gt;E205," * La variable Usuarios con Discapacidad Mujeres no debe ser mayor que el Total de Mujeres",""))</f>
        <v/>
      </c>
      <c r="CG205" s="620" t="str">
        <f>IF(AND(D205&gt;0,AF205="")," * No olvide digitar la variable "&amp;AF$200&amp;" hombres (Digite Cero si no tiene).",IF(AF205&gt;D205," * La variable "&amp;AF$200&amp;" hombres  no debe ser mayor que el Total de Hombres",""))</f>
        <v/>
      </c>
      <c r="CH205" s="620" t="str">
        <f>IF(AND(E205&gt;0,AG205="")," * No olvide digitar la variable "&amp;AF$200&amp;" Mujeres (Digite Cero si no tiene).",IF(AG205&gt;E205," * La variable "&amp;AF$200&amp;" Mujeres no debe ser mayor que el Total de Mujeres",""))</f>
        <v/>
      </c>
      <c r="CL205" s="470"/>
      <c r="CM205" s="470"/>
      <c r="CN205" s="470"/>
      <c r="CO205" s="470"/>
      <c r="CP205" s="470"/>
      <c r="CQ205" s="470"/>
      <c r="CR205" s="470"/>
      <c r="CS205" s="470"/>
      <c r="CT205" s="470"/>
      <c r="CU205" s="470"/>
      <c r="CV205" s="470"/>
      <c r="CW205" s="470"/>
      <c r="CX205" s="470"/>
      <c r="CY205" s="470"/>
      <c r="CZ205" s="470"/>
      <c r="DA205" s="470"/>
      <c r="DP205" s="501">
        <f t="shared" si="145"/>
        <v>0</v>
      </c>
      <c r="DQ205" s="501">
        <f t="shared" si="145"/>
        <v>0</v>
      </c>
      <c r="DR205" s="501">
        <f t="shared" si="146"/>
        <v>0</v>
      </c>
      <c r="DS205" s="501">
        <f t="shared" si="146"/>
        <v>0</v>
      </c>
      <c r="DT205" s="501">
        <f t="shared" si="147"/>
        <v>0</v>
      </c>
      <c r="DU205" s="501">
        <f t="shared" si="147"/>
        <v>0</v>
      </c>
      <c r="DV205" s="501">
        <f t="shared" si="148"/>
        <v>0</v>
      </c>
      <c r="DW205" s="501">
        <f t="shared" si="148"/>
        <v>0</v>
      </c>
    </row>
    <row r="206" spans="1:127" ht="15" customHeight="1" x14ac:dyDescent="0.25">
      <c r="A206" s="1050"/>
      <c r="B206" s="1051" t="s">
        <v>89</v>
      </c>
      <c r="C206" s="842">
        <f>SUM(D206:E206)</f>
        <v>0</v>
      </c>
      <c r="D206" s="843">
        <f>+F206+H206+J206+L206+N206+P206+R206+T206+V206+X206</f>
        <v>0</v>
      </c>
      <c r="E206" s="904">
        <f>+G206+I206+K206+M206+O206+Q206+S206+U206+W206+Y206</f>
        <v>0</v>
      </c>
      <c r="F206" s="843">
        <f>SUM(F204:F205)</f>
        <v>0</v>
      </c>
      <c r="G206" s="904">
        <f t="shared" ref="G206:AG206" si="150">SUM(G204:G205)</f>
        <v>0</v>
      </c>
      <c r="H206" s="843">
        <f t="shared" si="150"/>
        <v>0</v>
      </c>
      <c r="I206" s="904">
        <f t="shared" si="150"/>
        <v>0</v>
      </c>
      <c r="J206" s="843">
        <f t="shared" si="150"/>
        <v>0</v>
      </c>
      <c r="K206" s="904">
        <f t="shared" si="150"/>
        <v>0</v>
      </c>
      <c r="L206" s="843">
        <f t="shared" si="150"/>
        <v>0</v>
      </c>
      <c r="M206" s="904">
        <f t="shared" si="150"/>
        <v>0</v>
      </c>
      <c r="N206" s="843">
        <f t="shared" si="150"/>
        <v>0</v>
      </c>
      <c r="O206" s="904">
        <f t="shared" si="150"/>
        <v>0</v>
      </c>
      <c r="P206" s="843">
        <f t="shared" si="150"/>
        <v>0</v>
      </c>
      <c r="Q206" s="904">
        <f t="shared" si="150"/>
        <v>0</v>
      </c>
      <c r="R206" s="843">
        <f t="shared" si="150"/>
        <v>0</v>
      </c>
      <c r="S206" s="904">
        <f t="shared" si="150"/>
        <v>0</v>
      </c>
      <c r="T206" s="843">
        <f t="shared" si="150"/>
        <v>0</v>
      </c>
      <c r="U206" s="904">
        <f t="shared" si="150"/>
        <v>0</v>
      </c>
      <c r="V206" s="843">
        <f t="shared" si="150"/>
        <v>0</v>
      </c>
      <c r="W206" s="904">
        <f t="shared" si="150"/>
        <v>0</v>
      </c>
      <c r="X206" s="843">
        <f>SUM(X204:X205)</f>
        <v>0</v>
      </c>
      <c r="Y206" s="854">
        <f t="shared" si="150"/>
        <v>0</v>
      </c>
      <c r="Z206" s="848">
        <f t="shared" si="150"/>
        <v>0</v>
      </c>
      <c r="AA206" s="904">
        <f t="shared" si="150"/>
        <v>0</v>
      </c>
      <c r="AB206" s="843">
        <f t="shared" si="150"/>
        <v>0</v>
      </c>
      <c r="AC206" s="904">
        <f t="shared" si="150"/>
        <v>0</v>
      </c>
      <c r="AD206" s="843">
        <f t="shared" si="150"/>
        <v>0</v>
      </c>
      <c r="AE206" s="904">
        <f>SUM(AE204:AE205)</f>
        <v>0</v>
      </c>
      <c r="AF206" s="843">
        <f t="shared" si="150"/>
        <v>0</v>
      </c>
      <c r="AG206" s="904">
        <f t="shared" si="150"/>
        <v>0</v>
      </c>
      <c r="AH206" s="470"/>
      <c r="AI206" s="1052"/>
      <c r="CL206" s="470"/>
      <c r="CM206" s="470"/>
      <c r="CN206" s="470"/>
      <c r="CO206" s="470"/>
      <c r="CP206" s="470"/>
      <c r="CQ206" s="470"/>
      <c r="CR206" s="470"/>
      <c r="CS206" s="470"/>
      <c r="CT206" s="470"/>
      <c r="CU206" s="470"/>
      <c r="CV206" s="470"/>
      <c r="CW206" s="470"/>
      <c r="CX206" s="470"/>
      <c r="CY206" s="470"/>
      <c r="CZ206" s="470"/>
      <c r="DA206" s="470"/>
    </row>
    <row r="207" spans="1:127" ht="15" customHeight="1" x14ac:dyDescent="0.25">
      <c r="A207" s="1914" t="s">
        <v>383</v>
      </c>
      <c r="B207" s="1053">
        <v>0</v>
      </c>
      <c r="C207" s="1054"/>
      <c r="D207" s="882"/>
      <c r="E207" s="883"/>
      <c r="F207" s="882"/>
      <c r="G207" s="883"/>
      <c r="H207" s="882"/>
      <c r="I207" s="883"/>
      <c r="J207" s="882"/>
      <c r="K207" s="883"/>
      <c r="L207" s="882"/>
      <c r="M207" s="883"/>
      <c r="N207" s="882"/>
      <c r="O207" s="883"/>
      <c r="P207" s="882"/>
      <c r="Q207" s="883"/>
      <c r="R207" s="882"/>
      <c r="S207" s="883"/>
      <c r="T207" s="882"/>
      <c r="U207" s="883"/>
      <c r="V207" s="882"/>
      <c r="W207" s="883"/>
      <c r="X207" s="882"/>
      <c r="Y207" s="1055"/>
      <c r="Z207" s="1056"/>
      <c r="AA207" s="883"/>
      <c r="AB207" s="882"/>
      <c r="AC207" s="883"/>
      <c r="AD207" s="882"/>
      <c r="AE207" s="883"/>
      <c r="AF207" s="882"/>
      <c r="AG207" s="883"/>
      <c r="AH207" s="470" t="str">
        <f t="shared" ref="AH207:AH212" si="151">CA207&amp;CB207&amp;CC207&amp;CD207&amp;CE207&amp;CF207&amp;CG207&amp;CH207</f>
        <v/>
      </c>
      <c r="AI207" s="1042"/>
      <c r="CA207" s="620"/>
      <c r="CB207" s="620"/>
      <c r="CC207" s="620"/>
      <c r="CD207" s="620"/>
      <c r="CE207" s="620"/>
      <c r="CF207" s="620"/>
      <c r="CG207" s="620"/>
      <c r="CH207" s="620"/>
      <c r="CL207" s="470"/>
      <c r="CM207" s="470"/>
      <c r="CN207" s="470"/>
      <c r="CO207" s="470"/>
      <c r="CP207" s="470"/>
      <c r="CQ207" s="470"/>
      <c r="CR207" s="470"/>
      <c r="CS207" s="470"/>
      <c r="CT207" s="470"/>
      <c r="CU207" s="470"/>
      <c r="CV207" s="470"/>
      <c r="CW207" s="470"/>
      <c r="CX207" s="470"/>
      <c r="CY207" s="470"/>
      <c r="CZ207" s="470"/>
      <c r="DA207" s="470"/>
      <c r="DP207" s="501"/>
      <c r="DQ207" s="501"/>
      <c r="DR207" s="501"/>
      <c r="DS207" s="501"/>
      <c r="DT207" s="501"/>
      <c r="DU207" s="501"/>
      <c r="DV207" s="501"/>
      <c r="DW207" s="501"/>
    </row>
    <row r="208" spans="1:127" ht="15" customHeight="1" x14ac:dyDescent="0.25">
      <c r="A208" s="1915"/>
      <c r="B208" s="1057" t="s">
        <v>384</v>
      </c>
      <c r="C208" s="1058"/>
      <c r="D208" s="887"/>
      <c r="E208" s="888"/>
      <c r="F208" s="887"/>
      <c r="G208" s="888"/>
      <c r="H208" s="887"/>
      <c r="I208" s="888"/>
      <c r="J208" s="887"/>
      <c r="K208" s="888"/>
      <c r="L208" s="887"/>
      <c r="M208" s="888"/>
      <c r="N208" s="887"/>
      <c r="O208" s="888"/>
      <c r="P208" s="887"/>
      <c r="Q208" s="888"/>
      <c r="R208" s="887"/>
      <c r="S208" s="888"/>
      <c r="T208" s="887"/>
      <c r="U208" s="888"/>
      <c r="V208" s="887"/>
      <c r="W208" s="888"/>
      <c r="X208" s="887"/>
      <c r="Y208" s="1059"/>
      <c r="Z208" s="1060"/>
      <c r="AA208" s="888"/>
      <c r="AB208" s="887"/>
      <c r="AC208" s="888"/>
      <c r="AD208" s="887"/>
      <c r="AE208" s="888"/>
      <c r="AF208" s="887"/>
      <c r="AG208" s="888"/>
      <c r="AH208" s="470" t="str">
        <f t="shared" si="151"/>
        <v/>
      </c>
      <c r="AI208" s="1042"/>
      <c r="CA208" s="620"/>
      <c r="CB208" s="620"/>
      <c r="CC208" s="620"/>
      <c r="CD208" s="620"/>
      <c r="CE208" s="620"/>
      <c r="CF208" s="620"/>
      <c r="CG208" s="620"/>
      <c r="CH208" s="620"/>
      <c r="CL208" s="470"/>
      <c r="CM208" s="470"/>
      <c r="CN208" s="470"/>
      <c r="CO208" s="470"/>
      <c r="CP208" s="470"/>
      <c r="CQ208" s="470"/>
      <c r="CR208" s="470"/>
      <c r="CS208" s="470"/>
      <c r="CT208" s="470"/>
      <c r="CU208" s="470"/>
      <c r="CV208" s="470"/>
      <c r="CW208" s="470"/>
      <c r="CX208" s="470"/>
      <c r="CY208" s="470"/>
      <c r="CZ208" s="470"/>
      <c r="DA208" s="470"/>
      <c r="DP208" s="501"/>
      <c r="DQ208" s="501"/>
      <c r="DR208" s="501"/>
      <c r="DS208" s="501"/>
      <c r="DT208" s="501"/>
      <c r="DU208" s="501"/>
      <c r="DV208" s="501"/>
      <c r="DW208" s="501"/>
    </row>
    <row r="209" spans="1:127" ht="15" customHeight="1" x14ac:dyDescent="0.25">
      <c r="A209" s="1915"/>
      <c r="B209" s="1057" t="s">
        <v>385</v>
      </c>
      <c r="C209" s="1058"/>
      <c r="D209" s="887"/>
      <c r="E209" s="888"/>
      <c r="F209" s="887"/>
      <c r="G209" s="888"/>
      <c r="H209" s="887"/>
      <c r="I209" s="888"/>
      <c r="J209" s="887"/>
      <c r="K209" s="888"/>
      <c r="L209" s="887"/>
      <c r="M209" s="888"/>
      <c r="N209" s="887"/>
      <c r="O209" s="888"/>
      <c r="P209" s="887"/>
      <c r="Q209" s="888"/>
      <c r="R209" s="887"/>
      <c r="S209" s="888"/>
      <c r="T209" s="887"/>
      <c r="U209" s="888"/>
      <c r="V209" s="887"/>
      <c r="W209" s="888"/>
      <c r="X209" s="887"/>
      <c r="Y209" s="1059"/>
      <c r="Z209" s="1060"/>
      <c r="AA209" s="888"/>
      <c r="AB209" s="887"/>
      <c r="AC209" s="888"/>
      <c r="AD209" s="887"/>
      <c r="AE209" s="888"/>
      <c r="AF209" s="887"/>
      <c r="AG209" s="888"/>
      <c r="AH209" s="470" t="str">
        <f t="shared" si="151"/>
        <v/>
      </c>
      <c r="AI209" s="1042"/>
      <c r="CA209" s="620"/>
      <c r="CB209" s="620"/>
      <c r="CC209" s="620"/>
      <c r="CD209" s="620"/>
      <c r="CE209" s="620"/>
      <c r="CF209" s="620"/>
      <c r="CG209" s="620"/>
      <c r="CH209" s="620"/>
      <c r="CL209" s="470"/>
      <c r="CM209" s="470"/>
      <c r="CN209" s="470"/>
      <c r="CO209" s="470"/>
      <c r="CP209" s="470"/>
      <c r="CQ209" s="470"/>
      <c r="CR209" s="470"/>
      <c r="CS209" s="470"/>
      <c r="CT209" s="470"/>
      <c r="CU209" s="470"/>
      <c r="CV209" s="470"/>
      <c r="CW209" s="470"/>
      <c r="CX209" s="470"/>
      <c r="CY209" s="470"/>
      <c r="CZ209" s="470"/>
      <c r="DA209" s="470"/>
      <c r="DP209" s="501"/>
      <c r="DQ209" s="501"/>
      <c r="DR209" s="501"/>
      <c r="DS209" s="501"/>
      <c r="DT209" s="501"/>
      <c r="DU209" s="501"/>
      <c r="DV209" s="501"/>
      <c r="DW209" s="501"/>
    </row>
    <row r="210" spans="1:127" ht="15" customHeight="1" x14ac:dyDescent="0.25">
      <c r="A210" s="1915"/>
      <c r="B210" s="1057" t="s">
        <v>386</v>
      </c>
      <c r="C210" s="1058"/>
      <c r="D210" s="887"/>
      <c r="E210" s="888"/>
      <c r="F210" s="887"/>
      <c r="G210" s="888"/>
      <c r="H210" s="887"/>
      <c r="I210" s="888"/>
      <c r="J210" s="887"/>
      <c r="K210" s="888"/>
      <c r="L210" s="887"/>
      <c r="M210" s="888"/>
      <c r="N210" s="887"/>
      <c r="O210" s="888"/>
      <c r="P210" s="887"/>
      <c r="Q210" s="888"/>
      <c r="R210" s="887"/>
      <c r="S210" s="888"/>
      <c r="T210" s="887"/>
      <c r="U210" s="888"/>
      <c r="V210" s="887"/>
      <c r="W210" s="888"/>
      <c r="X210" s="887"/>
      <c r="Y210" s="1059"/>
      <c r="Z210" s="1060"/>
      <c r="AA210" s="888"/>
      <c r="AB210" s="887"/>
      <c r="AC210" s="888"/>
      <c r="AD210" s="887"/>
      <c r="AE210" s="888"/>
      <c r="AF210" s="887"/>
      <c r="AG210" s="888"/>
      <c r="AH210" s="470" t="str">
        <f t="shared" si="151"/>
        <v/>
      </c>
      <c r="AI210" s="1042"/>
      <c r="CA210" s="620"/>
      <c r="CB210" s="620"/>
      <c r="CC210" s="620"/>
      <c r="CD210" s="620"/>
      <c r="CE210" s="620"/>
      <c r="CF210" s="620"/>
      <c r="CG210" s="620"/>
      <c r="CH210" s="620"/>
      <c r="CL210" s="470"/>
      <c r="CM210" s="470"/>
      <c r="CN210" s="470"/>
      <c r="CO210" s="470"/>
      <c r="CP210" s="470"/>
      <c r="CQ210" s="470"/>
      <c r="CR210" s="470"/>
      <c r="CS210" s="470"/>
      <c r="CT210" s="470"/>
      <c r="CU210" s="470"/>
      <c r="CV210" s="470"/>
      <c r="CW210" s="470"/>
      <c r="CX210" s="470"/>
      <c r="CY210" s="470"/>
      <c r="CZ210" s="470"/>
      <c r="DA210" s="470"/>
      <c r="DP210" s="501"/>
      <c r="DQ210" s="501"/>
      <c r="DR210" s="501"/>
      <c r="DS210" s="501"/>
      <c r="DT210" s="501"/>
      <c r="DU210" s="501"/>
      <c r="DV210" s="501"/>
      <c r="DW210" s="501"/>
    </row>
    <row r="211" spans="1:127" ht="15" customHeight="1" x14ac:dyDescent="0.25">
      <c r="A211" s="1915"/>
      <c r="B211" s="1061" t="s">
        <v>387</v>
      </c>
      <c r="C211" s="1062"/>
      <c r="D211" s="1063"/>
      <c r="E211" s="1064"/>
      <c r="F211" s="1063"/>
      <c r="G211" s="1064"/>
      <c r="H211" s="1063"/>
      <c r="I211" s="1064"/>
      <c r="J211" s="1063"/>
      <c r="K211" s="1064"/>
      <c r="L211" s="1063"/>
      <c r="M211" s="1064"/>
      <c r="N211" s="1063"/>
      <c r="O211" s="1064"/>
      <c r="P211" s="1063"/>
      <c r="Q211" s="1064"/>
      <c r="R211" s="1063"/>
      <c r="S211" s="1064"/>
      <c r="T211" s="1063"/>
      <c r="U211" s="1064"/>
      <c r="V211" s="1063"/>
      <c r="W211" s="1064"/>
      <c r="X211" s="1063"/>
      <c r="Y211" s="1065"/>
      <c r="Z211" s="1066"/>
      <c r="AA211" s="1064"/>
      <c r="AB211" s="1063"/>
      <c r="AC211" s="1064"/>
      <c r="AD211" s="1063"/>
      <c r="AE211" s="1064"/>
      <c r="AF211" s="1063"/>
      <c r="AG211" s="1064"/>
      <c r="AH211" s="470" t="str">
        <f t="shared" si="151"/>
        <v/>
      </c>
      <c r="AI211" s="1042"/>
      <c r="CA211" s="620"/>
      <c r="CB211" s="620"/>
      <c r="CC211" s="620"/>
      <c r="CD211" s="620"/>
      <c r="CE211" s="620"/>
      <c r="CF211" s="620"/>
      <c r="CG211" s="620"/>
      <c r="CH211" s="620"/>
      <c r="CL211" s="470"/>
      <c r="CM211" s="470"/>
      <c r="CN211" s="470"/>
      <c r="CO211" s="470"/>
      <c r="CP211" s="470"/>
      <c r="CQ211" s="470"/>
      <c r="CR211" s="470"/>
      <c r="CS211" s="470"/>
      <c r="CT211" s="470"/>
      <c r="CU211" s="470"/>
      <c r="CV211" s="470"/>
      <c r="CW211" s="470"/>
      <c r="CX211" s="470"/>
      <c r="CY211" s="470"/>
      <c r="CZ211" s="470"/>
      <c r="DA211" s="470"/>
      <c r="DP211" s="501"/>
      <c r="DQ211" s="501"/>
      <c r="DR211" s="501"/>
      <c r="DS211" s="501"/>
      <c r="DT211" s="501"/>
      <c r="DU211" s="501"/>
      <c r="DV211" s="501"/>
      <c r="DW211" s="501"/>
    </row>
    <row r="212" spans="1:127" ht="15" customHeight="1" x14ac:dyDescent="0.25">
      <c r="A212" s="1915"/>
      <c r="B212" s="1067" t="s">
        <v>388</v>
      </c>
      <c r="C212" s="1068"/>
      <c r="D212" s="1069"/>
      <c r="E212" s="1070"/>
      <c r="F212" s="1069"/>
      <c r="G212" s="1070"/>
      <c r="H212" s="1069"/>
      <c r="I212" s="1070"/>
      <c r="J212" s="1069"/>
      <c r="K212" s="1070"/>
      <c r="L212" s="1069"/>
      <c r="M212" s="1070"/>
      <c r="N212" s="1069"/>
      <c r="O212" s="1070"/>
      <c r="P212" s="1069"/>
      <c r="Q212" s="1070"/>
      <c r="R212" s="1069"/>
      <c r="S212" s="1070"/>
      <c r="T212" s="1069"/>
      <c r="U212" s="1070"/>
      <c r="V212" s="1069"/>
      <c r="W212" s="1070"/>
      <c r="X212" s="1069"/>
      <c r="Y212" s="1071"/>
      <c r="Z212" s="1072"/>
      <c r="AA212" s="1070"/>
      <c r="AB212" s="1069"/>
      <c r="AC212" s="1070"/>
      <c r="AD212" s="1069"/>
      <c r="AE212" s="1070"/>
      <c r="AF212" s="1069"/>
      <c r="AG212" s="1070"/>
      <c r="AH212" s="470" t="str">
        <f t="shared" si="151"/>
        <v/>
      </c>
      <c r="AI212" s="1042"/>
      <c r="CA212" s="620"/>
      <c r="CB212" s="620"/>
      <c r="CC212" s="620"/>
      <c r="CD212" s="620"/>
      <c r="CE212" s="620"/>
      <c r="CF212" s="620"/>
      <c r="CG212" s="620"/>
      <c r="CH212" s="620"/>
      <c r="CL212" s="470"/>
      <c r="CM212" s="470"/>
      <c r="CN212" s="470"/>
      <c r="CO212" s="470"/>
      <c r="CP212" s="470"/>
      <c r="CQ212" s="470"/>
      <c r="CR212" s="470"/>
      <c r="CS212" s="470"/>
      <c r="CT212" s="470"/>
      <c r="CU212" s="470"/>
      <c r="CV212" s="470"/>
      <c r="CW212" s="470"/>
      <c r="CX212" s="470"/>
      <c r="CY212" s="470"/>
      <c r="CZ212" s="470"/>
      <c r="DA212" s="470"/>
      <c r="DP212" s="501"/>
      <c r="DQ212" s="501"/>
      <c r="DR212" s="501"/>
      <c r="DS212" s="501"/>
      <c r="DT212" s="501"/>
      <c r="DU212" s="501"/>
      <c r="DV212" s="501"/>
      <c r="DW212" s="501"/>
    </row>
    <row r="213" spans="1:127" ht="15" customHeight="1" x14ac:dyDescent="0.25">
      <c r="A213" s="1915"/>
      <c r="B213" s="1073" t="s">
        <v>89</v>
      </c>
      <c r="C213" s="1068"/>
      <c r="D213" s="1069"/>
      <c r="E213" s="1070"/>
      <c r="F213" s="1069"/>
      <c r="G213" s="1070"/>
      <c r="H213" s="1074"/>
      <c r="I213" s="1075"/>
      <c r="J213" s="1074"/>
      <c r="K213" s="1075"/>
      <c r="L213" s="1074"/>
      <c r="M213" s="1075"/>
      <c r="N213" s="1074"/>
      <c r="O213" s="1075"/>
      <c r="P213" s="1074"/>
      <c r="Q213" s="1075"/>
      <c r="R213" s="1074"/>
      <c r="S213" s="1075"/>
      <c r="T213" s="1074"/>
      <c r="U213" s="1075"/>
      <c r="V213" s="1074"/>
      <c r="W213" s="1075"/>
      <c r="X213" s="1074"/>
      <c r="Y213" s="1076"/>
      <c r="Z213" s="1077"/>
      <c r="AA213" s="1075"/>
      <c r="AB213" s="1074"/>
      <c r="AC213" s="1075"/>
      <c r="AD213" s="1074"/>
      <c r="AE213" s="1075"/>
      <c r="AF213" s="1074"/>
      <c r="AG213" s="1078"/>
      <c r="AH213" s="470"/>
      <c r="AI213" s="1052"/>
      <c r="CG213" s="470" t="str">
        <f t="shared" ref="CG213:CG214" si="152">IF(AND(D213&gt;0,AF213="")," * No olvide digitar la variable "&amp;AF$200&amp;" hombres (Digite Cero si no tiene).",IF(AF213&gt;D213," * La variable"&amp;AF$200&amp;"  hombres  no debe ser mayor que el Total de Hombres",""))</f>
        <v/>
      </c>
      <c r="CL213" s="470"/>
      <c r="CM213" s="470"/>
      <c r="CN213" s="470"/>
      <c r="CO213" s="470"/>
      <c r="CP213" s="470"/>
      <c r="CQ213" s="470"/>
      <c r="CR213" s="470"/>
      <c r="CS213" s="470"/>
      <c r="CT213" s="470"/>
      <c r="CU213" s="470"/>
      <c r="CV213" s="470"/>
      <c r="CW213" s="470"/>
      <c r="CX213" s="470"/>
      <c r="CY213" s="470"/>
      <c r="CZ213" s="470"/>
      <c r="DA213" s="470"/>
    </row>
    <row r="214" spans="1:127" ht="15" customHeight="1" x14ac:dyDescent="0.25">
      <c r="A214" s="1916" t="s">
        <v>389</v>
      </c>
      <c r="B214" s="1917"/>
      <c r="C214" s="842">
        <f>SUM(D214:E214)</f>
        <v>0</v>
      </c>
      <c r="D214" s="843">
        <f t="shared" ref="D214" si="153">+F214+H214+J214+L214+N214+P214+R214+T214+V214+X214</f>
        <v>0</v>
      </c>
      <c r="E214" s="904">
        <f t="shared" ref="E214" si="154">+G214+I214+K214+M214+O214+Q214+S214+U214+W214+Y214</f>
        <v>0</v>
      </c>
      <c r="F214" s="1079"/>
      <c r="G214" s="1080"/>
      <c r="H214" s="1081"/>
      <c r="I214" s="1082"/>
      <c r="J214" s="1081"/>
      <c r="K214" s="1082"/>
      <c r="L214" s="1081"/>
      <c r="M214" s="1082"/>
      <c r="N214" s="1081"/>
      <c r="O214" s="1082"/>
      <c r="P214" s="1081"/>
      <c r="Q214" s="1082"/>
      <c r="R214" s="1081"/>
      <c r="S214" s="1082"/>
      <c r="T214" s="1081"/>
      <c r="U214" s="1082"/>
      <c r="V214" s="1081"/>
      <c r="W214" s="1083"/>
      <c r="X214" s="1084"/>
      <c r="Y214" s="1085"/>
      <c r="Z214" s="1086"/>
      <c r="AA214" s="1082"/>
      <c r="AB214" s="1084"/>
      <c r="AC214" s="1082"/>
      <c r="AD214" s="1084"/>
      <c r="AE214" s="1082"/>
      <c r="AF214" s="1084"/>
      <c r="AG214" s="1082"/>
      <c r="AH214" s="470" t="str">
        <f>CA214&amp;CB214&amp;CC214&amp;CD214&amp;CE214&amp;CF214&amp;CG214&amp;CH214</f>
        <v/>
      </c>
      <c r="AI214" s="1042"/>
      <c r="CA214" s="620" t="str">
        <f>IF(AND(D214&gt;0,Z214="")," * No olvide digitar la variable Pueblos Originarios hombres (Digite Cero si no tiene).",IF(Z214&gt;D214," * La variable Pueblos Originarios hombres  no debe ser mayor que el Total de Hombres.",""))</f>
        <v/>
      </c>
      <c r="CB214" s="620" t="str">
        <f>IF(AND(E214&gt;0,AA214="")," * No olvide digitar la variable Pueblos Originarios Mujeres (Digite Cero si no tiene). Digite Cero si no tiene.",IF(AA214&gt;E214," * La variable Pueblos Originarios Mujeres no debe ser mayor que el Total de Mujeres",""))</f>
        <v/>
      </c>
      <c r="CC214" s="620" t="str">
        <f>IF(AND(D214&gt;0,AB214="")," * No olvide digitar la variable Migrantes hombres (Digite Cero si no tiene).",IF(AB214&gt;D214," * La variable Migrantes hombres  no debe ser mayor que el Total de Hombres",""))</f>
        <v/>
      </c>
      <c r="CD214" s="620" t="str">
        <f>IF(AND(E214&gt;0,AC214="")," * No olvide digitar la variable Migrantes Mujeres (Digite Cero si no tiene).",IF(AC214&gt;E214," * La variable Migrantes Mujeres no debe ser mayor que el Total de Mujeres",""))</f>
        <v/>
      </c>
      <c r="CE214" s="620" t="str">
        <f>IF(AND(D214&gt;0,AD214="")," * No olvide digitar la variable Usuarios con Discapacidad hombres (Digite Cero si no tiene).",IF(AD214&gt;D214," * La variable Usuarios con Discapacidad hombres  no debe ser mayor que el Total de Hombres",""))</f>
        <v/>
      </c>
      <c r="CF214" s="620" t="str">
        <f>IF(AND(E214&gt;0,AE214="")," * No olvide digitar la variable Usuarios con Discapacidad  Mujeres (Digite Cero si no tiene).",IF(AE214&gt;E214," * La variable Usuarios con Discapacidad Mujeres no debe ser mayor que el Total de Mujeres",""))</f>
        <v/>
      </c>
      <c r="CG214" s="620" t="str">
        <f t="shared" si="152"/>
        <v/>
      </c>
      <c r="CH214" s="620" t="str">
        <f>IF(AND(E214&gt;0,AG214="")," * No olvide digitar la variable "&amp;AF$200&amp;" Mujeres (Digite Cero si no tiene).",IF(AG214&gt;E214," * La variable "&amp;AF$200&amp;" Mujeres no debe ser mayor que el Total de Mujeres",""))</f>
        <v/>
      </c>
      <c r="CL214" s="470"/>
      <c r="CM214" s="470"/>
      <c r="CN214" s="470"/>
      <c r="CO214" s="470"/>
      <c r="CP214" s="470"/>
      <c r="CQ214" s="470"/>
      <c r="CR214" s="470"/>
      <c r="CS214" s="470"/>
      <c r="CT214" s="470"/>
      <c r="CU214" s="470"/>
      <c r="CV214" s="470"/>
      <c r="CW214" s="470"/>
      <c r="CX214" s="470"/>
      <c r="CY214" s="470"/>
      <c r="CZ214" s="470"/>
      <c r="DA214" s="470"/>
      <c r="DP214" s="501">
        <f>IF(AND(D214&gt;0,Z214=""),1,IF(Z214&gt;D214,1,0))</f>
        <v>0</v>
      </c>
      <c r="DQ214" s="501">
        <f>IF(AND(E214&gt;0,AA214=""),1,IF(AA214&gt;E214,1,0))</f>
        <v>0</v>
      </c>
      <c r="DR214" s="501">
        <f>IF(AND(D214&gt;0,AB214=""),1,IF(AB214&gt;D214,1,0))</f>
        <v>0</v>
      </c>
      <c r="DS214" s="501">
        <f>IF(AND(E214&gt;0,AC214=""),1,IF(AC214&gt;E214,1,0))</f>
        <v>0</v>
      </c>
      <c r="DT214" s="501">
        <f>IF(AND(D214&gt;0,AD214=""),1,IF(AD214&gt;D214,1,0))</f>
        <v>0</v>
      </c>
      <c r="DU214" s="501">
        <f>IF(AND(E214&gt;0,AE214=""),1,IF(AE214&gt;E214,1,0))</f>
        <v>0</v>
      </c>
      <c r="DV214" s="501">
        <f>IF(AND(D214&gt;0,AF214=""),1,IF(AF214&gt;D214,1,0))</f>
        <v>0</v>
      </c>
      <c r="DW214" s="501">
        <f>IF(AND(E214&gt;0,AG214=""),1,IF(AG214&gt;E214,1,0))</f>
        <v>0</v>
      </c>
    </row>
    <row r="215" spans="1:127" x14ac:dyDescent="0.25">
      <c r="A215" s="470"/>
      <c r="B215" s="470"/>
      <c r="C215" s="470"/>
      <c r="D215" s="470"/>
      <c r="E215" s="470"/>
      <c r="F215" s="470"/>
      <c r="G215" s="470"/>
      <c r="H215" s="470"/>
      <c r="I215" s="470"/>
      <c r="J215" s="470"/>
      <c r="K215" s="470"/>
      <c r="L215" s="470"/>
      <c r="M215" s="470"/>
      <c r="N215" s="470"/>
      <c r="O215" s="470"/>
      <c r="P215" s="470"/>
      <c r="Q215" s="470"/>
      <c r="R215" s="470"/>
      <c r="S215" s="470"/>
      <c r="T215" s="470"/>
      <c r="U215" s="470"/>
      <c r="V215" s="470"/>
      <c r="W215" s="470"/>
      <c r="X215" s="470"/>
      <c r="Y215" s="470"/>
      <c r="Z215" s="470"/>
      <c r="AA215" s="470"/>
      <c r="AB215" s="470"/>
      <c r="AC215" s="470"/>
      <c r="AD215" s="470"/>
      <c r="AE215" s="470"/>
      <c r="AF215" s="470"/>
      <c r="AG215" s="470"/>
      <c r="AH215" s="470"/>
      <c r="AI215" s="470"/>
      <c r="AJ215" s="470"/>
      <c r="AK215" s="470"/>
      <c r="AL215" s="470"/>
      <c r="AM215" s="470"/>
      <c r="AN215" s="470"/>
      <c r="AO215" s="470"/>
      <c r="AP215" s="470"/>
      <c r="AQ215" s="470"/>
      <c r="AR215" s="470"/>
      <c r="AS215" s="470"/>
      <c r="AT215" s="470"/>
      <c r="AU215" s="470"/>
      <c r="AV215" s="470"/>
    </row>
    <row r="216" spans="1:127" x14ac:dyDescent="0.25">
      <c r="A216" s="470"/>
      <c r="B216" s="470"/>
      <c r="C216" s="470"/>
      <c r="D216" s="470"/>
      <c r="E216" s="470"/>
      <c r="F216" s="470"/>
      <c r="G216" s="470"/>
      <c r="H216" s="470"/>
      <c r="I216" s="470"/>
      <c r="J216" s="470"/>
      <c r="K216" s="470"/>
      <c r="L216" s="470"/>
      <c r="M216" s="470"/>
      <c r="N216" s="470"/>
      <c r="O216" s="470"/>
      <c r="P216" s="470"/>
      <c r="Q216" s="470"/>
      <c r="R216" s="470"/>
      <c r="S216" s="470"/>
      <c r="T216" s="470"/>
      <c r="U216" s="470"/>
      <c r="V216" s="470"/>
      <c r="W216" s="470"/>
      <c r="X216" s="470"/>
      <c r="Y216" s="470"/>
      <c r="Z216" s="470"/>
      <c r="AA216" s="470"/>
      <c r="AB216" s="470"/>
      <c r="AC216" s="470"/>
      <c r="AD216" s="470"/>
      <c r="AE216" s="470"/>
      <c r="AF216" s="470"/>
      <c r="AG216" s="470"/>
      <c r="AH216" s="470"/>
      <c r="AI216" s="470"/>
      <c r="AJ216" s="470"/>
      <c r="AK216" s="470"/>
      <c r="AL216" s="470"/>
      <c r="AM216" s="470"/>
      <c r="AN216" s="470"/>
      <c r="AO216" s="470"/>
      <c r="AP216" s="470"/>
      <c r="AQ216" s="470"/>
      <c r="AR216" s="470"/>
      <c r="AS216" s="470"/>
      <c r="AT216" s="470"/>
      <c r="AU216" s="470"/>
      <c r="AV216" s="470"/>
    </row>
    <row r="217" spans="1:127" x14ac:dyDescent="0.25">
      <c r="A217" s="470"/>
      <c r="B217" s="470"/>
      <c r="C217" s="470"/>
      <c r="D217" s="470"/>
      <c r="E217" s="470"/>
      <c r="F217" s="470"/>
      <c r="G217" s="470"/>
      <c r="H217" s="470"/>
      <c r="I217" s="470"/>
      <c r="J217" s="470"/>
      <c r="K217" s="470"/>
      <c r="L217" s="470"/>
      <c r="M217" s="470"/>
      <c r="N217" s="470"/>
      <c r="O217" s="470"/>
      <c r="P217" s="470"/>
      <c r="Q217" s="470"/>
      <c r="R217" s="470"/>
      <c r="S217" s="470"/>
      <c r="T217" s="470"/>
      <c r="U217" s="470"/>
      <c r="V217" s="470"/>
      <c r="W217" s="470"/>
      <c r="X217" s="470"/>
      <c r="Y217" s="470"/>
      <c r="Z217" s="470"/>
      <c r="AA217" s="470"/>
      <c r="AB217" s="470"/>
      <c r="AC217" s="470"/>
      <c r="AD217" s="470"/>
      <c r="AE217" s="470"/>
      <c r="AF217" s="470"/>
      <c r="AG217" s="470"/>
      <c r="AH217" s="470"/>
      <c r="AI217" s="470"/>
      <c r="AJ217" s="470"/>
      <c r="AK217" s="470"/>
      <c r="AL217" s="470"/>
      <c r="AM217" s="470"/>
      <c r="AN217" s="470"/>
      <c r="AO217" s="470"/>
      <c r="AP217" s="470"/>
      <c r="AQ217" s="470"/>
      <c r="AR217" s="470"/>
      <c r="AS217" s="470"/>
      <c r="AT217" s="470"/>
      <c r="AU217" s="470"/>
      <c r="AV217" s="470"/>
    </row>
    <row r="218" spans="1:127" x14ac:dyDescent="0.25">
      <c r="A218" s="470"/>
      <c r="B218" s="470"/>
      <c r="C218" s="470"/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  <c r="R218" s="470"/>
      <c r="S218" s="470"/>
      <c r="T218" s="470"/>
      <c r="U218" s="470"/>
      <c r="V218" s="470"/>
      <c r="W218" s="470"/>
      <c r="X218" s="470"/>
      <c r="Y218" s="470"/>
      <c r="Z218" s="470"/>
      <c r="AA218" s="470"/>
      <c r="AB218" s="470"/>
      <c r="AC218" s="470"/>
      <c r="AD218" s="470"/>
      <c r="AE218" s="470"/>
      <c r="AF218" s="470"/>
      <c r="AG218" s="470"/>
      <c r="AH218" s="470"/>
      <c r="AI218" s="470"/>
      <c r="AJ218" s="470"/>
      <c r="AK218" s="470"/>
      <c r="AL218" s="470"/>
      <c r="AM218" s="470"/>
      <c r="AN218" s="470"/>
      <c r="AO218" s="470"/>
      <c r="AP218" s="470"/>
      <c r="AQ218" s="470"/>
      <c r="AR218" s="470"/>
      <c r="AS218" s="470"/>
      <c r="AT218" s="470"/>
      <c r="AU218" s="470"/>
      <c r="AV218" s="470"/>
    </row>
    <row r="219" spans="1:127" x14ac:dyDescent="0.25">
      <c r="A219" s="470"/>
      <c r="B219" s="470"/>
      <c r="C219" s="470"/>
      <c r="D219" s="470"/>
      <c r="E219" s="470"/>
      <c r="F219" s="470"/>
      <c r="G219" s="470"/>
      <c r="H219" s="470"/>
      <c r="I219" s="470"/>
      <c r="J219" s="470"/>
      <c r="K219" s="470"/>
      <c r="L219" s="470"/>
      <c r="M219" s="470"/>
      <c r="N219" s="470"/>
      <c r="O219" s="470"/>
      <c r="P219" s="470"/>
      <c r="Q219" s="470"/>
      <c r="R219" s="470"/>
      <c r="S219" s="470"/>
      <c r="T219" s="470"/>
      <c r="U219" s="470"/>
      <c r="V219" s="470"/>
      <c r="W219" s="470"/>
      <c r="X219" s="470"/>
      <c r="Y219" s="470"/>
      <c r="Z219" s="470"/>
      <c r="AA219" s="470"/>
      <c r="AB219" s="470"/>
      <c r="AC219" s="470"/>
      <c r="AD219" s="470"/>
      <c r="AE219" s="470"/>
      <c r="AF219" s="470"/>
      <c r="AG219" s="470"/>
      <c r="AH219" s="470"/>
      <c r="AI219" s="470"/>
      <c r="AJ219" s="470"/>
      <c r="AK219" s="470"/>
      <c r="AL219" s="470"/>
      <c r="AM219" s="470"/>
      <c r="AN219" s="470"/>
      <c r="AO219" s="470"/>
      <c r="AP219" s="470"/>
      <c r="AQ219" s="470"/>
      <c r="AR219" s="470"/>
      <c r="AS219" s="470"/>
      <c r="AT219" s="470"/>
      <c r="AU219" s="470"/>
      <c r="AV219" s="470"/>
    </row>
    <row r="220" spans="1:127" hidden="1" x14ac:dyDescent="0.25">
      <c r="A220" s="1087">
        <f>SUM(C12:C40,C45:C48,C50:C51,C53,C54:C55,C57:C58,C60:C63,C65:C70,C72,C74,C78:C105,C109:C111,C116:C117,C121:C125,C131:C134,C139:C140,C146:C190,C196:C198,C203,C206,C213,C214)</f>
        <v>0</v>
      </c>
      <c r="B220" s="1088" t="s">
        <v>204</v>
      </c>
      <c r="C220" s="470"/>
      <c r="D220" s="470"/>
      <c r="E220" s="470"/>
      <c r="F220" s="470"/>
      <c r="G220" s="470"/>
      <c r="H220" s="470"/>
      <c r="I220" s="470"/>
      <c r="J220" s="470"/>
      <c r="K220" s="470"/>
      <c r="L220" s="470"/>
      <c r="M220" s="470"/>
      <c r="N220" s="470"/>
      <c r="O220" s="470"/>
      <c r="P220" s="470"/>
      <c r="Q220" s="470"/>
      <c r="R220" s="470"/>
      <c r="S220" s="470"/>
      <c r="T220" s="470"/>
      <c r="U220" s="470"/>
      <c r="V220" s="470"/>
      <c r="W220" s="470"/>
      <c r="X220" s="470"/>
      <c r="Y220" s="470"/>
      <c r="Z220" s="470"/>
      <c r="AA220" s="470"/>
      <c r="AB220" s="470"/>
      <c r="AC220" s="470"/>
      <c r="AD220" s="470"/>
      <c r="AE220" s="470"/>
      <c r="AF220" s="470"/>
      <c r="AG220" s="470"/>
      <c r="AH220" s="470"/>
      <c r="AI220" s="470"/>
      <c r="AJ220" s="470"/>
      <c r="AK220" s="470"/>
      <c r="AL220" s="470"/>
      <c r="AM220" s="470"/>
      <c r="AN220" s="470"/>
      <c r="AO220" s="470"/>
      <c r="AP220" s="470"/>
      <c r="AQ220" s="470"/>
      <c r="AR220" s="470"/>
      <c r="AS220" s="470"/>
      <c r="AT220" s="470"/>
      <c r="AU220" s="470"/>
      <c r="AV220" s="470"/>
    </row>
    <row r="221" spans="1:127" hidden="1" x14ac:dyDescent="0.25">
      <c r="A221" s="1087">
        <f>SUM(DP$12:EU214)</f>
        <v>0</v>
      </c>
      <c r="B221" s="1088" t="s">
        <v>205</v>
      </c>
      <c r="C221" s="470"/>
      <c r="D221" s="470"/>
      <c r="E221" s="470"/>
      <c r="F221" s="470"/>
      <c r="G221" s="470"/>
      <c r="H221" s="470"/>
      <c r="I221" s="470"/>
      <c r="J221" s="470"/>
      <c r="K221" s="470"/>
      <c r="L221" s="470"/>
      <c r="M221" s="470"/>
      <c r="N221" s="470"/>
      <c r="O221" s="470"/>
      <c r="P221" s="470"/>
      <c r="Q221" s="470"/>
      <c r="R221" s="470"/>
      <c r="S221" s="470"/>
      <c r="T221" s="470"/>
      <c r="U221" s="470"/>
      <c r="V221" s="470"/>
      <c r="W221" s="470"/>
      <c r="X221" s="470"/>
      <c r="Y221" s="470"/>
      <c r="Z221" s="470"/>
      <c r="AA221" s="470"/>
      <c r="AB221" s="470"/>
      <c r="AC221" s="470"/>
      <c r="AD221" s="470"/>
      <c r="AE221" s="470"/>
      <c r="AF221" s="470"/>
      <c r="AG221" s="470"/>
      <c r="AH221" s="470"/>
      <c r="AI221" s="470"/>
      <c r="AJ221" s="470"/>
      <c r="AK221" s="470"/>
      <c r="AL221" s="470"/>
      <c r="AM221" s="470"/>
      <c r="AN221" s="470"/>
      <c r="AO221" s="470"/>
      <c r="AP221" s="470"/>
      <c r="AQ221" s="470"/>
      <c r="AR221" s="470"/>
      <c r="AS221" s="470"/>
      <c r="AT221" s="470"/>
      <c r="AU221" s="470"/>
      <c r="AV221" s="470"/>
    </row>
    <row r="222" spans="1:127" x14ac:dyDescent="0.25">
      <c r="A222" s="470"/>
      <c r="B222" s="470"/>
      <c r="C222" s="470"/>
      <c r="D222" s="470"/>
      <c r="E222" s="470"/>
      <c r="F222" s="470"/>
      <c r="G222" s="470"/>
      <c r="H222" s="470"/>
      <c r="I222" s="470"/>
      <c r="J222" s="470"/>
      <c r="K222" s="470"/>
      <c r="L222" s="470"/>
      <c r="M222" s="470"/>
      <c r="N222" s="470"/>
      <c r="O222" s="470"/>
      <c r="P222" s="470"/>
      <c r="Q222" s="470"/>
      <c r="R222" s="470"/>
      <c r="S222" s="470"/>
      <c r="T222" s="470"/>
      <c r="U222" s="470"/>
      <c r="V222" s="470"/>
      <c r="W222" s="470"/>
      <c r="X222" s="470"/>
      <c r="Y222" s="470"/>
      <c r="Z222" s="470"/>
      <c r="AA222" s="470"/>
      <c r="AB222" s="470"/>
      <c r="AC222" s="470"/>
      <c r="AD222" s="470"/>
      <c r="AE222" s="470"/>
      <c r="AF222" s="470"/>
      <c r="AG222" s="470"/>
      <c r="AH222" s="470"/>
      <c r="AI222" s="470"/>
      <c r="AJ222" s="470"/>
      <c r="AK222" s="470"/>
      <c r="AL222" s="470"/>
      <c r="AM222" s="470"/>
      <c r="AN222" s="470"/>
      <c r="AO222" s="470"/>
      <c r="AP222" s="470"/>
      <c r="AQ222" s="470"/>
      <c r="AR222" s="470"/>
      <c r="AS222" s="470"/>
      <c r="AT222" s="470"/>
      <c r="AU222" s="470"/>
      <c r="AV222" s="470"/>
    </row>
    <row r="223" spans="1:127" x14ac:dyDescent="0.25">
      <c r="A223" s="470"/>
      <c r="B223" s="470"/>
      <c r="C223" s="470"/>
      <c r="D223" s="470"/>
      <c r="E223" s="470"/>
      <c r="F223" s="470"/>
      <c r="G223" s="470"/>
      <c r="H223" s="470"/>
      <c r="I223" s="470"/>
      <c r="J223" s="470"/>
      <c r="K223" s="470"/>
      <c r="L223" s="470"/>
      <c r="M223" s="470"/>
      <c r="N223" s="470"/>
      <c r="O223" s="470"/>
      <c r="P223" s="470"/>
      <c r="Q223" s="470"/>
      <c r="R223" s="470"/>
      <c r="S223" s="470"/>
      <c r="T223" s="470"/>
      <c r="U223" s="470"/>
      <c r="V223" s="470"/>
      <c r="W223" s="470"/>
      <c r="X223" s="470"/>
      <c r="Y223" s="470"/>
      <c r="Z223" s="470"/>
      <c r="AA223" s="470"/>
      <c r="AB223" s="470"/>
      <c r="AC223" s="470"/>
      <c r="AD223" s="470"/>
      <c r="AE223" s="470"/>
      <c r="AF223" s="470"/>
      <c r="AG223" s="470"/>
      <c r="AH223" s="470"/>
      <c r="AI223" s="470"/>
      <c r="AJ223" s="470"/>
      <c r="AK223" s="470"/>
      <c r="AL223" s="470"/>
      <c r="AM223" s="470"/>
      <c r="AN223" s="470"/>
      <c r="AO223" s="470"/>
      <c r="AP223" s="470"/>
      <c r="AQ223" s="470"/>
      <c r="AR223" s="470"/>
      <c r="AS223" s="470"/>
      <c r="AT223" s="470"/>
      <c r="AU223" s="470"/>
      <c r="AV223" s="470"/>
    </row>
    <row r="224" spans="1:127" x14ac:dyDescent="0.25">
      <c r="A224" s="470"/>
      <c r="B224" s="470"/>
      <c r="C224" s="470"/>
      <c r="D224" s="470"/>
      <c r="E224" s="470"/>
      <c r="F224" s="470"/>
      <c r="G224" s="470"/>
      <c r="H224" s="470"/>
      <c r="I224" s="470"/>
      <c r="J224" s="470"/>
      <c r="K224" s="470"/>
      <c r="L224" s="470"/>
      <c r="M224" s="470"/>
      <c r="N224" s="470"/>
      <c r="O224" s="470"/>
      <c r="P224" s="470"/>
      <c r="Q224" s="470"/>
      <c r="R224" s="470"/>
      <c r="S224" s="470"/>
      <c r="T224" s="470"/>
      <c r="U224" s="470"/>
      <c r="V224" s="470"/>
      <c r="W224" s="470"/>
      <c r="X224" s="470"/>
      <c r="Y224" s="470"/>
      <c r="Z224" s="470"/>
      <c r="AA224" s="470"/>
      <c r="AB224" s="470"/>
      <c r="AC224" s="470"/>
      <c r="AD224" s="470"/>
      <c r="AE224" s="470"/>
      <c r="AF224" s="470"/>
      <c r="AG224" s="470"/>
      <c r="AH224" s="470"/>
      <c r="AI224" s="470"/>
      <c r="AJ224" s="470"/>
      <c r="AK224" s="470"/>
      <c r="AL224" s="470"/>
      <c r="AM224" s="470"/>
      <c r="AN224" s="470"/>
      <c r="AO224" s="470"/>
      <c r="AP224" s="470"/>
      <c r="AQ224" s="470"/>
      <c r="AR224" s="470"/>
      <c r="AS224" s="470"/>
      <c r="AT224" s="470"/>
      <c r="AU224" s="470"/>
      <c r="AV224" s="470"/>
    </row>
  </sheetData>
  <sheetProtection algorithmName="SHA-512" hashValue="/YuapkZcpUS/ESnRDmQhw5WQOn2GvbZKziQUpTL/VogxDsS2Rlm+oMKkgLU630NKHpNA4zF8yoDTaGCnsV6+Og==" saltValue="4pun3g9nS+7E/LzJKm4KpQ==" spinCount="100000" sheet="1" objects="1" scenarios="1"/>
  <dataConsolidate/>
  <mergeCells count="222">
    <mergeCell ref="A205:B205"/>
    <mergeCell ref="A76:G76"/>
    <mergeCell ref="A41:O41"/>
    <mergeCell ref="A8:Q8"/>
    <mergeCell ref="A127:K127"/>
    <mergeCell ref="A136:I136"/>
    <mergeCell ref="A142:AQ142"/>
    <mergeCell ref="A191:AQ191"/>
    <mergeCell ref="A199:Y199"/>
    <mergeCell ref="A118:C118"/>
    <mergeCell ref="A113:F113"/>
    <mergeCell ref="A106:K106"/>
    <mergeCell ref="A134:B134"/>
    <mergeCell ref="C143:E144"/>
    <mergeCell ref="A77:B77"/>
    <mergeCell ref="D137:I137"/>
    <mergeCell ref="AD10:AE10"/>
    <mergeCell ref="F9:AG9"/>
    <mergeCell ref="A74:B74"/>
    <mergeCell ref="A65:A73"/>
    <mergeCell ref="A147:B147"/>
    <mergeCell ref="J129:K129"/>
    <mergeCell ref="F144:G144"/>
    <mergeCell ref="F128:K128"/>
    <mergeCell ref="L128:L130"/>
    <mergeCell ref="F129:G129"/>
    <mergeCell ref="H129:I129"/>
    <mergeCell ref="E107:E108"/>
    <mergeCell ref="D107:D108"/>
    <mergeCell ref="A141:B141"/>
    <mergeCell ref="A140:B140"/>
    <mergeCell ref="A139:B139"/>
    <mergeCell ref="A137:B138"/>
    <mergeCell ref="AT143:AU144"/>
    <mergeCell ref="AH144:AI144"/>
    <mergeCell ref="AN144:AO144"/>
    <mergeCell ref="AP144:AQ144"/>
    <mergeCell ref="AF144:AG144"/>
    <mergeCell ref="T144:U144"/>
    <mergeCell ref="V144:W144"/>
    <mergeCell ref="X144:Y144"/>
    <mergeCell ref="Z144:AA144"/>
    <mergeCell ref="AB144:AC144"/>
    <mergeCell ref="AD144:AE144"/>
    <mergeCell ref="AJ144:AK144"/>
    <mergeCell ref="AL144:AM144"/>
    <mergeCell ref="F143:AQ143"/>
    <mergeCell ref="AR143:AS144"/>
    <mergeCell ref="P144:Q144"/>
    <mergeCell ref="R144:S144"/>
    <mergeCell ref="L144:M144"/>
    <mergeCell ref="N144:O144"/>
    <mergeCell ref="H144:I144"/>
    <mergeCell ref="J144:K144"/>
    <mergeCell ref="A19:A24"/>
    <mergeCell ref="A12:B12"/>
    <mergeCell ref="A13:A18"/>
    <mergeCell ref="A25:A31"/>
    <mergeCell ref="A6:X6"/>
    <mergeCell ref="P10:Q10"/>
    <mergeCell ref="R10:S10"/>
    <mergeCell ref="H10:I10"/>
    <mergeCell ref="J10:K10"/>
    <mergeCell ref="L10:M10"/>
    <mergeCell ref="A9:B11"/>
    <mergeCell ref="F10:G10"/>
    <mergeCell ref="N10:O10"/>
    <mergeCell ref="C9:E10"/>
    <mergeCell ref="T10:U10"/>
    <mergeCell ref="A40:B40"/>
    <mergeCell ref="N43:O43"/>
    <mergeCell ref="A54:A60"/>
    <mergeCell ref="A61:A64"/>
    <mergeCell ref="R43:S43"/>
    <mergeCell ref="A42:B44"/>
    <mergeCell ref="P43:Q43"/>
    <mergeCell ref="H43:I43"/>
    <mergeCell ref="J43:K43"/>
    <mergeCell ref="L43:M43"/>
    <mergeCell ref="F42:S42"/>
    <mergeCell ref="A45:B45"/>
    <mergeCell ref="A46:A53"/>
    <mergeCell ref="C42:E43"/>
    <mergeCell ref="F43:G43"/>
    <mergeCell ref="A151:B151"/>
    <mergeCell ref="A152:B152"/>
    <mergeCell ref="A153:B153"/>
    <mergeCell ref="A143:B145"/>
    <mergeCell ref="A168:B168"/>
    <mergeCell ref="A75:T75"/>
    <mergeCell ref="M107:M108"/>
    <mergeCell ref="N107:N108"/>
    <mergeCell ref="A85:A91"/>
    <mergeCell ref="A78:A84"/>
    <mergeCell ref="L107:L108"/>
    <mergeCell ref="G107:G108"/>
    <mergeCell ref="F107:F108"/>
    <mergeCell ref="A92:A98"/>
    <mergeCell ref="A107:B108"/>
    <mergeCell ref="C107:C108"/>
    <mergeCell ref="I107:I108"/>
    <mergeCell ref="A99:A105"/>
    <mergeCell ref="A133:B133"/>
    <mergeCell ref="K107:K108"/>
    <mergeCell ref="H107:H108"/>
    <mergeCell ref="J107:J108"/>
    <mergeCell ref="C137:C138"/>
    <mergeCell ref="A109:A112"/>
    <mergeCell ref="A146:B146"/>
    <mergeCell ref="A163:B163"/>
    <mergeCell ref="A132:B132"/>
    <mergeCell ref="C114:C115"/>
    <mergeCell ref="A121:B121"/>
    <mergeCell ref="A124:B124"/>
    <mergeCell ref="C119:C120"/>
    <mergeCell ref="A123:B123"/>
    <mergeCell ref="A119:B120"/>
    <mergeCell ref="A117:B117"/>
    <mergeCell ref="C128:E129"/>
    <mergeCell ref="A162:B162"/>
    <mergeCell ref="A116:B116"/>
    <mergeCell ref="A114:B115"/>
    <mergeCell ref="A126:B126"/>
    <mergeCell ref="A135:B135"/>
    <mergeCell ref="A154:B154"/>
    <mergeCell ref="A125:B125"/>
    <mergeCell ref="A122:B122"/>
    <mergeCell ref="A128:B130"/>
    <mergeCell ref="A131:B131"/>
    <mergeCell ref="A149:B149"/>
    <mergeCell ref="A148:B148"/>
    <mergeCell ref="A150:B150"/>
    <mergeCell ref="AR192:AS193"/>
    <mergeCell ref="AT192:AU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Z193:AA193"/>
    <mergeCell ref="AB193:AC193"/>
    <mergeCell ref="AD193:AE193"/>
    <mergeCell ref="AF193:AG193"/>
    <mergeCell ref="AH193:AI193"/>
    <mergeCell ref="AJ193:AK193"/>
    <mergeCell ref="AL193:AM193"/>
    <mergeCell ref="AN193:AO193"/>
    <mergeCell ref="AP193:AQ193"/>
    <mergeCell ref="F192:AQ192"/>
    <mergeCell ref="F200:Y200"/>
    <mergeCell ref="Z200:AA201"/>
    <mergeCell ref="AB200:AC201"/>
    <mergeCell ref="A190:B190"/>
    <mergeCell ref="A157:B157"/>
    <mergeCell ref="A158:B158"/>
    <mergeCell ref="A182:B182"/>
    <mergeCell ref="A161:B161"/>
    <mergeCell ref="A176:B176"/>
    <mergeCell ref="A189:B189"/>
    <mergeCell ref="A160:B160"/>
    <mergeCell ref="A175:B175"/>
    <mergeCell ref="A179:B179"/>
    <mergeCell ref="C192:E193"/>
    <mergeCell ref="A178:B178"/>
    <mergeCell ref="A169:B169"/>
    <mergeCell ref="A171:B171"/>
    <mergeCell ref="A192:B194"/>
    <mergeCell ref="A173:B173"/>
    <mergeCell ref="A177:B177"/>
    <mergeCell ref="A207:A213"/>
    <mergeCell ref="A214:B214"/>
    <mergeCell ref="A167:B167"/>
    <mergeCell ref="A156:B156"/>
    <mergeCell ref="A174:B174"/>
    <mergeCell ref="A183:B183"/>
    <mergeCell ref="A165:B165"/>
    <mergeCell ref="A159:B159"/>
    <mergeCell ref="A164:B164"/>
    <mergeCell ref="A185:B185"/>
    <mergeCell ref="A186:B186"/>
    <mergeCell ref="A187:B187"/>
    <mergeCell ref="A188:B188"/>
    <mergeCell ref="A166:B166"/>
    <mergeCell ref="A180:B180"/>
    <mergeCell ref="A181:B181"/>
    <mergeCell ref="A200:B202"/>
    <mergeCell ref="A195:B195"/>
    <mergeCell ref="A196:B196"/>
    <mergeCell ref="A197:B197"/>
    <mergeCell ref="A198:B198"/>
    <mergeCell ref="A184:B184"/>
    <mergeCell ref="A170:B170"/>
    <mergeCell ref="A204:B204"/>
    <mergeCell ref="AH9:AI10"/>
    <mergeCell ref="AJ9:AK10"/>
    <mergeCell ref="V10:W10"/>
    <mergeCell ref="X10:Y10"/>
    <mergeCell ref="Z10:AA10"/>
    <mergeCell ref="AB10:AC10"/>
    <mergeCell ref="AF10:AG10"/>
    <mergeCell ref="A32:A39"/>
    <mergeCell ref="A203:B203"/>
    <mergeCell ref="AD200:AE201"/>
    <mergeCell ref="AF200:AG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A155:B155"/>
    <mergeCell ref="A172:B172"/>
    <mergeCell ref="C200:E201"/>
  </mergeCells>
  <dataValidations count="15">
    <dataValidation allowBlank="1" showInputMessage="1" showErrorMessage="1" errorTitle="Error de ingreso" error="Debe ingresar sólo números enteros positivos." sqref="A220:B221 AL12:AL40" xr:uid="{00000000-0002-0000-0200-000000000000}"/>
    <dataValidation type="whole" operator="greaterThanOrEqual" allowBlank="1" showInputMessage="1" showErrorMessage="1" sqref="F45:S74 D78:G105 D109:K111 L110:N111 M109:N109 C116:C117 C121:C125 AI204:AI214 D139:I140 H32:AK39 F196:AU198 F146:AU190 F40:AK40 F12:AK31 F131:L134 F204:AG206 F214:AG214" xr:uid="{00000000-0002-0000-0200-000001000000}">
      <formula1>0</formula1>
    </dataValidation>
    <dataValidation operator="greaterThanOrEqual" allowBlank="1" showInputMessage="1" showErrorMessage="1" sqref="AH203:AH214" xr:uid="{D9658C48-19B5-4079-9C05-E5C48D7914F8}"/>
    <dataValidation type="whole" allowBlank="1" showInputMessage="1" showErrorMessage="1" sqref="L109 G39" xr:uid="{440468F8-31B2-489A-ABB1-61D10DC11477}">
      <formula1>0</formula1>
      <formula2>9.99999999999999E+44</formula2>
    </dataValidation>
    <dataValidation type="whole" allowBlank="1" showInputMessage="1" showErrorMessage="1" sqref="F32" xr:uid="{9D4EB95A-9DFC-4D33-A678-D5E505204CF3}">
      <formula1>0</formula1>
      <formula2>9.99999999999999E+33</formula2>
    </dataValidation>
    <dataValidation type="whole" allowBlank="1" showInputMessage="1" showErrorMessage="1" sqref="F33 G37" xr:uid="{5AD12FB4-FE09-450D-BB7C-C7D37F9E314B}">
      <formula1>0</formula1>
      <formula2>9.99999999999999E+37</formula2>
    </dataValidation>
    <dataValidation type="whole" allowBlank="1" showInputMessage="1" showErrorMessage="1" sqref="F34" xr:uid="{84C86BB0-EFA1-4A6E-B1AF-CE5739D82D5D}">
      <formula1>0</formula1>
      <formula2>9.99999999999999E+36</formula2>
    </dataValidation>
    <dataValidation type="whole" allowBlank="1" showInputMessage="1" showErrorMessage="1" sqref="F35:G35" xr:uid="{557290DE-2A08-44B8-8233-F76A4A2ACA0B}">
      <formula1>0</formula1>
      <formula2>9.99999999999999E+39</formula2>
    </dataValidation>
    <dataValidation type="whole" allowBlank="1" showInputMessage="1" showErrorMessage="1" sqref="F36 F38 G33:G34" xr:uid="{80260CF0-31FE-48A8-AFC8-8C6FA5D6D6C7}">
      <formula1>0</formula1>
      <formula2>9.99999999999999E+41</formula2>
    </dataValidation>
    <dataValidation type="whole" allowBlank="1" showInputMessage="1" showErrorMessage="1" sqref="F37" xr:uid="{8FFDC060-D19E-446F-8719-93793301E999}">
      <formula1>0</formula1>
      <formula2>9.99999999999999E+43</formula2>
    </dataValidation>
    <dataValidation type="whole" allowBlank="1" showInputMessage="1" showErrorMessage="1" sqref="F39" xr:uid="{CAF0A814-913C-4CE4-BE2A-5E5B59CA96D9}">
      <formula1>0</formula1>
      <formula2>9.99999999999999E+42</formula2>
    </dataValidation>
    <dataValidation type="whole" allowBlank="1" showInputMessage="1" showErrorMessage="1" sqref="G32" xr:uid="{ECCEDBB6-FF86-41BF-9E60-F023979423F6}">
      <formula1>0</formula1>
      <formula2>9.99999999999999E+45</formula2>
    </dataValidation>
    <dataValidation type="whole" allowBlank="1" showInputMessage="1" showErrorMessage="1" sqref="G36" xr:uid="{B2C93AB9-52E6-4C83-90F4-06D47466AB19}">
      <formula1>0</formula1>
      <formula2>9.99999999999999E+38</formula2>
    </dataValidation>
    <dataValidation type="whole" allowBlank="1" showInputMessage="1" showErrorMessage="1" sqref="G38" xr:uid="{0009055A-2230-4A2D-8778-079E9367E5F2}">
      <formula1>0</formula1>
      <formula2>9.99999999999999E+34</formula2>
    </dataValidation>
    <dataValidation type="whole" operator="equal" allowBlank="1" showInputMessage="1" showErrorMessage="1" sqref="A207:AG213" xr:uid="{C1C56EE1-0612-4DA3-A3DA-31EBB7B7A8D6}">
      <formula1>0</formula1>
    </dataValidation>
  </dataValidations>
  <pageMargins left="0.7" right="0.7" top="0.75" bottom="0.75" header="0.3" footer="0.3"/>
  <pageSetup orientation="portrait" r:id="rId1"/>
  <ignoredErrors>
    <ignoredError sqref="AI15:AJ1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CZ95"/>
  <sheetViews>
    <sheetView showGridLines="0" zoomScaleNormal="100" workbookViewId="0"/>
  </sheetViews>
  <sheetFormatPr baseColWidth="10" defaultColWidth="11.42578125" defaultRowHeight="15" x14ac:dyDescent="0.25"/>
  <cols>
    <col min="1" max="1" width="33.5703125" style="470" customWidth="1"/>
    <col min="2" max="2" width="42.28515625" style="470" customWidth="1"/>
    <col min="3" max="3" width="16.85546875" style="470" customWidth="1"/>
    <col min="4" max="4" width="14.28515625" style="470" customWidth="1"/>
    <col min="5" max="5" width="12.85546875" style="470" customWidth="1"/>
    <col min="6" max="14" width="14.7109375" style="470" customWidth="1"/>
    <col min="15" max="39" width="9.85546875" style="470" customWidth="1"/>
    <col min="40" max="40" width="11.42578125" style="470"/>
    <col min="41" max="41" width="11.42578125" style="468"/>
    <col min="42" max="42" width="11.42578125" style="470"/>
    <col min="43" max="45" width="11.28515625" style="470" customWidth="1"/>
    <col min="46" max="50" width="11.42578125" style="470" customWidth="1"/>
    <col min="51" max="51" width="11" style="470" customWidth="1"/>
    <col min="52" max="52" width="11" style="471" customWidth="1"/>
    <col min="53" max="67" width="11.42578125" customWidth="1"/>
    <col min="68" max="68" width="11" style="471" customWidth="1"/>
    <col min="69" max="69" width="11" style="470" customWidth="1"/>
    <col min="70" max="75" width="11.42578125" style="470" customWidth="1"/>
    <col min="76" max="76" width="18.5703125" style="470" customWidth="1"/>
    <col min="77" max="77" width="11.42578125" style="470" customWidth="1"/>
    <col min="78" max="78" width="11.42578125" style="470" hidden="1" customWidth="1"/>
    <col min="79" max="93" width="11" style="470" hidden="1" customWidth="1"/>
    <col min="94" max="104" width="11.42578125" style="470" hidden="1" customWidth="1"/>
    <col min="105" max="130" width="11.42578125" style="470" customWidth="1"/>
    <col min="131" max="16384" width="11.42578125" style="470"/>
  </cols>
  <sheetData>
    <row r="1" spans="1:95" s="468" customFormat="1" ht="13.5" customHeight="1" x14ac:dyDescent="0.15">
      <c r="A1" s="466" t="s">
        <v>0</v>
      </c>
      <c r="AZ1" s="467"/>
      <c r="BP1" s="467"/>
    </row>
    <row r="2" spans="1:95" s="468" customFormat="1" ht="13.5" customHeight="1" x14ac:dyDescent="0.15">
      <c r="A2" s="466" t="str">
        <f>CONCATENATE("COMUNA: ",NOMBRE!$B$2,"   ","( ",NOMBRE!$C$2,NOMBRE!$D$2,NOMBRE!$E$2,NOMBRE!$F$2,NOMBRE!$G$2," )")</f>
        <v>COMUNA:    (  )</v>
      </c>
      <c r="AZ2" s="467"/>
      <c r="BP2" s="467"/>
    </row>
    <row r="3" spans="1:95" s="468" customFormat="1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  <c r="D3" s="1089"/>
      <c r="AZ3" s="467"/>
      <c r="BP3" s="467"/>
    </row>
    <row r="4" spans="1:95" s="468" customFormat="1" ht="13.5" customHeight="1" x14ac:dyDescent="0.15">
      <c r="A4" s="466" t="str">
        <f>CONCATENATE("MES: ",NOMBRE!$B$6,"   ","( ",NOMBRE!$C$6,NOMBRE!$D$6," )")</f>
        <v>MES:    (  )</v>
      </c>
      <c r="AZ4" s="467"/>
      <c r="BP4" s="467"/>
    </row>
    <row r="5" spans="1:95" s="468" customFormat="1" ht="13.5" customHeight="1" x14ac:dyDescent="0.15">
      <c r="A5" s="466" t="str">
        <f>CONCATENATE("AÑO: ",NOMBRE!$B$7)</f>
        <v>AÑO: 2026</v>
      </c>
      <c r="AZ5" s="467"/>
      <c r="BP5" s="467"/>
    </row>
    <row r="6" spans="1:95" s="468" customFormat="1" ht="15" customHeight="1" x14ac:dyDescent="0.15">
      <c r="A6" s="1090"/>
      <c r="F6" s="1091"/>
      <c r="G6" s="1091"/>
      <c r="H6" s="1091"/>
      <c r="I6" s="1091"/>
      <c r="J6" s="1091"/>
      <c r="K6" s="1091"/>
      <c r="AZ6" s="467"/>
      <c r="BP6" s="467"/>
    </row>
    <row r="7" spans="1:95" ht="21.75" customHeight="1" x14ac:dyDescent="0.25">
      <c r="A7" s="2047" t="s">
        <v>390</v>
      </c>
      <c r="B7" s="2047"/>
      <c r="C7" s="2047"/>
      <c r="D7" s="2047"/>
      <c r="E7" s="2047"/>
      <c r="F7" s="2047"/>
      <c r="G7" s="2047"/>
      <c r="H7" s="2047"/>
      <c r="I7" s="2047"/>
      <c r="J7" s="2047"/>
      <c r="K7" s="2047"/>
      <c r="L7" s="2047"/>
      <c r="M7" s="2047"/>
      <c r="N7" s="2047"/>
      <c r="O7" s="2047"/>
      <c r="P7" s="2047"/>
      <c r="Q7" s="2047"/>
      <c r="R7" s="2047"/>
      <c r="S7" s="2047"/>
      <c r="T7" s="2047"/>
      <c r="U7" s="1091"/>
      <c r="V7" s="1091"/>
      <c r="W7" s="1091"/>
      <c r="X7" s="1091"/>
      <c r="Y7" s="1091"/>
    </row>
    <row r="8" spans="1:95" ht="17.100000000000001" customHeight="1" x14ac:dyDescent="0.25">
      <c r="A8" s="1092" t="s">
        <v>391</v>
      </c>
      <c r="B8" s="1093"/>
      <c r="C8" s="1094"/>
      <c r="D8" s="1095"/>
      <c r="E8" s="1095"/>
      <c r="F8" s="1095"/>
      <c r="G8" s="1095"/>
      <c r="H8" s="1095"/>
      <c r="I8" s="1095"/>
      <c r="J8" s="1095"/>
      <c r="K8" s="1096"/>
      <c r="L8" s="1095"/>
      <c r="M8" s="1095"/>
      <c r="N8" s="1097"/>
      <c r="O8" s="1097"/>
      <c r="AC8" s="1020"/>
    </row>
    <row r="9" spans="1:95" ht="18.75" customHeight="1" x14ac:dyDescent="0.25">
      <c r="A9" s="2097" t="s">
        <v>392</v>
      </c>
      <c r="B9" s="2097"/>
      <c r="C9" s="1908" t="s">
        <v>49</v>
      </c>
      <c r="D9" s="1909"/>
      <c r="E9" s="1910"/>
      <c r="F9" s="2085" t="s">
        <v>370</v>
      </c>
      <c r="G9" s="2086"/>
      <c r="H9" s="2086"/>
      <c r="I9" s="2086"/>
      <c r="J9" s="2086"/>
      <c r="K9" s="2086"/>
      <c r="L9" s="2086"/>
      <c r="M9" s="2086"/>
      <c r="N9" s="2086"/>
      <c r="O9" s="2086"/>
      <c r="P9" s="2086"/>
      <c r="Q9" s="2086"/>
      <c r="R9" s="2086"/>
      <c r="S9" s="2086"/>
      <c r="T9" s="2086"/>
      <c r="U9" s="2086"/>
      <c r="V9" s="2086"/>
      <c r="W9" s="2086"/>
      <c r="X9" s="2086"/>
      <c r="Y9" s="2086"/>
      <c r="Z9" s="2086"/>
      <c r="AA9" s="2086"/>
      <c r="AB9" s="2086"/>
      <c r="AC9" s="2086"/>
      <c r="AD9" s="2086"/>
      <c r="AE9" s="2086"/>
      <c r="AF9" s="2086"/>
      <c r="AG9" s="2086"/>
      <c r="AH9" s="2086"/>
      <c r="AI9" s="2086"/>
      <c r="AJ9" s="2086"/>
      <c r="AK9" s="2086"/>
      <c r="AL9" s="2086"/>
      <c r="AM9" s="2087"/>
      <c r="AN9" s="2078" t="s">
        <v>393</v>
      </c>
      <c r="AO9" s="2048" t="s">
        <v>51</v>
      </c>
      <c r="AP9" s="2049"/>
      <c r="AQ9" s="2089" t="s">
        <v>108</v>
      </c>
      <c r="AR9" s="2075"/>
      <c r="AY9" s="471"/>
      <c r="AZ9"/>
      <c r="BO9" s="471"/>
      <c r="BP9" s="470"/>
    </row>
    <row r="10" spans="1:95" ht="20.25" customHeight="1" x14ac:dyDescent="0.25">
      <c r="A10" s="2098"/>
      <c r="B10" s="2098"/>
      <c r="C10" s="1911"/>
      <c r="D10" s="1912"/>
      <c r="E10" s="1913"/>
      <c r="F10" s="2081" t="s">
        <v>394</v>
      </c>
      <c r="G10" s="2082"/>
      <c r="H10" s="2081" t="s">
        <v>395</v>
      </c>
      <c r="I10" s="2082"/>
      <c r="J10" s="2081" t="s">
        <v>314</v>
      </c>
      <c r="K10" s="2082"/>
      <c r="L10" s="2066" t="s">
        <v>57</v>
      </c>
      <c r="M10" s="2066"/>
      <c r="N10" s="2066" t="s">
        <v>58</v>
      </c>
      <c r="O10" s="2066"/>
      <c r="P10" s="2066" t="s">
        <v>59</v>
      </c>
      <c r="Q10" s="2066"/>
      <c r="R10" s="1841" t="s">
        <v>60</v>
      </c>
      <c r="S10" s="1843"/>
      <c r="T10" s="2066" t="s">
        <v>61</v>
      </c>
      <c r="U10" s="2066"/>
      <c r="V10" s="1841" t="s">
        <v>62</v>
      </c>
      <c r="W10" s="1843"/>
      <c r="X10" s="2066" t="s">
        <v>63</v>
      </c>
      <c r="Y10" s="2066"/>
      <c r="Z10" s="1841" t="s">
        <v>64</v>
      </c>
      <c r="AA10" s="1843"/>
      <c r="AB10" s="2066" t="s">
        <v>65</v>
      </c>
      <c r="AC10" s="2066"/>
      <c r="AD10" s="1841" t="s">
        <v>66</v>
      </c>
      <c r="AE10" s="1843"/>
      <c r="AF10" s="2083" t="s">
        <v>67</v>
      </c>
      <c r="AG10" s="2084"/>
      <c r="AH10" s="2083" t="s">
        <v>396</v>
      </c>
      <c r="AI10" s="2084"/>
      <c r="AJ10" s="2083" t="s">
        <v>397</v>
      </c>
      <c r="AK10" s="2084"/>
      <c r="AL10" s="2083" t="s">
        <v>398</v>
      </c>
      <c r="AM10" s="2088"/>
      <c r="AN10" s="2079"/>
      <c r="AO10" s="2050"/>
      <c r="AP10" s="2051"/>
      <c r="AQ10" s="2076"/>
      <c r="AR10" s="2051"/>
      <c r="AY10" s="471"/>
      <c r="AZ10"/>
      <c r="BO10" s="471"/>
      <c r="BP10" s="470"/>
    </row>
    <row r="11" spans="1:95" ht="21" x14ac:dyDescent="0.25">
      <c r="A11" s="2098"/>
      <c r="B11" s="2098"/>
      <c r="C11" s="1004" t="s">
        <v>399</v>
      </c>
      <c r="D11" s="1098" t="s">
        <v>86</v>
      </c>
      <c r="E11" s="1099" t="s">
        <v>225</v>
      </c>
      <c r="F11" s="1100" t="s">
        <v>86</v>
      </c>
      <c r="G11" s="1099" t="s">
        <v>225</v>
      </c>
      <c r="H11" s="1100" t="s">
        <v>86</v>
      </c>
      <c r="I11" s="1099" t="s">
        <v>225</v>
      </c>
      <c r="J11" s="1100" t="s">
        <v>86</v>
      </c>
      <c r="K11" s="1099" t="s">
        <v>225</v>
      </c>
      <c r="L11" s="1101" t="s">
        <v>86</v>
      </c>
      <c r="M11" s="1102" t="s">
        <v>225</v>
      </c>
      <c r="N11" s="1101" t="s">
        <v>86</v>
      </c>
      <c r="O11" s="1102" t="s">
        <v>225</v>
      </c>
      <c r="P11" s="1101" t="s">
        <v>86</v>
      </c>
      <c r="Q11" s="1102" t="s">
        <v>225</v>
      </c>
      <c r="R11" s="1103" t="s">
        <v>86</v>
      </c>
      <c r="S11" s="1104" t="s">
        <v>225</v>
      </c>
      <c r="T11" s="1101" t="s">
        <v>86</v>
      </c>
      <c r="U11" s="1102" t="s">
        <v>225</v>
      </c>
      <c r="V11" s="1103" t="s">
        <v>86</v>
      </c>
      <c r="W11" s="1104" t="s">
        <v>225</v>
      </c>
      <c r="X11" s="1101" t="s">
        <v>86</v>
      </c>
      <c r="Y11" s="1102" t="s">
        <v>225</v>
      </c>
      <c r="Z11" s="1103" t="s">
        <v>86</v>
      </c>
      <c r="AA11" s="1104" t="s">
        <v>225</v>
      </c>
      <c r="AB11" s="1101" t="s">
        <v>86</v>
      </c>
      <c r="AC11" s="1102" t="s">
        <v>225</v>
      </c>
      <c r="AD11" s="1103" t="s">
        <v>86</v>
      </c>
      <c r="AE11" s="1104" t="s">
        <v>225</v>
      </c>
      <c r="AF11" s="1105" t="s">
        <v>400</v>
      </c>
      <c r="AG11" s="1106" t="s">
        <v>225</v>
      </c>
      <c r="AH11" s="1105" t="s">
        <v>400</v>
      </c>
      <c r="AI11" s="1106" t="s">
        <v>225</v>
      </c>
      <c r="AJ11" s="1105" t="s">
        <v>400</v>
      </c>
      <c r="AK11" s="1106" t="s">
        <v>225</v>
      </c>
      <c r="AL11" s="1105" t="s">
        <v>400</v>
      </c>
      <c r="AM11" s="1107" t="s">
        <v>225</v>
      </c>
      <c r="AN11" s="2080"/>
      <c r="AO11" s="1105" t="s">
        <v>400</v>
      </c>
      <c r="AP11" s="1106" t="s">
        <v>225</v>
      </c>
      <c r="AQ11" s="1581" t="s">
        <v>400</v>
      </c>
      <c r="AR11" s="1106" t="s">
        <v>225</v>
      </c>
      <c r="AY11" s="471"/>
      <c r="AZ11"/>
      <c r="BO11" s="471"/>
      <c r="BP11" s="470"/>
    </row>
    <row r="12" spans="1:95" ht="15" customHeight="1" x14ac:dyDescent="0.25">
      <c r="A12" s="2069" t="s">
        <v>401</v>
      </c>
      <c r="B12" s="992" t="s">
        <v>279</v>
      </c>
      <c r="C12" s="1110">
        <f>SUM(D12:E12)</f>
        <v>0</v>
      </c>
      <c r="D12" s="1111">
        <f>+F12</f>
        <v>0</v>
      </c>
      <c r="E12" s="1112">
        <f>+G12</f>
        <v>0</v>
      </c>
      <c r="F12" s="1609"/>
      <c r="G12" s="1610"/>
      <c r="H12" s="1113"/>
      <c r="I12" s="1114"/>
      <c r="J12" s="1113"/>
      <c r="K12" s="1114"/>
      <c r="L12" s="1113"/>
      <c r="M12" s="1114"/>
      <c r="N12" s="1113"/>
      <c r="O12" s="1114"/>
      <c r="P12" s="1113"/>
      <c r="Q12" s="1114"/>
      <c r="R12" s="1113"/>
      <c r="S12" s="1114"/>
      <c r="T12" s="1113"/>
      <c r="U12" s="1114"/>
      <c r="V12" s="1113"/>
      <c r="W12" s="1114"/>
      <c r="X12" s="1113"/>
      <c r="Y12" s="1114"/>
      <c r="Z12" s="1113"/>
      <c r="AA12" s="1114"/>
      <c r="AB12" s="1113"/>
      <c r="AC12" s="1114"/>
      <c r="AD12" s="1113"/>
      <c r="AE12" s="1114"/>
      <c r="AF12" s="1113"/>
      <c r="AG12" s="1114"/>
      <c r="AH12" s="1113"/>
      <c r="AI12" s="1114"/>
      <c r="AJ12" s="1113"/>
      <c r="AK12" s="1114"/>
      <c r="AL12" s="1113"/>
      <c r="AM12" s="1115"/>
      <c r="AN12" s="1291"/>
      <c r="AO12" s="1609"/>
      <c r="AP12" s="1610"/>
      <c r="AQ12" s="1614"/>
      <c r="AR12" s="1610"/>
      <c r="AS12" s="1116" t="str">
        <f>$CA12&amp;$CB12&amp;$CC12&amp;$CD12&amp;$CE12&amp;$CF12&amp;$CG12</f>
        <v/>
      </c>
      <c r="AT12"/>
      <c r="AU12"/>
      <c r="AV12"/>
      <c r="AW12"/>
      <c r="AX12"/>
      <c r="AY12"/>
      <c r="AZ12"/>
      <c r="BO12" s="471"/>
      <c r="BP12" s="470"/>
      <c r="CA12" s="620" t="str">
        <f>IF($AN12&lt;=C12,"","* La variable con Espirometría Vigente no debe ser mayor al Total Ambos Sexos. ")</f>
        <v/>
      </c>
      <c r="CB12" s="620" t="str">
        <f>IF(AND(D12&gt;0,OR(AO12=""))," * No olvide digitar la variable Pueblos Originarios Hombres. Digite Cero si no tiene.",IF(AO12&gt;D12," * La variable Pueblos Originarios Hombres no puede ser Mayor al Total Hombres.",""))</f>
        <v/>
      </c>
      <c r="CC12" s="620" t="str">
        <f>IF(AND(E12&gt;0,OR(AP12=""))," * No olvide digitar la variable Pueblos Originarios Mujeres. Digite Cero si no tiene.",IF(AP12&gt;E12," * La variable Pueblos Originarios Mujeres no puede ser Mayor al Total Mujeres.",""))</f>
        <v/>
      </c>
      <c r="CD12" s="620" t="str">
        <f>IF(AND($D12&gt;0,OR(AQ12=""))," * No olvide digitar la variable Migrantes Hombres. Digite Cero si no tiene.",IF(AQ12&gt;$D12," * La variable Migrantes Hombres no puede ser Mayor al Total Hombres.",""))</f>
        <v/>
      </c>
      <c r="CE12" s="620" t="str">
        <f>IF(AND(E12&gt;0,OR(AR12=""))," * No olvide digitar la variable Migrantes Mujeres. Digite Cero si no tiene.",IF(AR12&gt;E12," * La variable Migrantes Mujeres no puede ser Mayor al Total Mujeres.",""))</f>
        <v/>
      </c>
      <c r="CM12" s="501">
        <f>IF($AN12&lt;=$C12,0,1)</f>
        <v>0</v>
      </c>
      <c r="CN12" s="501">
        <f>IF(AND(D12&gt;0,OR(AO12="")),1,IF(AO12&gt;D12,1,0))</f>
        <v>0</v>
      </c>
      <c r="CO12" s="501">
        <f>IF(AND(E12&gt;0,OR(AP12="")),1,IF(AP12&gt;E12,1,0))</f>
        <v>0</v>
      </c>
      <c r="CP12" s="501">
        <f>IF(AND(D12&gt;0,OR(AQ12="")),1,IF(AQ12&gt;D12,1,0))</f>
        <v>0</v>
      </c>
      <c r="CQ12" s="501">
        <f>IF(AND(E12&gt;0,OR(AR12="")),1,IF(AR12&gt;E12,1,0))</f>
        <v>0</v>
      </c>
    </row>
    <row r="13" spans="1:95" ht="15" customHeight="1" x14ac:dyDescent="0.25">
      <c r="A13" s="2070"/>
      <c r="B13" s="1027" t="s">
        <v>280</v>
      </c>
      <c r="C13" s="1117">
        <f t="shared" ref="C13:C39" si="0">SUM(D13:E13)</f>
        <v>0</v>
      </c>
      <c r="D13" s="1118">
        <f>+F13</f>
        <v>0</v>
      </c>
      <c r="E13" s="1119">
        <f t="shared" ref="D13:E14" si="1">+G13</f>
        <v>0</v>
      </c>
      <c r="F13" s="1638"/>
      <c r="G13" s="1639"/>
      <c r="H13" s="1120"/>
      <c r="I13" s="1121"/>
      <c r="J13" s="1122"/>
      <c r="K13" s="1123"/>
      <c r="L13" s="1120"/>
      <c r="M13" s="1121"/>
      <c r="N13" s="1120"/>
      <c r="O13" s="1121"/>
      <c r="P13" s="1120"/>
      <c r="Q13" s="1121"/>
      <c r="R13" s="1120"/>
      <c r="S13" s="1121"/>
      <c r="T13" s="1120"/>
      <c r="U13" s="1121"/>
      <c r="V13" s="1120"/>
      <c r="W13" s="1121"/>
      <c r="X13" s="1120"/>
      <c r="Y13" s="1121"/>
      <c r="Z13" s="1120"/>
      <c r="AA13" s="1121"/>
      <c r="AB13" s="1120"/>
      <c r="AC13" s="1121"/>
      <c r="AD13" s="1120"/>
      <c r="AE13" s="1121"/>
      <c r="AF13" s="1120"/>
      <c r="AG13" s="1121"/>
      <c r="AH13" s="1120"/>
      <c r="AI13" s="1121"/>
      <c r="AJ13" s="1120"/>
      <c r="AK13" s="1121"/>
      <c r="AL13" s="1120"/>
      <c r="AM13" s="1124"/>
      <c r="AN13" s="1291"/>
      <c r="AO13" s="1638"/>
      <c r="AP13" s="1639"/>
      <c r="AQ13" s="1643"/>
      <c r="AR13" s="1639"/>
      <c r="AS13" s="1116" t="str">
        <f t="shared" ref="AS13:AS19" si="2">$CA13&amp;$CB13&amp;$CC13&amp;$CD13&amp;$CE13&amp;$CF13&amp;$CG13</f>
        <v/>
      </c>
      <c r="AY13" s="471"/>
      <c r="AZ13"/>
      <c r="BO13" s="471"/>
      <c r="BP13" s="470"/>
      <c r="CA13" s="620" t="str">
        <f t="shared" ref="CA13:CA18" si="3">IF($AN13&lt;=C13,"","* La variable con Espirometría Vigente no debe ser mayor al Total Ambos Sexos. ")</f>
        <v/>
      </c>
      <c r="CB13" s="620" t="str">
        <f t="shared" ref="CB13:CB47" si="4">IF(AND(D13&gt;0,OR(AO13=""))," * No olvide digitar la variable Pueblos Originarios Hombres. Digite Cero si no tiene.",IF(AO13&gt;D13," * La variable Pueblos Originarios Hombres no puede ser Mayor al Total Hombres.",""))</f>
        <v/>
      </c>
      <c r="CC13" s="620" t="str">
        <f t="shared" ref="CC13:CC47" si="5">IF(AND(E13&gt;0,OR(AP13=""))," * No olvide digitar la variable Pueblos Originarios Mujeres. Digite Cero si no tiene.",IF(AP13&gt;E13," * La variable Pueblos Originarios Mujeres no puede ser Mayor al Total Mujeres.",""))</f>
        <v/>
      </c>
      <c r="CD13" s="620" t="str">
        <f t="shared" ref="CD13:CD19" si="6">IF(AND($D13&gt;0,OR(AQ13=""))," * No olvide digitar la variable Migrantes Hombres. Digite Cero si no tiene.",IF(AQ13&gt;$D13," * La variable Migrantes Hombres no puede ser Mayor al Total Hombres.",""))</f>
        <v/>
      </c>
      <c r="CE13" s="620" t="str">
        <f t="shared" ref="CE13:CE19" si="7">IF(AND(E13&gt;0,OR(AR13=""))," * No olvide digitar la variable Migrantes Mujeres. Digite Cero si no tiene.",IF(AR13&gt;E13," * La variable Migrantes Mujeres no puede ser Mayor al Total Mujeres.",""))</f>
        <v/>
      </c>
      <c r="CM13" s="501">
        <f t="shared" ref="CM13:CM18" si="8">IF($AN13&lt;=$C13,0,1)</f>
        <v>0</v>
      </c>
      <c r="CN13" s="501">
        <f t="shared" ref="CN13:CN44" si="9">IF(AND(D13&gt;0,OR(AO13="")),1,IF(AO13&gt;D13,1,0))</f>
        <v>0</v>
      </c>
      <c r="CO13" s="501">
        <f t="shared" ref="CO13:CO44" si="10">IF(AND(E13&gt;0,OR(AP13="")),1,IF(AP13&gt;E13,1,0))</f>
        <v>0</v>
      </c>
      <c r="CP13" s="501">
        <f t="shared" ref="CP13:CP44" si="11">IF(AND(D13&gt;0,OR(AQ13="")),1,IF(AQ13&gt;D13,1,0))</f>
        <v>0</v>
      </c>
      <c r="CQ13" s="501">
        <f t="shared" ref="CQ13:CQ44" si="12">IF(AND(E13&gt;0,OR(AR13="")),1,IF(AR13&gt;E13,1,0))</f>
        <v>0</v>
      </c>
    </row>
    <row r="14" spans="1:95" ht="15" customHeight="1" x14ac:dyDescent="0.25">
      <c r="A14" s="2071"/>
      <c r="B14" s="1125" t="s">
        <v>402</v>
      </c>
      <c r="C14" s="1126">
        <f t="shared" si="0"/>
        <v>0</v>
      </c>
      <c r="D14" s="1127">
        <f t="shared" si="1"/>
        <v>0</v>
      </c>
      <c r="E14" s="1128">
        <f t="shared" si="1"/>
        <v>0</v>
      </c>
      <c r="F14" s="1623"/>
      <c r="G14" s="1624"/>
      <c r="H14" s="1129"/>
      <c r="I14" s="1130"/>
      <c r="J14" s="1129"/>
      <c r="K14" s="1130"/>
      <c r="L14" s="1129"/>
      <c r="M14" s="1130"/>
      <c r="N14" s="1129"/>
      <c r="O14" s="1130"/>
      <c r="P14" s="1129"/>
      <c r="Q14" s="1130"/>
      <c r="R14" s="1129"/>
      <c r="S14" s="1130"/>
      <c r="T14" s="1129"/>
      <c r="U14" s="1130"/>
      <c r="V14" s="1129"/>
      <c r="W14" s="1130"/>
      <c r="X14" s="1129"/>
      <c r="Y14" s="1130"/>
      <c r="Z14" s="1129"/>
      <c r="AA14" s="1130"/>
      <c r="AB14" s="1129"/>
      <c r="AC14" s="1130"/>
      <c r="AD14" s="1129"/>
      <c r="AE14" s="1130"/>
      <c r="AF14" s="1129"/>
      <c r="AG14" s="1130"/>
      <c r="AH14" s="1129"/>
      <c r="AI14" s="1130"/>
      <c r="AJ14" s="1129"/>
      <c r="AK14" s="1130"/>
      <c r="AL14" s="1129"/>
      <c r="AM14" s="1131"/>
      <c r="AN14" s="1291"/>
      <c r="AO14" s="1646"/>
      <c r="AP14" s="1645"/>
      <c r="AQ14" s="1650"/>
      <c r="AR14" s="1645"/>
      <c r="AS14" s="1116" t="str">
        <f t="shared" si="2"/>
        <v/>
      </c>
      <c r="AY14" s="471"/>
      <c r="AZ14"/>
      <c r="BO14" s="471"/>
      <c r="BP14" s="470"/>
      <c r="CA14" s="620" t="str">
        <f t="shared" si="3"/>
        <v/>
      </c>
      <c r="CB14" s="620" t="str">
        <f t="shared" si="4"/>
        <v/>
      </c>
      <c r="CC14" s="620" t="str">
        <f t="shared" si="5"/>
        <v/>
      </c>
      <c r="CD14" s="620" t="str">
        <f t="shared" si="6"/>
        <v/>
      </c>
      <c r="CE14" s="620" t="str">
        <f t="shared" si="7"/>
        <v/>
      </c>
      <c r="CM14" s="501">
        <f t="shared" si="8"/>
        <v>0</v>
      </c>
      <c r="CN14" s="501">
        <f t="shared" si="9"/>
        <v>0</v>
      </c>
      <c r="CO14" s="501">
        <f t="shared" si="10"/>
        <v>0</v>
      </c>
      <c r="CP14" s="501">
        <f t="shared" si="11"/>
        <v>0</v>
      </c>
      <c r="CQ14" s="501">
        <f t="shared" si="12"/>
        <v>0</v>
      </c>
    </row>
    <row r="15" spans="1:95" ht="15" customHeight="1" x14ac:dyDescent="0.25">
      <c r="A15" s="2100" t="s">
        <v>403</v>
      </c>
      <c r="B15" s="992" t="s">
        <v>279</v>
      </c>
      <c r="C15" s="1110">
        <f t="shared" si="0"/>
        <v>0</v>
      </c>
      <c r="D15" s="1111">
        <f>+F15+H15+J15+L15+N15+P15+R15+T15+V15+X15+Z15+AB15+AD15+AF15+AH15+AJ15+AL15</f>
        <v>0</v>
      </c>
      <c r="E15" s="1112">
        <f>+G15+I15+K15+M15+O15+Q15+S15+U15+W15+Y15+AA15+AC15+AE15+AG15+AI15+AK15+AM15</f>
        <v>0</v>
      </c>
      <c r="F15" s="1609"/>
      <c r="G15" s="1610"/>
      <c r="H15" s="1609"/>
      <c r="I15" s="1610"/>
      <c r="J15" s="1609"/>
      <c r="K15" s="1610"/>
      <c r="L15" s="1609"/>
      <c r="M15" s="1610"/>
      <c r="N15" s="1609"/>
      <c r="O15" s="1610"/>
      <c r="P15" s="1609"/>
      <c r="Q15" s="1610"/>
      <c r="R15" s="1609"/>
      <c r="S15" s="1610"/>
      <c r="T15" s="1609"/>
      <c r="U15" s="1610"/>
      <c r="V15" s="1609"/>
      <c r="W15" s="1610"/>
      <c r="X15" s="1609"/>
      <c r="Y15" s="1610"/>
      <c r="Z15" s="1609"/>
      <c r="AA15" s="1610"/>
      <c r="AB15" s="1609"/>
      <c r="AC15" s="1610"/>
      <c r="AD15" s="1609"/>
      <c r="AE15" s="1610"/>
      <c r="AF15" s="1609"/>
      <c r="AG15" s="1610"/>
      <c r="AH15" s="1609"/>
      <c r="AI15" s="1610"/>
      <c r="AJ15" s="1609"/>
      <c r="AK15" s="1610"/>
      <c r="AL15" s="1609"/>
      <c r="AM15" s="1611"/>
      <c r="AN15" s="1612"/>
      <c r="AO15" s="1609"/>
      <c r="AP15" s="1610"/>
      <c r="AQ15" s="1614"/>
      <c r="AR15" s="1610"/>
      <c r="AS15" s="1116" t="str">
        <f t="shared" si="2"/>
        <v/>
      </c>
      <c r="AY15" s="471"/>
      <c r="AZ15"/>
      <c r="BO15" s="471"/>
      <c r="BP15" s="470"/>
      <c r="CA15" s="620" t="str">
        <f t="shared" si="3"/>
        <v/>
      </c>
      <c r="CB15" s="620" t="str">
        <f t="shared" si="4"/>
        <v/>
      </c>
      <c r="CC15" s="620" t="str">
        <f t="shared" si="5"/>
        <v/>
      </c>
      <c r="CD15" s="620" t="str">
        <f t="shared" si="6"/>
        <v/>
      </c>
      <c r="CE15" s="620" t="str">
        <f t="shared" si="7"/>
        <v/>
      </c>
      <c r="CM15" s="501">
        <f t="shared" si="8"/>
        <v>0</v>
      </c>
      <c r="CN15" s="501">
        <f t="shared" si="9"/>
        <v>0</v>
      </c>
      <c r="CO15" s="501">
        <f t="shared" si="10"/>
        <v>0</v>
      </c>
      <c r="CP15" s="501">
        <f t="shared" si="11"/>
        <v>0</v>
      </c>
      <c r="CQ15" s="501">
        <f t="shared" si="12"/>
        <v>0</v>
      </c>
    </row>
    <row r="16" spans="1:95" ht="15" customHeight="1" x14ac:dyDescent="0.25">
      <c r="A16" s="2101"/>
      <c r="B16" s="1027" t="s">
        <v>280</v>
      </c>
      <c r="C16" s="1117">
        <f t="shared" si="0"/>
        <v>0</v>
      </c>
      <c r="D16" s="1118">
        <f t="shared" ref="D16:E17" si="13">+F16+H16+J16+L16+N16+P16+R16+T16+V16+X16+Z16+AB16+AD16+AF16+AH16+AJ16+AL16</f>
        <v>0</v>
      </c>
      <c r="E16" s="1119">
        <f t="shared" si="13"/>
        <v>0</v>
      </c>
      <c r="F16" s="1638"/>
      <c r="G16" s="1639"/>
      <c r="H16" s="1638"/>
      <c r="I16" s="1639"/>
      <c r="J16" s="1638"/>
      <c r="K16" s="1639"/>
      <c r="L16" s="1638"/>
      <c r="M16" s="1639"/>
      <c r="N16" s="1638"/>
      <c r="O16" s="1639"/>
      <c r="P16" s="1638"/>
      <c r="Q16" s="1639"/>
      <c r="R16" s="1638"/>
      <c r="S16" s="1639"/>
      <c r="T16" s="1638"/>
      <c r="U16" s="1639"/>
      <c r="V16" s="1638"/>
      <c r="W16" s="1639"/>
      <c r="X16" s="1638"/>
      <c r="Y16" s="1639"/>
      <c r="Z16" s="1638"/>
      <c r="AA16" s="1639"/>
      <c r="AB16" s="1638"/>
      <c r="AC16" s="1639"/>
      <c r="AD16" s="1638"/>
      <c r="AE16" s="1639"/>
      <c r="AF16" s="1638"/>
      <c r="AG16" s="1639"/>
      <c r="AH16" s="1638"/>
      <c r="AI16" s="1639"/>
      <c r="AJ16" s="1638"/>
      <c r="AK16" s="1639"/>
      <c r="AL16" s="1638"/>
      <c r="AM16" s="1640"/>
      <c r="AN16" s="1641"/>
      <c r="AO16" s="1638"/>
      <c r="AP16" s="1639"/>
      <c r="AQ16" s="1643"/>
      <c r="AR16" s="1639"/>
      <c r="AS16" s="1116" t="str">
        <f t="shared" si="2"/>
        <v/>
      </c>
      <c r="AY16" s="471"/>
      <c r="AZ16"/>
      <c r="BO16" s="471"/>
      <c r="BP16" s="470"/>
      <c r="CA16" s="620" t="str">
        <f t="shared" si="3"/>
        <v/>
      </c>
      <c r="CB16" s="620" t="str">
        <f t="shared" si="4"/>
        <v/>
      </c>
      <c r="CC16" s="620" t="str">
        <f t="shared" si="5"/>
        <v/>
      </c>
      <c r="CD16" s="620" t="str">
        <f t="shared" si="6"/>
        <v/>
      </c>
      <c r="CE16" s="620" t="str">
        <f t="shared" si="7"/>
        <v/>
      </c>
      <c r="CM16" s="501">
        <f t="shared" si="8"/>
        <v>0</v>
      </c>
      <c r="CN16" s="501">
        <f t="shared" si="9"/>
        <v>0</v>
      </c>
      <c r="CO16" s="501">
        <f t="shared" si="10"/>
        <v>0</v>
      </c>
      <c r="CP16" s="501">
        <f t="shared" si="11"/>
        <v>0</v>
      </c>
      <c r="CQ16" s="501">
        <f t="shared" si="12"/>
        <v>0</v>
      </c>
    </row>
    <row r="17" spans="1:95" ht="15" customHeight="1" x14ac:dyDescent="0.25">
      <c r="A17" s="2102"/>
      <c r="B17" s="1125" t="s">
        <v>402</v>
      </c>
      <c r="C17" s="1132">
        <f t="shared" si="0"/>
        <v>0</v>
      </c>
      <c r="D17" s="1133">
        <f t="shared" si="13"/>
        <v>0</v>
      </c>
      <c r="E17" s="1134">
        <f t="shared" si="13"/>
        <v>0</v>
      </c>
      <c r="F17" s="1623"/>
      <c r="G17" s="1624"/>
      <c r="H17" s="1646"/>
      <c r="I17" s="1645"/>
      <c r="J17" s="1646"/>
      <c r="K17" s="1645"/>
      <c r="L17" s="1646"/>
      <c r="M17" s="1645"/>
      <c r="N17" s="1646"/>
      <c r="O17" s="1645"/>
      <c r="P17" s="1646"/>
      <c r="Q17" s="1645"/>
      <c r="R17" s="1646"/>
      <c r="S17" s="1645"/>
      <c r="T17" s="1646"/>
      <c r="U17" s="1645"/>
      <c r="V17" s="1646"/>
      <c r="W17" s="1645"/>
      <c r="X17" s="1646"/>
      <c r="Y17" s="1645"/>
      <c r="Z17" s="1646"/>
      <c r="AA17" s="1645"/>
      <c r="AB17" s="1646"/>
      <c r="AC17" s="1645"/>
      <c r="AD17" s="1646"/>
      <c r="AE17" s="1645"/>
      <c r="AF17" s="1646"/>
      <c r="AG17" s="1645"/>
      <c r="AH17" s="1646"/>
      <c r="AI17" s="1645"/>
      <c r="AJ17" s="1646"/>
      <c r="AK17" s="1645"/>
      <c r="AL17" s="1646"/>
      <c r="AM17" s="1647"/>
      <c r="AN17" s="1626"/>
      <c r="AO17" s="1623"/>
      <c r="AP17" s="1624"/>
      <c r="AQ17" s="1628"/>
      <c r="AR17" s="1624"/>
      <c r="AS17" s="1116" t="str">
        <f t="shared" si="2"/>
        <v/>
      </c>
      <c r="AY17" s="471"/>
      <c r="AZ17"/>
      <c r="BO17" s="471"/>
      <c r="BP17" s="470"/>
      <c r="CA17" s="620" t="str">
        <f t="shared" si="3"/>
        <v/>
      </c>
      <c r="CB17" s="620" t="str">
        <f t="shared" si="4"/>
        <v/>
      </c>
      <c r="CC17" s="620" t="str">
        <f t="shared" si="5"/>
        <v/>
      </c>
      <c r="CD17" s="620" t="str">
        <f t="shared" si="6"/>
        <v/>
      </c>
      <c r="CE17" s="620" t="str">
        <f t="shared" si="7"/>
        <v/>
      </c>
      <c r="CM17" s="501">
        <f t="shared" si="8"/>
        <v>0</v>
      </c>
      <c r="CN17" s="501">
        <f t="shared" si="9"/>
        <v>0</v>
      </c>
      <c r="CO17" s="501">
        <f t="shared" si="10"/>
        <v>0</v>
      </c>
      <c r="CP17" s="501">
        <f t="shared" si="11"/>
        <v>0</v>
      </c>
      <c r="CQ17" s="501">
        <f t="shared" si="12"/>
        <v>0</v>
      </c>
    </row>
    <row r="18" spans="1:95" ht="15" customHeight="1" x14ac:dyDescent="0.25">
      <c r="A18" s="2103" t="s">
        <v>404</v>
      </c>
      <c r="B18" s="1135" t="s">
        <v>405</v>
      </c>
      <c r="C18" s="1117">
        <f>SUM(D18:E18)</f>
        <v>0</v>
      </c>
      <c r="D18" s="1136">
        <f>+V18+X18+Z18+AB18+AD18+AF18+AH18+AJ18+AL18</f>
        <v>0</v>
      </c>
      <c r="E18" s="1137">
        <f>+W18+Y18+AA18+AC18+AE18+AG18+AI18+AK18+AM18</f>
        <v>0</v>
      </c>
      <c r="F18" s="1113"/>
      <c r="G18" s="1114"/>
      <c r="H18" s="1113"/>
      <c r="I18" s="1600"/>
      <c r="J18" s="1113"/>
      <c r="K18" s="1114"/>
      <c r="L18" s="1113"/>
      <c r="M18" s="1114"/>
      <c r="N18" s="1113"/>
      <c r="O18" s="1114"/>
      <c r="P18" s="1113"/>
      <c r="Q18" s="1114"/>
      <c r="R18" s="1113"/>
      <c r="S18" s="1114"/>
      <c r="T18" s="1113"/>
      <c r="U18" s="1114"/>
      <c r="V18" s="1609"/>
      <c r="W18" s="1610"/>
      <c r="X18" s="1609"/>
      <c r="Y18" s="1610"/>
      <c r="Z18" s="1609"/>
      <c r="AA18" s="1610"/>
      <c r="AB18" s="1609"/>
      <c r="AC18" s="1610"/>
      <c r="AD18" s="1609"/>
      <c r="AE18" s="1610"/>
      <c r="AF18" s="1609"/>
      <c r="AG18" s="1610"/>
      <c r="AH18" s="1609"/>
      <c r="AI18" s="1610"/>
      <c r="AJ18" s="1609"/>
      <c r="AK18" s="1610"/>
      <c r="AL18" s="1609"/>
      <c r="AM18" s="1611"/>
      <c r="AN18" s="1612"/>
      <c r="AO18" s="1609"/>
      <c r="AP18" s="1610"/>
      <c r="AQ18" s="1614"/>
      <c r="AR18" s="1610"/>
      <c r="AS18" s="1116" t="str">
        <f t="shared" si="2"/>
        <v/>
      </c>
      <c r="AY18" s="471"/>
      <c r="AZ18"/>
      <c r="BO18" s="471"/>
      <c r="BP18" s="470"/>
      <c r="CA18" s="620" t="str">
        <f t="shared" si="3"/>
        <v/>
      </c>
      <c r="CB18" s="620" t="str">
        <f t="shared" si="4"/>
        <v/>
      </c>
      <c r="CC18" s="620" t="str">
        <f t="shared" si="5"/>
        <v/>
      </c>
      <c r="CD18" s="620" t="str">
        <f t="shared" si="6"/>
        <v/>
      </c>
      <c r="CE18" s="620" t="str">
        <f t="shared" si="7"/>
        <v/>
      </c>
      <c r="CM18" s="501">
        <f t="shared" si="8"/>
        <v>0</v>
      </c>
      <c r="CN18" s="501">
        <f t="shared" si="9"/>
        <v>0</v>
      </c>
      <c r="CO18" s="501">
        <f t="shared" si="10"/>
        <v>0</v>
      </c>
      <c r="CP18" s="501">
        <f t="shared" si="11"/>
        <v>0</v>
      </c>
      <c r="CQ18" s="501">
        <f t="shared" si="12"/>
        <v>0</v>
      </c>
    </row>
    <row r="19" spans="1:95" ht="15" customHeight="1" x14ac:dyDescent="0.25">
      <c r="A19" s="2071"/>
      <c r="B19" s="1138" t="s">
        <v>406</v>
      </c>
      <c r="C19" s="1139">
        <f>SUM(D19:E19)</f>
        <v>0</v>
      </c>
      <c r="D19" s="1133">
        <f>+V19+X19+Z19+AB19+AD19+AF19+AH19+AJ19+AL19</f>
        <v>0</v>
      </c>
      <c r="E19" s="1134">
        <f>+W19+Y19+AA19+AC19+AE19+AG19+AI19+AK19+AM19</f>
        <v>0</v>
      </c>
      <c r="F19" s="1140"/>
      <c r="G19" s="1141"/>
      <c r="H19" s="1140"/>
      <c r="I19" s="1141"/>
      <c r="J19" s="1140"/>
      <c r="K19" s="1141"/>
      <c r="L19" s="1140"/>
      <c r="M19" s="1141"/>
      <c r="N19" s="1140"/>
      <c r="O19" s="1141"/>
      <c r="P19" s="1140"/>
      <c r="Q19" s="1141"/>
      <c r="R19" s="1142"/>
      <c r="S19" s="1143"/>
      <c r="T19" s="1142"/>
      <c r="U19" s="1143"/>
      <c r="V19" s="1630"/>
      <c r="W19" s="1631"/>
      <c r="X19" s="1630"/>
      <c r="Y19" s="1631"/>
      <c r="Z19" s="1630"/>
      <c r="AA19" s="1631"/>
      <c r="AB19" s="1630"/>
      <c r="AC19" s="1631"/>
      <c r="AD19" s="1630"/>
      <c r="AE19" s="1631"/>
      <c r="AF19" s="1630"/>
      <c r="AG19" s="1631"/>
      <c r="AH19" s="1630"/>
      <c r="AI19" s="1631"/>
      <c r="AJ19" s="1630"/>
      <c r="AK19" s="1631"/>
      <c r="AL19" s="1630"/>
      <c r="AM19" s="1632"/>
      <c r="AN19" s="1626"/>
      <c r="AO19" s="1623"/>
      <c r="AP19" s="1624"/>
      <c r="AQ19" s="1628"/>
      <c r="AR19" s="1624"/>
      <c r="AS19" s="1116" t="str">
        <f t="shared" si="2"/>
        <v/>
      </c>
      <c r="AY19" s="471"/>
      <c r="AZ19"/>
      <c r="BO19" s="471"/>
      <c r="BP19" s="470"/>
      <c r="CA19" s="620" t="str">
        <f>IF($AN19&lt;=C19,"","* La variable con Espirometría Vigente no debe ser mayor al Total Ambos Sexos. ")</f>
        <v/>
      </c>
      <c r="CB19" s="620" t="str">
        <f t="shared" si="4"/>
        <v/>
      </c>
      <c r="CC19" s="620" t="str">
        <f>IF(AND(E19&gt;0,OR(AP19=""))," * No olvide digitar la variable Pueblos Originarios Mujeres. Digite Cero si no tiene.",IF(AP19&gt;E19," * La variable Pueblos Originarios Mujeres no puede ser Mayor al Total Mujeres.",""))</f>
        <v/>
      </c>
      <c r="CD19" s="620" t="str">
        <f t="shared" si="6"/>
        <v/>
      </c>
      <c r="CE19" s="620" t="str">
        <f t="shared" si="7"/>
        <v/>
      </c>
      <c r="CM19" s="501">
        <f>IF($AN19&lt;=$C19,0,1)</f>
        <v>0</v>
      </c>
      <c r="CN19" s="501">
        <f t="shared" si="9"/>
        <v>0</v>
      </c>
      <c r="CO19" s="501">
        <f t="shared" si="10"/>
        <v>0</v>
      </c>
      <c r="CP19" s="501">
        <f t="shared" si="11"/>
        <v>0</v>
      </c>
      <c r="CQ19" s="501">
        <f t="shared" si="12"/>
        <v>0</v>
      </c>
    </row>
    <row r="20" spans="1:95" ht="15" customHeight="1" x14ac:dyDescent="0.25">
      <c r="A20" s="2067" t="s">
        <v>407</v>
      </c>
      <c r="B20" s="2068"/>
      <c r="C20" s="1117">
        <f t="shared" si="0"/>
        <v>0</v>
      </c>
      <c r="D20" s="1136">
        <f>+F20+H20+J20+L20+N20+P20+R20+T20+V20+X20+Z20+AB20+AD20+AF20+AH20+AJ20+AL20</f>
        <v>0</v>
      </c>
      <c r="E20" s="1137">
        <f>+G20+I20+K20+M20+O20+Q20+S20+U20+W20+Y20+AA20+AC20+AE20+AG20+AI20+AK20+AM20</f>
        <v>0</v>
      </c>
      <c r="F20" s="1616"/>
      <c r="G20" s="1617"/>
      <c r="H20" s="1616"/>
      <c r="I20" s="1617"/>
      <c r="J20" s="1616"/>
      <c r="K20" s="1617"/>
      <c r="L20" s="1616"/>
      <c r="M20" s="1617"/>
      <c r="N20" s="1616"/>
      <c r="O20" s="1617"/>
      <c r="P20" s="1616"/>
      <c r="Q20" s="1617"/>
      <c r="R20" s="1616"/>
      <c r="S20" s="1617"/>
      <c r="T20" s="1616"/>
      <c r="U20" s="1617"/>
      <c r="V20" s="1616"/>
      <c r="W20" s="1617"/>
      <c r="X20" s="1616"/>
      <c r="Y20" s="1617"/>
      <c r="Z20" s="1616"/>
      <c r="AA20" s="1617"/>
      <c r="AB20" s="1616"/>
      <c r="AC20" s="1617"/>
      <c r="AD20" s="1616"/>
      <c r="AE20" s="1617"/>
      <c r="AF20" s="1616"/>
      <c r="AG20" s="1617"/>
      <c r="AH20" s="1616"/>
      <c r="AI20" s="1617"/>
      <c r="AJ20" s="1616"/>
      <c r="AK20" s="1617"/>
      <c r="AL20" s="1616"/>
      <c r="AM20" s="1618"/>
      <c r="AN20" s="1291"/>
      <c r="AO20" s="1616"/>
      <c r="AP20" s="1617"/>
      <c r="AQ20" s="1621"/>
      <c r="AR20" s="1617"/>
      <c r="AS20" s="1116" t="str">
        <f>$CB20&amp;$CC20&amp;$CD20&amp;$CE20</f>
        <v/>
      </c>
      <c r="AY20" s="471"/>
      <c r="AZ20"/>
      <c r="BO20" s="471"/>
      <c r="BP20" s="470"/>
      <c r="CB20" s="620" t="str">
        <f t="shared" si="4"/>
        <v/>
      </c>
      <c r="CC20" s="620" t="str">
        <f t="shared" si="5"/>
        <v/>
      </c>
      <c r="CD20" s="620" t="str">
        <f t="shared" ref="CD20:CD47" si="14">IF(AND($D20&gt;0,OR(AQ20=""))," * No olvide digitar la variable Migrantes Hombres. Digite Cero si no tiene.",IF(AQ20&gt;$D20," * La variable Migrantes Hombres no puede ser Mayor al Total Hombres.",""))</f>
        <v/>
      </c>
      <c r="CE20" s="620" t="str">
        <f t="shared" ref="CE20:CE47" si="15">IF(AND(E20&gt;0,OR(AR20=""))," * No olvide digitar la variable Migrantes Mujeres. Digite Cero si no tiene.",IF(AR20&gt;E20," * La variable Migrantes Mujeres no puede ser Mayor al Total Mujeres.",""))</f>
        <v/>
      </c>
      <c r="CN20" s="501">
        <f t="shared" si="9"/>
        <v>0</v>
      </c>
      <c r="CO20" s="501">
        <f t="shared" si="10"/>
        <v>0</v>
      </c>
      <c r="CP20" s="501">
        <f t="shared" si="11"/>
        <v>0</v>
      </c>
      <c r="CQ20" s="501">
        <f t="shared" si="12"/>
        <v>0</v>
      </c>
    </row>
    <row r="21" spans="1:95" ht="15" customHeight="1" x14ac:dyDescent="0.25">
      <c r="A21" s="1906" t="s">
        <v>408</v>
      </c>
      <c r="B21" s="1907"/>
      <c r="C21" s="1144">
        <f t="shared" si="0"/>
        <v>0</v>
      </c>
      <c r="D21" s="1118">
        <f t="shared" ref="D21:E22" si="16">+F21+H21+J21+L21+N21+P21+R21+T21+V21+X21+Z21+AB21+AD21+AF21+AH21+AJ21+AL21</f>
        <v>0</v>
      </c>
      <c r="E21" s="1119">
        <f>+G21+I21+K21+M21+O21+Q21+S21+U21+W21+Y21+AA21+AC21+AE21+AG21+AI21+AK21+AM21</f>
        <v>0</v>
      </c>
      <c r="F21" s="1616"/>
      <c r="G21" s="1617"/>
      <c r="H21" s="1616"/>
      <c r="I21" s="1617"/>
      <c r="J21" s="1616"/>
      <c r="K21" s="1617"/>
      <c r="L21" s="1616"/>
      <c r="M21" s="1617"/>
      <c r="N21" s="1616"/>
      <c r="O21" s="1617"/>
      <c r="P21" s="1616"/>
      <c r="Q21" s="1617"/>
      <c r="R21" s="1616"/>
      <c r="S21" s="1617"/>
      <c r="T21" s="1616"/>
      <c r="U21" s="1617"/>
      <c r="V21" s="1616"/>
      <c r="W21" s="1617"/>
      <c r="X21" s="1616"/>
      <c r="Y21" s="1617"/>
      <c r="Z21" s="1616"/>
      <c r="AA21" s="1617"/>
      <c r="AB21" s="1616"/>
      <c r="AC21" s="1617"/>
      <c r="AD21" s="1616"/>
      <c r="AE21" s="1617"/>
      <c r="AF21" s="1616"/>
      <c r="AG21" s="1617"/>
      <c r="AH21" s="1616"/>
      <c r="AI21" s="1617"/>
      <c r="AJ21" s="1616"/>
      <c r="AK21" s="1617"/>
      <c r="AL21" s="1616"/>
      <c r="AM21" s="1618"/>
      <c r="AN21" s="1268"/>
      <c r="AO21" s="1638"/>
      <c r="AP21" s="1639"/>
      <c r="AQ21" s="1643"/>
      <c r="AR21" s="1639"/>
      <c r="AS21" s="1116" t="str">
        <f t="shared" ref="AS21:AS36" si="17">$CB21&amp;$CC21&amp;$CD21&amp;$CE21</f>
        <v/>
      </c>
      <c r="AY21" s="471"/>
      <c r="AZ21"/>
      <c r="BO21" s="471"/>
      <c r="BP21" s="470"/>
      <c r="CB21" s="620" t="str">
        <f t="shared" si="4"/>
        <v/>
      </c>
      <c r="CC21" s="620" t="str">
        <f t="shared" si="5"/>
        <v/>
      </c>
      <c r="CD21" s="620" t="str">
        <f t="shared" si="14"/>
        <v/>
      </c>
      <c r="CE21" s="620" t="str">
        <f t="shared" si="15"/>
        <v/>
      </c>
      <c r="CN21" s="501">
        <f t="shared" si="9"/>
        <v>0</v>
      </c>
      <c r="CO21" s="501">
        <f t="shared" si="10"/>
        <v>0</v>
      </c>
      <c r="CP21" s="501">
        <f t="shared" si="11"/>
        <v>0</v>
      </c>
      <c r="CQ21" s="501">
        <f t="shared" si="12"/>
        <v>0</v>
      </c>
    </row>
    <row r="22" spans="1:95" ht="15" customHeight="1" x14ac:dyDescent="0.25">
      <c r="A22" s="2059" t="s">
        <v>409</v>
      </c>
      <c r="B22" s="2060"/>
      <c r="C22" s="1144">
        <f>SUM(D22:E22)</f>
        <v>0</v>
      </c>
      <c r="D22" s="1118">
        <f t="shared" si="16"/>
        <v>0</v>
      </c>
      <c r="E22" s="1119">
        <f t="shared" si="16"/>
        <v>0</v>
      </c>
      <c r="F22" s="1616"/>
      <c r="G22" s="1617"/>
      <c r="H22" s="1616"/>
      <c r="I22" s="1617"/>
      <c r="J22" s="1616"/>
      <c r="K22" s="1617"/>
      <c r="L22" s="1616"/>
      <c r="M22" s="1617"/>
      <c r="N22" s="1616"/>
      <c r="O22" s="1617"/>
      <c r="P22" s="1616"/>
      <c r="Q22" s="1617"/>
      <c r="R22" s="1616"/>
      <c r="S22" s="1617"/>
      <c r="T22" s="1616"/>
      <c r="U22" s="1617"/>
      <c r="V22" s="1616"/>
      <c r="W22" s="1617"/>
      <c r="X22" s="1616"/>
      <c r="Y22" s="1617"/>
      <c r="Z22" s="1616"/>
      <c r="AA22" s="1617"/>
      <c r="AB22" s="1616"/>
      <c r="AC22" s="1617"/>
      <c r="AD22" s="1616"/>
      <c r="AE22" s="1617"/>
      <c r="AF22" s="1616"/>
      <c r="AG22" s="1617"/>
      <c r="AH22" s="1616"/>
      <c r="AI22" s="1617"/>
      <c r="AJ22" s="1616"/>
      <c r="AK22" s="1617"/>
      <c r="AL22" s="1616"/>
      <c r="AM22" s="1618"/>
      <c r="AN22" s="1268"/>
      <c r="AO22" s="1638"/>
      <c r="AP22" s="1639"/>
      <c r="AQ22" s="1643"/>
      <c r="AR22" s="1639"/>
      <c r="AS22" s="1116" t="str">
        <f t="shared" si="17"/>
        <v/>
      </c>
      <c r="AY22" s="471"/>
      <c r="AZ22"/>
      <c r="BO22" s="471"/>
      <c r="BP22" s="470"/>
      <c r="CB22" s="620" t="str">
        <f t="shared" si="4"/>
        <v/>
      </c>
      <c r="CC22" s="620" t="str">
        <f t="shared" si="5"/>
        <v/>
      </c>
      <c r="CD22" s="620" t="str">
        <f t="shared" si="14"/>
        <v/>
      </c>
      <c r="CE22" s="620" t="str">
        <f t="shared" si="15"/>
        <v/>
      </c>
      <c r="CN22" s="501">
        <f t="shared" si="9"/>
        <v>0</v>
      </c>
      <c r="CO22" s="501">
        <f t="shared" si="10"/>
        <v>0</v>
      </c>
      <c r="CP22" s="501">
        <f t="shared" si="11"/>
        <v>0</v>
      </c>
      <c r="CQ22" s="501">
        <f t="shared" si="12"/>
        <v>0</v>
      </c>
    </row>
    <row r="23" spans="1:95" ht="15" customHeight="1" x14ac:dyDescent="0.25">
      <c r="A23" s="1906" t="s">
        <v>344</v>
      </c>
      <c r="B23" s="1907"/>
      <c r="C23" s="1117">
        <f>SUM(D23:E23)</f>
        <v>0</v>
      </c>
      <c r="D23" s="1136">
        <f>+F23+H23+J23+L23+N23+P23+R23+T23+V23+X23+Z23+AB23+AD23</f>
        <v>0</v>
      </c>
      <c r="E23" s="1137">
        <f>+G23+I23+K23+M23+O23+Q23+S23+U23+W23+Y23+AA23+AC23+AE23</f>
        <v>0</v>
      </c>
      <c r="F23" s="1616"/>
      <c r="G23" s="1617"/>
      <c r="H23" s="1616"/>
      <c r="I23" s="1617"/>
      <c r="J23" s="1616"/>
      <c r="K23" s="1617"/>
      <c r="L23" s="1616"/>
      <c r="M23" s="1617"/>
      <c r="N23" s="1616"/>
      <c r="O23" s="1617"/>
      <c r="P23" s="1616"/>
      <c r="Q23" s="1617"/>
      <c r="R23" s="1616"/>
      <c r="S23" s="1617"/>
      <c r="T23" s="1616"/>
      <c r="U23" s="1617"/>
      <c r="V23" s="1616"/>
      <c r="W23" s="1617"/>
      <c r="X23" s="1616"/>
      <c r="Y23" s="1617"/>
      <c r="Z23" s="1616"/>
      <c r="AA23" s="1617"/>
      <c r="AB23" s="1616"/>
      <c r="AC23" s="1617"/>
      <c r="AD23" s="1616"/>
      <c r="AE23" s="1617"/>
      <c r="AF23" s="1122"/>
      <c r="AG23" s="1123"/>
      <c r="AH23" s="1122"/>
      <c r="AI23" s="1123"/>
      <c r="AJ23" s="1122"/>
      <c r="AK23" s="1123"/>
      <c r="AL23" s="1122"/>
      <c r="AM23" s="1145"/>
      <c r="AN23" s="1268"/>
      <c r="AO23" s="1638"/>
      <c r="AP23" s="1639"/>
      <c r="AQ23" s="1643"/>
      <c r="AR23" s="1639"/>
      <c r="AS23" s="1116" t="str">
        <f t="shared" si="17"/>
        <v/>
      </c>
      <c r="AY23" s="471"/>
      <c r="AZ23"/>
      <c r="BO23" s="471"/>
      <c r="BP23" s="470"/>
      <c r="CB23" s="620" t="str">
        <f t="shared" si="4"/>
        <v/>
      </c>
      <c r="CC23" s="620" t="str">
        <f t="shared" si="5"/>
        <v/>
      </c>
      <c r="CD23" s="620" t="str">
        <f t="shared" si="14"/>
        <v/>
      </c>
      <c r="CE23" s="620" t="str">
        <f t="shared" si="15"/>
        <v/>
      </c>
      <c r="CN23" s="501">
        <f t="shared" si="9"/>
        <v>0</v>
      </c>
      <c r="CO23" s="501">
        <f t="shared" si="10"/>
        <v>0</v>
      </c>
      <c r="CP23" s="501">
        <f t="shared" si="11"/>
        <v>0</v>
      </c>
      <c r="CQ23" s="501">
        <f t="shared" si="12"/>
        <v>0</v>
      </c>
    </row>
    <row r="24" spans="1:95" ht="15" customHeight="1" x14ac:dyDescent="0.25">
      <c r="A24" s="2057" t="s">
        <v>320</v>
      </c>
      <c r="B24" s="2058"/>
      <c r="C24" s="1144">
        <f t="shared" si="0"/>
        <v>0</v>
      </c>
      <c r="D24" s="1118">
        <f>+F24+H24+J24+L24+N24+P24+R24+T24+V24+X24+Z24+AB24+AD24+AF24+AH24+AJ24+AL24</f>
        <v>0</v>
      </c>
      <c r="E24" s="1119">
        <f t="shared" ref="E24:E39" si="18">+G24+I24+K24+M24+O24+Q24+S24+U24+W24+Y24+AA24+AC24+AE24+AG24+AI24+AK24+AM24</f>
        <v>0</v>
      </c>
      <c r="F24" s="1616"/>
      <c r="G24" s="1617"/>
      <c r="H24" s="1616"/>
      <c r="I24" s="1617"/>
      <c r="J24" s="1616"/>
      <c r="K24" s="1617"/>
      <c r="L24" s="1616"/>
      <c r="M24" s="1617"/>
      <c r="N24" s="1616"/>
      <c r="O24" s="1617"/>
      <c r="P24" s="1616"/>
      <c r="Q24" s="1617"/>
      <c r="R24" s="1616"/>
      <c r="S24" s="1617"/>
      <c r="T24" s="1616"/>
      <c r="U24" s="1617"/>
      <c r="V24" s="1616"/>
      <c r="W24" s="1617"/>
      <c r="X24" s="1616"/>
      <c r="Y24" s="1617"/>
      <c r="Z24" s="1616"/>
      <c r="AA24" s="1617"/>
      <c r="AB24" s="1616"/>
      <c r="AC24" s="1617"/>
      <c r="AD24" s="1616"/>
      <c r="AE24" s="1617"/>
      <c r="AF24" s="1616"/>
      <c r="AG24" s="1617"/>
      <c r="AH24" s="1616"/>
      <c r="AI24" s="1617"/>
      <c r="AJ24" s="1616"/>
      <c r="AK24" s="1617"/>
      <c r="AL24" s="1616"/>
      <c r="AM24" s="1618"/>
      <c r="AN24" s="1268"/>
      <c r="AO24" s="1638"/>
      <c r="AP24" s="1639"/>
      <c r="AQ24" s="1643"/>
      <c r="AR24" s="1639"/>
      <c r="AS24" s="1116" t="str">
        <f t="shared" si="17"/>
        <v/>
      </c>
      <c r="AY24" s="471"/>
      <c r="AZ24"/>
      <c r="BO24" s="471"/>
      <c r="BP24" s="470"/>
      <c r="CB24" s="620" t="str">
        <f t="shared" si="4"/>
        <v/>
      </c>
      <c r="CC24" s="620" t="str">
        <f t="shared" si="5"/>
        <v/>
      </c>
      <c r="CD24" s="620" t="str">
        <f t="shared" si="14"/>
        <v/>
      </c>
      <c r="CE24" s="620" t="str">
        <f t="shared" si="15"/>
        <v/>
      </c>
      <c r="CN24" s="501">
        <f t="shared" si="9"/>
        <v>0</v>
      </c>
      <c r="CO24" s="501">
        <f t="shared" si="10"/>
        <v>0</v>
      </c>
      <c r="CP24" s="501">
        <f t="shared" si="11"/>
        <v>0</v>
      </c>
      <c r="CQ24" s="501">
        <f t="shared" si="12"/>
        <v>0</v>
      </c>
    </row>
    <row r="25" spans="1:95" ht="15" customHeight="1" x14ac:dyDescent="0.25">
      <c r="A25" s="2055" t="s">
        <v>893</v>
      </c>
      <c r="B25" s="2056"/>
      <c r="C25" s="1144">
        <f t="shared" ref="C25:C27" si="19">SUM(D25:E25)</f>
        <v>0</v>
      </c>
      <c r="D25" s="1118">
        <f t="shared" ref="D25:D27" si="20">+F25+H25+J25+L25+N25+P25+R25+T25+V25+X25+Z25+AB25+AD25+AF25+AH25+AJ25+AL25</f>
        <v>0</v>
      </c>
      <c r="E25" s="1119">
        <f t="shared" ref="E25:E27" si="21">+G25+I25+K25+M25+O25+Q25+S25+U25+W25+Y25+AA25+AC25+AE25+AG25+AI25+AK25+AM25</f>
        <v>0</v>
      </c>
      <c r="F25" s="1616"/>
      <c r="G25" s="1617"/>
      <c r="H25" s="1616"/>
      <c r="I25" s="1617"/>
      <c r="J25" s="1616"/>
      <c r="K25" s="1617"/>
      <c r="L25" s="1616"/>
      <c r="M25" s="1617"/>
      <c r="N25" s="1616"/>
      <c r="O25" s="1617"/>
      <c r="P25" s="1616"/>
      <c r="Q25" s="1617"/>
      <c r="R25" s="1616"/>
      <c r="S25" s="1617"/>
      <c r="T25" s="1616"/>
      <c r="U25" s="1617"/>
      <c r="V25" s="1616"/>
      <c r="W25" s="1617"/>
      <c r="X25" s="1616"/>
      <c r="Y25" s="1617"/>
      <c r="Z25" s="1616"/>
      <c r="AA25" s="1617"/>
      <c r="AB25" s="1616"/>
      <c r="AC25" s="1617"/>
      <c r="AD25" s="1616"/>
      <c r="AE25" s="1617"/>
      <c r="AF25" s="1616"/>
      <c r="AG25" s="1617"/>
      <c r="AH25" s="1616"/>
      <c r="AI25" s="1617"/>
      <c r="AJ25" s="1616"/>
      <c r="AK25" s="1617"/>
      <c r="AL25" s="1616"/>
      <c r="AM25" s="1618"/>
      <c r="AN25" s="1268"/>
      <c r="AO25" s="1638"/>
      <c r="AP25" s="1639"/>
      <c r="AQ25" s="1643"/>
      <c r="AR25" s="1639"/>
      <c r="AS25" s="1116" t="str">
        <f t="shared" si="17"/>
        <v/>
      </c>
      <c r="AY25" s="471"/>
      <c r="AZ25"/>
      <c r="BO25" s="471"/>
      <c r="BP25" s="470"/>
      <c r="CB25" s="620" t="str">
        <f t="shared" si="4"/>
        <v/>
      </c>
      <c r="CC25" s="620" t="str">
        <f t="shared" si="5"/>
        <v/>
      </c>
      <c r="CD25" s="620" t="str">
        <f t="shared" si="14"/>
        <v/>
      </c>
      <c r="CE25" s="620" t="str">
        <f t="shared" si="15"/>
        <v/>
      </c>
      <c r="CN25" s="501">
        <f>IF(AND(D25&gt;0,OR(AO25="")),1,IF(AO25&gt;D25,1,0))</f>
        <v>0</v>
      </c>
      <c r="CO25" s="501">
        <f>IF(AND(E25&gt;0,OR(AP25="")),1,IF(AP25&gt;E25,1,0))</f>
        <v>0</v>
      </c>
      <c r="CP25" s="501">
        <f t="shared" si="11"/>
        <v>0</v>
      </c>
      <c r="CQ25" s="501">
        <f t="shared" si="12"/>
        <v>0</v>
      </c>
    </row>
    <row r="26" spans="1:95" ht="15" customHeight="1" x14ac:dyDescent="0.25">
      <c r="A26" s="2062" t="s">
        <v>411</v>
      </c>
      <c r="B26" s="2063"/>
      <c r="C26" s="1146">
        <f t="shared" si="19"/>
        <v>0</v>
      </c>
      <c r="D26" s="1147">
        <f t="shared" si="20"/>
        <v>0</v>
      </c>
      <c r="E26" s="1123">
        <f t="shared" si="21"/>
        <v>0</v>
      </c>
      <c r="F26" s="1120"/>
      <c r="G26" s="1121"/>
      <c r="H26" s="1120"/>
      <c r="I26" s="1121"/>
      <c r="J26" s="1120"/>
      <c r="K26" s="1121"/>
      <c r="L26" s="1120"/>
      <c r="M26" s="1121"/>
      <c r="N26" s="1120"/>
      <c r="O26" s="1121"/>
      <c r="P26" s="1120"/>
      <c r="Q26" s="1121"/>
      <c r="R26" s="1120"/>
      <c r="S26" s="1121"/>
      <c r="T26" s="1120"/>
      <c r="U26" s="1121"/>
      <c r="V26" s="1120"/>
      <c r="W26" s="1121"/>
      <c r="X26" s="1120"/>
      <c r="Y26" s="1121"/>
      <c r="Z26" s="1120"/>
      <c r="AA26" s="1121"/>
      <c r="AB26" s="1120"/>
      <c r="AC26" s="1121"/>
      <c r="AD26" s="1120"/>
      <c r="AE26" s="1121"/>
      <c r="AF26" s="1120"/>
      <c r="AG26" s="1121"/>
      <c r="AH26" s="1120"/>
      <c r="AI26" s="1121"/>
      <c r="AJ26" s="1120"/>
      <c r="AK26" s="1121"/>
      <c r="AL26" s="1120"/>
      <c r="AM26" s="1124"/>
      <c r="AN26" s="1268"/>
      <c r="AO26" s="1122"/>
      <c r="AP26" s="1123"/>
      <c r="AQ26" s="1147"/>
      <c r="AR26" s="1123"/>
      <c r="AS26" s="1116"/>
      <c r="AY26" s="471"/>
      <c r="AZ26"/>
      <c r="BO26" s="471"/>
      <c r="BP26" s="470"/>
      <c r="CB26" s="471"/>
      <c r="CC26" s="471"/>
      <c r="CD26" s="471"/>
      <c r="CE26" s="471"/>
      <c r="CN26" s="471"/>
      <c r="CO26" s="471"/>
      <c r="CP26" s="471"/>
      <c r="CQ26" s="471"/>
    </row>
    <row r="27" spans="1:95" ht="15" customHeight="1" x14ac:dyDescent="0.25">
      <c r="A27" s="2062" t="s">
        <v>412</v>
      </c>
      <c r="B27" s="2063"/>
      <c r="C27" s="1146">
        <f t="shared" si="19"/>
        <v>0</v>
      </c>
      <c r="D27" s="1147">
        <f t="shared" si="20"/>
        <v>0</v>
      </c>
      <c r="E27" s="1123">
        <f t="shared" si="21"/>
        <v>0</v>
      </c>
      <c r="F27" s="1120"/>
      <c r="G27" s="1121"/>
      <c r="H27" s="1120"/>
      <c r="I27" s="1121"/>
      <c r="J27" s="1120"/>
      <c r="K27" s="1121"/>
      <c r="L27" s="1120"/>
      <c r="M27" s="1121"/>
      <c r="N27" s="1120"/>
      <c r="O27" s="1121"/>
      <c r="P27" s="1120"/>
      <c r="Q27" s="1121"/>
      <c r="R27" s="1120"/>
      <c r="S27" s="1121"/>
      <c r="T27" s="1120"/>
      <c r="U27" s="1121"/>
      <c r="V27" s="1120"/>
      <c r="W27" s="1121"/>
      <c r="X27" s="1120"/>
      <c r="Y27" s="1121"/>
      <c r="Z27" s="1120"/>
      <c r="AA27" s="1121"/>
      <c r="AB27" s="1120"/>
      <c r="AC27" s="1121"/>
      <c r="AD27" s="1120"/>
      <c r="AE27" s="1121"/>
      <c r="AF27" s="1120"/>
      <c r="AG27" s="1121"/>
      <c r="AH27" s="1120"/>
      <c r="AI27" s="1121"/>
      <c r="AJ27" s="1120"/>
      <c r="AK27" s="1121"/>
      <c r="AL27" s="1120"/>
      <c r="AM27" s="1124"/>
      <c r="AN27" s="1268"/>
      <c r="AO27" s="1122"/>
      <c r="AP27" s="1123"/>
      <c r="AQ27" s="1147"/>
      <c r="AR27" s="1123"/>
      <c r="AS27" s="1116"/>
      <c r="AY27" s="471"/>
      <c r="AZ27"/>
      <c r="BO27" s="471"/>
      <c r="BP27" s="470"/>
      <c r="CB27" s="471"/>
      <c r="CC27" s="471"/>
      <c r="CD27" s="471"/>
      <c r="CE27" s="471"/>
      <c r="CN27" s="471"/>
      <c r="CO27" s="471"/>
      <c r="CP27" s="471"/>
      <c r="CQ27" s="471"/>
    </row>
    <row r="28" spans="1:95" ht="15" customHeight="1" x14ac:dyDescent="0.25">
      <c r="A28" s="2064" t="s">
        <v>413</v>
      </c>
      <c r="B28" s="2065"/>
      <c r="C28" s="1144">
        <f t="shared" si="0"/>
        <v>0</v>
      </c>
      <c r="D28" s="1118">
        <f t="shared" ref="D28:D39" si="22">+F28+H28+J28+L28+N28+P28+R28+T28+V28+X28+Z28+AB28+AD28+AF28+AH28+AJ28+AL28</f>
        <v>0</v>
      </c>
      <c r="E28" s="1119">
        <f t="shared" si="18"/>
        <v>0</v>
      </c>
      <c r="F28" s="1616"/>
      <c r="G28" s="1617"/>
      <c r="H28" s="1616"/>
      <c r="I28" s="1617"/>
      <c r="J28" s="1616"/>
      <c r="K28" s="1617"/>
      <c r="L28" s="1616"/>
      <c r="M28" s="1617"/>
      <c r="N28" s="1616"/>
      <c r="O28" s="1617"/>
      <c r="P28" s="1616"/>
      <c r="Q28" s="1617"/>
      <c r="R28" s="1616"/>
      <c r="S28" s="1617"/>
      <c r="T28" s="1616"/>
      <c r="U28" s="1617"/>
      <c r="V28" s="1616"/>
      <c r="W28" s="1617"/>
      <c r="X28" s="1616"/>
      <c r="Y28" s="1617"/>
      <c r="Z28" s="1616"/>
      <c r="AA28" s="1617"/>
      <c r="AB28" s="1616"/>
      <c r="AC28" s="1617"/>
      <c r="AD28" s="1616"/>
      <c r="AE28" s="1617"/>
      <c r="AF28" s="1616"/>
      <c r="AG28" s="1617"/>
      <c r="AH28" s="1616"/>
      <c r="AI28" s="1617"/>
      <c r="AJ28" s="1616"/>
      <c r="AK28" s="1617"/>
      <c r="AL28" s="1616"/>
      <c r="AM28" s="1618"/>
      <c r="AN28" s="1268"/>
      <c r="AO28" s="1638"/>
      <c r="AP28" s="1639"/>
      <c r="AQ28" s="1643"/>
      <c r="AR28" s="1639"/>
      <c r="AS28" s="1116" t="str">
        <f t="shared" si="17"/>
        <v/>
      </c>
      <c r="AY28" s="471"/>
      <c r="AZ28"/>
      <c r="BO28" s="471"/>
      <c r="BP28" s="470"/>
      <c r="CB28" s="620" t="str">
        <f t="shared" si="4"/>
        <v/>
      </c>
      <c r="CC28" s="620" t="str">
        <f t="shared" si="5"/>
        <v/>
      </c>
      <c r="CD28" s="620" t="str">
        <f t="shared" si="14"/>
        <v/>
      </c>
      <c r="CE28" s="620" t="str">
        <f t="shared" si="15"/>
        <v/>
      </c>
      <c r="CN28" s="501">
        <f t="shared" si="9"/>
        <v>0</v>
      </c>
      <c r="CO28" s="501">
        <f t="shared" si="10"/>
        <v>0</v>
      </c>
      <c r="CP28" s="501">
        <f t="shared" si="11"/>
        <v>0</v>
      </c>
      <c r="CQ28" s="501">
        <f t="shared" si="12"/>
        <v>0</v>
      </c>
    </row>
    <row r="29" spans="1:95" ht="15" customHeight="1" x14ac:dyDescent="0.25">
      <c r="A29" s="2057" t="s">
        <v>414</v>
      </c>
      <c r="B29" s="2058"/>
      <c r="C29" s="1144">
        <f t="shared" si="0"/>
        <v>0</v>
      </c>
      <c r="D29" s="1118">
        <f t="shared" si="22"/>
        <v>0</v>
      </c>
      <c r="E29" s="1119">
        <f t="shared" si="18"/>
        <v>0</v>
      </c>
      <c r="F29" s="1616"/>
      <c r="G29" s="1617"/>
      <c r="H29" s="1616"/>
      <c r="I29" s="1617"/>
      <c r="J29" s="1616"/>
      <c r="K29" s="1617"/>
      <c r="L29" s="1616"/>
      <c r="M29" s="1617"/>
      <c r="N29" s="1616"/>
      <c r="O29" s="1617"/>
      <c r="P29" s="1616"/>
      <c r="Q29" s="1617"/>
      <c r="R29" s="1616"/>
      <c r="S29" s="1617"/>
      <c r="T29" s="1616"/>
      <c r="U29" s="1617"/>
      <c r="V29" s="1616"/>
      <c r="W29" s="1617"/>
      <c r="X29" s="1616"/>
      <c r="Y29" s="1617"/>
      <c r="Z29" s="1616"/>
      <c r="AA29" s="1617"/>
      <c r="AB29" s="1616"/>
      <c r="AC29" s="1617"/>
      <c r="AD29" s="1616"/>
      <c r="AE29" s="1617"/>
      <c r="AF29" s="1616"/>
      <c r="AG29" s="1617"/>
      <c r="AH29" s="1616"/>
      <c r="AI29" s="1617"/>
      <c r="AJ29" s="1616"/>
      <c r="AK29" s="1617"/>
      <c r="AL29" s="1616"/>
      <c r="AM29" s="1618"/>
      <c r="AN29" s="1268"/>
      <c r="AO29" s="1638"/>
      <c r="AP29" s="1639"/>
      <c r="AQ29" s="1643"/>
      <c r="AR29" s="1639"/>
      <c r="AS29" s="1116" t="str">
        <f t="shared" si="17"/>
        <v/>
      </c>
      <c r="AY29" s="471"/>
      <c r="AZ29"/>
      <c r="BO29" s="471"/>
      <c r="BP29" s="470"/>
      <c r="CB29" s="620" t="str">
        <f t="shared" si="4"/>
        <v/>
      </c>
      <c r="CC29" s="620" t="str">
        <f t="shared" si="5"/>
        <v/>
      </c>
      <c r="CD29" s="620" t="str">
        <f t="shared" si="14"/>
        <v/>
      </c>
      <c r="CE29" s="620" t="str">
        <f t="shared" si="15"/>
        <v/>
      </c>
      <c r="CN29" s="501">
        <f t="shared" si="9"/>
        <v>0</v>
      </c>
      <c r="CO29" s="501">
        <f t="shared" si="10"/>
        <v>0</v>
      </c>
      <c r="CP29" s="501">
        <f t="shared" si="11"/>
        <v>0</v>
      </c>
      <c r="CQ29" s="501">
        <f t="shared" si="12"/>
        <v>0</v>
      </c>
    </row>
    <row r="30" spans="1:95" ht="15" customHeight="1" x14ac:dyDescent="0.25">
      <c r="A30" s="2057" t="s">
        <v>415</v>
      </c>
      <c r="B30" s="2058"/>
      <c r="C30" s="1144">
        <f t="shared" si="0"/>
        <v>0</v>
      </c>
      <c r="D30" s="1118">
        <f t="shared" si="22"/>
        <v>0</v>
      </c>
      <c r="E30" s="1119">
        <f t="shared" si="18"/>
        <v>0</v>
      </c>
      <c r="F30" s="1616"/>
      <c r="G30" s="1617"/>
      <c r="H30" s="1616"/>
      <c r="I30" s="1617"/>
      <c r="J30" s="1616"/>
      <c r="K30" s="1617"/>
      <c r="L30" s="1616"/>
      <c r="M30" s="1617"/>
      <c r="N30" s="1616"/>
      <c r="O30" s="1617"/>
      <c r="P30" s="1616"/>
      <c r="Q30" s="1617"/>
      <c r="R30" s="1616"/>
      <c r="S30" s="1617"/>
      <c r="T30" s="1616"/>
      <c r="U30" s="1617"/>
      <c r="V30" s="1616"/>
      <c r="W30" s="1617"/>
      <c r="X30" s="1616"/>
      <c r="Y30" s="1617"/>
      <c r="Z30" s="1616"/>
      <c r="AA30" s="1617"/>
      <c r="AB30" s="1616"/>
      <c r="AC30" s="1617"/>
      <c r="AD30" s="1616"/>
      <c r="AE30" s="1617"/>
      <c r="AF30" s="1616"/>
      <c r="AG30" s="1617"/>
      <c r="AH30" s="1616"/>
      <c r="AI30" s="1617"/>
      <c r="AJ30" s="1616"/>
      <c r="AK30" s="1617"/>
      <c r="AL30" s="1616"/>
      <c r="AM30" s="1618"/>
      <c r="AN30" s="1268"/>
      <c r="AO30" s="1638"/>
      <c r="AP30" s="1639"/>
      <c r="AQ30" s="1643"/>
      <c r="AR30" s="1639"/>
      <c r="AS30" s="1116" t="str">
        <f t="shared" si="17"/>
        <v/>
      </c>
      <c r="AY30" s="471"/>
      <c r="AZ30"/>
      <c r="BO30" s="471"/>
      <c r="BP30" s="470"/>
      <c r="CB30" s="620" t="str">
        <f t="shared" si="4"/>
        <v/>
      </c>
      <c r="CC30" s="620" t="str">
        <f t="shared" si="5"/>
        <v/>
      </c>
      <c r="CD30" s="620" t="str">
        <f t="shared" si="14"/>
        <v/>
      </c>
      <c r="CE30" s="620" t="str">
        <f t="shared" si="15"/>
        <v/>
      </c>
      <c r="CN30" s="501">
        <f t="shared" si="9"/>
        <v>0</v>
      </c>
      <c r="CO30" s="501">
        <f t="shared" si="10"/>
        <v>0</v>
      </c>
      <c r="CP30" s="501">
        <f t="shared" si="11"/>
        <v>0</v>
      </c>
      <c r="CQ30" s="501">
        <f t="shared" si="12"/>
        <v>0</v>
      </c>
    </row>
    <row r="31" spans="1:95" ht="15" customHeight="1" x14ac:dyDescent="0.25">
      <c r="A31" s="2055" t="s">
        <v>416</v>
      </c>
      <c r="B31" s="2056"/>
      <c r="C31" s="1144">
        <f t="shared" si="0"/>
        <v>0</v>
      </c>
      <c r="D31" s="1118">
        <f t="shared" si="22"/>
        <v>0</v>
      </c>
      <c r="E31" s="1119">
        <f t="shared" si="18"/>
        <v>0</v>
      </c>
      <c r="F31" s="1616"/>
      <c r="G31" s="1617"/>
      <c r="H31" s="1616"/>
      <c r="I31" s="1617"/>
      <c r="J31" s="1616"/>
      <c r="K31" s="1617"/>
      <c r="L31" s="1616"/>
      <c r="M31" s="1617"/>
      <c r="N31" s="1616"/>
      <c r="O31" s="1617"/>
      <c r="P31" s="1616"/>
      <c r="Q31" s="1617"/>
      <c r="R31" s="1616"/>
      <c r="S31" s="1617"/>
      <c r="T31" s="1616"/>
      <c r="U31" s="1617"/>
      <c r="V31" s="1616"/>
      <c r="W31" s="1617"/>
      <c r="X31" s="1616"/>
      <c r="Y31" s="1617"/>
      <c r="Z31" s="1616"/>
      <c r="AA31" s="1617"/>
      <c r="AB31" s="1616"/>
      <c r="AC31" s="1617"/>
      <c r="AD31" s="1616"/>
      <c r="AE31" s="1617"/>
      <c r="AF31" s="1616"/>
      <c r="AG31" s="1617"/>
      <c r="AH31" s="1616"/>
      <c r="AI31" s="1617"/>
      <c r="AJ31" s="1616"/>
      <c r="AK31" s="1617"/>
      <c r="AL31" s="1616"/>
      <c r="AM31" s="1618"/>
      <c r="AN31" s="1268"/>
      <c r="AO31" s="1638"/>
      <c r="AP31" s="1639"/>
      <c r="AQ31" s="1643"/>
      <c r="AR31" s="1639"/>
      <c r="AS31" s="1116" t="str">
        <f t="shared" si="17"/>
        <v/>
      </c>
      <c r="AY31" s="471"/>
      <c r="AZ31"/>
      <c r="BO31" s="471"/>
      <c r="BP31" s="470"/>
      <c r="CB31" s="620" t="str">
        <f t="shared" si="4"/>
        <v/>
      </c>
      <c r="CC31" s="620" t="str">
        <f t="shared" si="5"/>
        <v/>
      </c>
      <c r="CD31" s="620" t="str">
        <f t="shared" si="14"/>
        <v/>
      </c>
      <c r="CE31" s="620" t="str">
        <f t="shared" si="15"/>
        <v/>
      </c>
      <c r="CN31" s="501">
        <f t="shared" si="9"/>
        <v>0</v>
      </c>
      <c r="CO31" s="501">
        <f t="shared" si="10"/>
        <v>0</v>
      </c>
      <c r="CP31" s="501">
        <f t="shared" si="11"/>
        <v>0</v>
      </c>
      <c r="CQ31" s="501">
        <f t="shared" si="12"/>
        <v>0</v>
      </c>
    </row>
    <row r="32" spans="1:95" ht="15" customHeight="1" x14ac:dyDescent="0.25">
      <c r="A32" s="2055" t="s">
        <v>417</v>
      </c>
      <c r="B32" s="2056"/>
      <c r="C32" s="1144">
        <f t="shared" si="0"/>
        <v>0</v>
      </c>
      <c r="D32" s="1118">
        <f t="shared" si="22"/>
        <v>0</v>
      </c>
      <c r="E32" s="1119">
        <f t="shared" si="18"/>
        <v>0</v>
      </c>
      <c r="F32" s="1616"/>
      <c r="G32" s="1617"/>
      <c r="H32" s="1616"/>
      <c r="I32" s="1617"/>
      <c r="J32" s="1616"/>
      <c r="K32" s="1617"/>
      <c r="L32" s="1616"/>
      <c r="M32" s="1617"/>
      <c r="N32" s="1616"/>
      <c r="O32" s="1617"/>
      <c r="P32" s="1616"/>
      <c r="Q32" s="1617"/>
      <c r="R32" s="1616"/>
      <c r="S32" s="1617"/>
      <c r="T32" s="1616"/>
      <c r="U32" s="1617"/>
      <c r="V32" s="1616"/>
      <c r="W32" s="1617"/>
      <c r="X32" s="1616"/>
      <c r="Y32" s="1617"/>
      <c r="Z32" s="1616"/>
      <c r="AA32" s="1617"/>
      <c r="AB32" s="1616"/>
      <c r="AC32" s="1617"/>
      <c r="AD32" s="1616"/>
      <c r="AE32" s="1617"/>
      <c r="AF32" s="1616"/>
      <c r="AG32" s="1617"/>
      <c r="AH32" s="1616"/>
      <c r="AI32" s="1617"/>
      <c r="AJ32" s="1616"/>
      <c r="AK32" s="1617"/>
      <c r="AL32" s="1616"/>
      <c r="AM32" s="1618"/>
      <c r="AN32" s="1268"/>
      <c r="AO32" s="1638"/>
      <c r="AP32" s="1639"/>
      <c r="AQ32" s="1643"/>
      <c r="AR32" s="1639"/>
      <c r="AS32" s="1116" t="str">
        <f t="shared" si="17"/>
        <v/>
      </c>
      <c r="AY32" s="471"/>
      <c r="AZ32"/>
      <c r="BO32" s="471"/>
      <c r="BP32" s="470"/>
      <c r="CB32" s="620" t="str">
        <f t="shared" si="4"/>
        <v/>
      </c>
      <c r="CC32" s="620" t="str">
        <f t="shared" si="5"/>
        <v/>
      </c>
      <c r="CD32" s="620" t="str">
        <f t="shared" si="14"/>
        <v/>
      </c>
      <c r="CE32" s="620" t="str">
        <f t="shared" si="15"/>
        <v/>
      </c>
      <c r="CN32" s="501">
        <f t="shared" si="9"/>
        <v>0</v>
      </c>
      <c r="CO32" s="501">
        <f t="shared" si="10"/>
        <v>0</v>
      </c>
      <c r="CP32" s="501">
        <f t="shared" si="11"/>
        <v>0</v>
      </c>
      <c r="CQ32" s="501">
        <f t="shared" si="12"/>
        <v>0</v>
      </c>
    </row>
    <row r="33" spans="1:97" ht="15" customHeight="1" x14ac:dyDescent="0.25">
      <c r="A33" s="2057" t="s">
        <v>418</v>
      </c>
      <c r="B33" s="2058"/>
      <c r="C33" s="1117">
        <f t="shared" si="0"/>
        <v>0</v>
      </c>
      <c r="D33" s="1136">
        <f t="shared" si="22"/>
        <v>0</v>
      </c>
      <c r="E33" s="1137">
        <f t="shared" si="18"/>
        <v>0</v>
      </c>
      <c r="F33" s="1616"/>
      <c r="G33" s="1617"/>
      <c r="H33" s="1616"/>
      <c r="I33" s="1617"/>
      <c r="J33" s="1616"/>
      <c r="K33" s="1617"/>
      <c r="L33" s="1616"/>
      <c r="M33" s="1617"/>
      <c r="N33" s="1616"/>
      <c r="O33" s="1617"/>
      <c r="P33" s="1616"/>
      <c r="Q33" s="1617"/>
      <c r="R33" s="1616"/>
      <c r="S33" s="1617"/>
      <c r="T33" s="1616"/>
      <c r="U33" s="1617"/>
      <c r="V33" s="1616"/>
      <c r="W33" s="1617"/>
      <c r="X33" s="1616"/>
      <c r="Y33" s="1617"/>
      <c r="Z33" s="1616"/>
      <c r="AA33" s="1617"/>
      <c r="AB33" s="1616"/>
      <c r="AC33" s="1617"/>
      <c r="AD33" s="1616"/>
      <c r="AE33" s="1617"/>
      <c r="AF33" s="1616"/>
      <c r="AG33" s="1617"/>
      <c r="AH33" s="1616"/>
      <c r="AI33" s="1617"/>
      <c r="AJ33" s="1616"/>
      <c r="AK33" s="1617"/>
      <c r="AL33" s="1616"/>
      <c r="AM33" s="1618"/>
      <c r="AN33" s="1291"/>
      <c r="AO33" s="1616"/>
      <c r="AP33" s="1617"/>
      <c r="AQ33" s="1621"/>
      <c r="AR33" s="1617"/>
      <c r="AS33" s="1116" t="str">
        <f t="shared" si="17"/>
        <v/>
      </c>
      <c r="AY33" s="471"/>
      <c r="AZ33"/>
      <c r="BO33" s="471"/>
      <c r="BP33" s="470"/>
      <c r="CB33" s="620" t="str">
        <f t="shared" si="4"/>
        <v/>
      </c>
      <c r="CC33" s="620" t="str">
        <f t="shared" si="5"/>
        <v/>
      </c>
      <c r="CD33" s="620" t="str">
        <f t="shared" si="14"/>
        <v/>
      </c>
      <c r="CE33" s="620" t="str">
        <f t="shared" si="15"/>
        <v/>
      </c>
      <c r="CN33" s="501">
        <f t="shared" si="9"/>
        <v>0</v>
      </c>
      <c r="CO33" s="501">
        <f t="shared" si="10"/>
        <v>0</v>
      </c>
      <c r="CP33" s="501">
        <f t="shared" si="11"/>
        <v>0</v>
      </c>
      <c r="CQ33" s="501">
        <f t="shared" si="12"/>
        <v>0</v>
      </c>
    </row>
    <row r="34" spans="1:97" ht="15" customHeight="1" x14ac:dyDescent="0.25">
      <c r="A34" s="2104" t="s">
        <v>419</v>
      </c>
      <c r="B34" s="2105"/>
      <c r="C34" s="1139">
        <f t="shared" si="0"/>
        <v>0</v>
      </c>
      <c r="D34" s="1133">
        <f t="shared" si="22"/>
        <v>0</v>
      </c>
      <c r="E34" s="1134">
        <f t="shared" si="18"/>
        <v>0</v>
      </c>
      <c r="F34" s="1623"/>
      <c r="G34" s="1624"/>
      <c r="H34" s="1623"/>
      <c r="I34" s="1624"/>
      <c r="J34" s="1623"/>
      <c r="K34" s="1624"/>
      <c r="L34" s="1623"/>
      <c r="M34" s="1624"/>
      <c r="N34" s="1623"/>
      <c r="O34" s="1624"/>
      <c r="P34" s="1623"/>
      <c r="Q34" s="1624"/>
      <c r="R34" s="1623"/>
      <c r="S34" s="1624"/>
      <c r="T34" s="1623"/>
      <c r="U34" s="1624"/>
      <c r="V34" s="1623"/>
      <c r="W34" s="1624"/>
      <c r="X34" s="1623"/>
      <c r="Y34" s="1624"/>
      <c r="Z34" s="1623"/>
      <c r="AA34" s="1624"/>
      <c r="AB34" s="1623"/>
      <c r="AC34" s="1624"/>
      <c r="AD34" s="1623"/>
      <c r="AE34" s="1624"/>
      <c r="AF34" s="1623"/>
      <c r="AG34" s="1624"/>
      <c r="AH34" s="1623"/>
      <c r="AI34" s="1624"/>
      <c r="AJ34" s="1623"/>
      <c r="AK34" s="1624"/>
      <c r="AL34" s="1623"/>
      <c r="AM34" s="1625"/>
      <c r="AN34" s="1575"/>
      <c r="AO34" s="1623"/>
      <c r="AP34" s="1624"/>
      <c r="AQ34" s="1628"/>
      <c r="AR34" s="1624"/>
      <c r="AS34" s="1116" t="str">
        <f t="shared" si="17"/>
        <v/>
      </c>
      <c r="AY34" s="471"/>
      <c r="AZ34"/>
      <c r="BO34" s="471"/>
      <c r="BP34" s="470"/>
      <c r="CB34" s="620" t="str">
        <f t="shared" si="4"/>
        <v/>
      </c>
      <c r="CC34" s="620" t="str">
        <f t="shared" si="5"/>
        <v/>
      </c>
      <c r="CD34" s="620" t="str">
        <f t="shared" si="14"/>
        <v/>
      </c>
      <c r="CE34" s="620" t="str">
        <f t="shared" si="15"/>
        <v/>
      </c>
      <c r="CN34" s="501">
        <f t="shared" si="9"/>
        <v>0</v>
      </c>
      <c r="CO34" s="501">
        <f t="shared" si="10"/>
        <v>0</v>
      </c>
      <c r="CP34" s="501">
        <f t="shared" si="11"/>
        <v>0</v>
      </c>
      <c r="CQ34" s="501">
        <f t="shared" si="12"/>
        <v>0</v>
      </c>
    </row>
    <row r="35" spans="1:97" ht="15" customHeight="1" x14ac:dyDescent="0.25">
      <c r="A35" s="2072" t="s">
        <v>420</v>
      </c>
      <c r="B35" s="1148" t="s">
        <v>421</v>
      </c>
      <c r="C35" s="1117">
        <f t="shared" si="0"/>
        <v>0</v>
      </c>
      <c r="D35" s="1136">
        <f t="shared" si="22"/>
        <v>0</v>
      </c>
      <c r="E35" s="1137">
        <f t="shared" si="18"/>
        <v>0</v>
      </c>
      <c r="F35" s="1616"/>
      <c r="G35" s="1617"/>
      <c r="H35" s="1616"/>
      <c r="I35" s="1617"/>
      <c r="J35" s="1616"/>
      <c r="K35" s="1617"/>
      <c r="L35" s="1616"/>
      <c r="M35" s="1617"/>
      <c r="N35" s="1616"/>
      <c r="O35" s="1617"/>
      <c r="P35" s="1616"/>
      <c r="Q35" s="1617"/>
      <c r="R35" s="1616"/>
      <c r="S35" s="1617"/>
      <c r="T35" s="1616"/>
      <c r="U35" s="1617"/>
      <c r="V35" s="1616"/>
      <c r="W35" s="1617"/>
      <c r="X35" s="1616"/>
      <c r="Y35" s="1617"/>
      <c r="Z35" s="1616"/>
      <c r="AA35" s="1617"/>
      <c r="AB35" s="1616"/>
      <c r="AC35" s="1617"/>
      <c r="AD35" s="1616"/>
      <c r="AE35" s="1617"/>
      <c r="AF35" s="1616"/>
      <c r="AG35" s="1617"/>
      <c r="AH35" s="1616"/>
      <c r="AI35" s="1617"/>
      <c r="AJ35" s="1616"/>
      <c r="AK35" s="1617"/>
      <c r="AL35" s="1616"/>
      <c r="AM35" s="1618"/>
      <c r="AN35" s="1291"/>
      <c r="AO35" s="1616"/>
      <c r="AP35" s="1617"/>
      <c r="AQ35" s="1621"/>
      <c r="AR35" s="1617"/>
      <c r="AS35" s="1116" t="str">
        <f t="shared" si="17"/>
        <v/>
      </c>
      <c r="AY35" s="471"/>
      <c r="AZ35"/>
      <c r="BO35" s="471"/>
      <c r="BP35" s="470"/>
      <c r="CB35" s="620" t="str">
        <f t="shared" si="4"/>
        <v/>
      </c>
      <c r="CC35" s="620" t="str">
        <f t="shared" si="5"/>
        <v/>
      </c>
      <c r="CD35" s="620" t="str">
        <f t="shared" si="14"/>
        <v/>
      </c>
      <c r="CE35" s="620" t="str">
        <f t="shared" si="15"/>
        <v/>
      </c>
      <c r="CN35" s="501">
        <f t="shared" si="9"/>
        <v>0</v>
      </c>
      <c r="CO35" s="501">
        <f t="shared" si="10"/>
        <v>0</v>
      </c>
      <c r="CP35" s="501">
        <f t="shared" si="11"/>
        <v>0</v>
      </c>
      <c r="CQ35" s="501">
        <f t="shared" si="12"/>
        <v>0</v>
      </c>
    </row>
    <row r="36" spans="1:97" ht="15" customHeight="1" x14ac:dyDescent="0.25">
      <c r="A36" s="2072"/>
      <c r="B36" s="1149" t="s">
        <v>422</v>
      </c>
      <c r="C36" s="1144">
        <f>SUM(D36:E36)</f>
        <v>0</v>
      </c>
      <c r="D36" s="1118">
        <f t="shared" si="22"/>
        <v>0</v>
      </c>
      <c r="E36" s="1119">
        <f t="shared" si="18"/>
        <v>0</v>
      </c>
      <c r="F36" s="1616"/>
      <c r="G36" s="1617"/>
      <c r="H36" s="1616"/>
      <c r="I36" s="1617"/>
      <c r="J36" s="1616"/>
      <c r="K36" s="1617"/>
      <c r="L36" s="1616"/>
      <c r="M36" s="1617"/>
      <c r="N36" s="1616"/>
      <c r="O36" s="1617"/>
      <c r="P36" s="1616"/>
      <c r="Q36" s="1617"/>
      <c r="R36" s="1616"/>
      <c r="S36" s="1617"/>
      <c r="T36" s="1616"/>
      <c r="U36" s="1617"/>
      <c r="V36" s="1616"/>
      <c r="W36" s="1617"/>
      <c r="X36" s="1616"/>
      <c r="Y36" s="1617"/>
      <c r="Z36" s="1616"/>
      <c r="AA36" s="1617"/>
      <c r="AB36" s="1616"/>
      <c r="AC36" s="1617"/>
      <c r="AD36" s="1616"/>
      <c r="AE36" s="1617"/>
      <c r="AF36" s="1616"/>
      <c r="AG36" s="1617"/>
      <c r="AH36" s="1616"/>
      <c r="AI36" s="1617"/>
      <c r="AJ36" s="1616"/>
      <c r="AK36" s="1617"/>
      <c r="AL36" s="1616"/>
      <c r="AM36" s="1618"/>
      <c r="AN36" s="1268"/>
      <c r="AO36" s="1638"/>
      <c r="AP36" s="1639"/>
      <c r="AQ36" s="1643"/>
      <c r="AR36" s="1639"/>
      <c r="AS36" s="1116" t="str">
        <f t="shared" si="17"/>
        <v/>
      </c>
      <c r="AY36" s="471"/>
      <c r="AZ36"/>
      <c r="BO36" s="471"/>
      <c r="BP36" s="470"/>
      <c r="CB36" s="620" t="str">
        <f t="shared" si="4"/>
        <v/>
      </c>
      <c r="CC36" s="620" t="str">
        <f t="shared" si="5"/>
        <v/>
      </c>
      <c r="CD36" s="620" t="str">
        <f t="shared" si="14"/>
        <v/>
      </c>
      <c r="CE36" s="620" t="str">
        <f t="shared" si="15"/>
        <v/>
      </c>
      <c r="CN36" s="501">
        <f t="shared" si="9"/>
        <v>0</v>
      </c>
      <c r="CO36" s="501">
        <f t="shared" si="10"/>
        <v>0</v>
      </c>
      <c r="CP36" s="501">
        <f t="shared" si="11"/>
        <v>0</v>
      </c>
      <c r="CQ36" s="501">
        <f t="shared" si="12"/>
        <v>0</v>
      </c>
    </row>
    <row r="37" spans="1:97" ht="15" customHeight="1" thickBot="1" x14ac:dyDescent="0.3">
      <c r="A37" s="2073"/>
      <c r="B37" s="1150" t="s">
        <v>423</v>
      </c>
      <c r="C37" s="1144">
        <f>SUM(D37:E37)</f>
        <v>0</v>
      </c>
      <c r="D37" s="1151">
        <f>+F37+H37+J37+L37+N37+P37+R37+T37+V37+X37+Z37+AB37+AD37+AF37+AH37+AJ37+AL37</f>
        <v>0</v>
      </c>
      <c r="E37" s="1152">
        <f>+G37+I37+K37+M37+O37+Q37+S37+U37+W37+Y37+AA37+AC37+AE37+AG37+AI37+AK37+AM37</f>
        <v>0</v>
      </c>
      <c r="F37" s="1616"/>
      <c r="G37" s="1617"/>
      <c r="H37" s="1616"/>
      <c r="I37" s="1617"/>
      <c r="J37" s="1616"/>
      <c r="K37" s="1617"/>
      <c r="L37" s="1616"/>
      <c r="M37" s="1617"/>
      <c r="N37" s="1616"/>
      <c r="O37" s="1617"/>
      <c r="P37" s="1616"/>
      <c r="Q37" s="1617"/>
      <c r="R37" s="1616"/>
      <c r="S37" s="1617"/>
      <c r="T37" s="1616"/>
      <c r="U37" s="1617"/>
      <c r="V37" s="1616"/>
      <c r="W37" s="1617"/>
      <c r="X37" s="1616"/>
      <c r="Y37" s="1617"/>
      <c r="Z37" s="1616"/>
      <c r="AA37" s="1617"/>
      <c r="AB37" s="1616"/>
      <c r="AC37" s="1617"/>
      <c r="AD37" s="1616"/>
      <c r="AE37" s="1617"/>
      <c r="AF37" s="1616"/>
      <c r="AG37" s="1617"/>
      <c r="AH37" s="1616"/>
      <c r="AI37" s="1617"/>
      <c r="AJ37" s="1616"/>
      <c r="AK37" s="1617"/>
      <c r="AL37" s="1616"/>
      <c r="AM37" s="1618"/>
      <c r="AN37" s="1576"/>
      <c r="AO37" s="1646"/>
      <c r="AP37" s="1645"/>
      <c r="AQ37" s="1650"/>
      <c r="AR37" s="1645"/>
      <c r="AS37" s="1116" t="str">
        <f>$CB37&amp;$CC37&amp;$CD37&amp;$CE37&amp;CF37</f>
        <v/>
      </c>
      <c r="AY37" s="471"/>
      <c r="AZ37"/>
      <c r="BO37" s="471"/>
      <c r="BP37" s="470"/>
      <c r="CB37" s="620" t="str">
        <f t="shared" si="4"/>
        <v/>
      </c>
      <c r="CC37" s="620" t="str">
        <f t="shared" si="5"/>
        <v/>
      </c>
      <c r="CD37" s="620" t="str">
        <f t="shared" si="14"/>
        <v/>
      </c>
      <c r="CE37" s="620" t="str">
        <f t="shared" si="15"/>
        <v/>
      </c>
      <c r="CF37" s="620" t="str">
        <f>IF($C37&lt;=$C35+$C36,"","TOTAL PERSONAS CON LESIÓN POR PRESIÓN* no debe ser mayor que los Dependientes oncológicos + no Oncológicos. ")</f>
        <v/>
      </c>
      <c r="CN37" s="501">
        <f t="shared" si="9"/>
        <v>0</v>
      </c>
      <c r="CO37" s="501">
        <f t="shared" si="10"/>
        <v>0</v>
      </c>
      <c r="CP37" s="501">
        <f t="shared" si="11"/>
        <v>0</v>
      </c>
      <c r="CQ37" s="501">
        <f t="shared" si="12"/>
        <v>0</v>
      </c>
      <c r="CR37" s="501">
        <f>IF($C37&lt;=$C35+$C36,0,1)</f>
        <v>0</v>
      </c>
    </row>
    <row r="38" spans="1:97" ht="15" customHeight="1" thickTop="1" x14ac:dyDescent="0.25">
      <c r="A38" s="2052" t="s">
        <v>424</v>
      </c>
      <c r="B38" s="1153" t="s">
        <v>425</v>
      </c>
      <c r="C38" s="1154">
        <f>SUM(D38:E38)</f>
        <v>0</v>
      </c>
      <c r="D38" s="1155">
        <f>+F38+H38+J38+L38+N38+P38+R38+T38+V38+X38+Z38+AB38+AD38+AF38+AH38+AJ38+AL38</f>
        <v>0</v>
      </c>
      <c r="E38" s="1156">
        <f>+G38+I38+K38+M38+O38+Q38+S38+U38+W38+Y38+AA38+AC38+AE38+AG38+AI38+AK38+AM38</f>
        <v>0</v>
      </c>
      <c r="F38" s="1688"/>
      <c r="G38" s="1689"/>
      <c r="H38" s="1688"/>
      <c r="I38" s="1689"/>
      <c r="J38" s="1688"/>
      <c r="K38" s="1689"/>
      <c r="L38" s="1688"/>
      <c r="M38" s="1689"/>
      <c r="N38" s="1688"/>
      <c r="O38" s="1689"/>
      <c r="P38" s="1688"/>
      <c r="Q38" s="1689"/>
      <c r="R38" s="1688"/>
      <c r="S38" s="1689"/>
      <c r="T38" s="1688"/>
      <c r="U38" s="1689"/>
      <c r="V38" s="1688"/>
      <c r="W38" s="1689"/>
      <c r="X38" s="1688"/>
      <c r="Y38" s="1689"/>
      <c r="Z38" s="1688"/>
      <c r="AA38" s="1689"/>
      <c r="AB38" s="1688"/>
      <c r="AC38" s="1689"/>
      <c r="AD38" s="1688"/>
      <c r="AE38" s="1689"/>
      <c r="AF38" s="1688"/>
      <c r="AG38" s="1689"/>
      <c r="AH38" s="1688"/>
      <c r="AI38" s="1689"/>
      <c r="AJ38" s="1688"/>
      <c r="AK38" s="1689"/>
      <c r="AL38" s="1688"/>
      <c r="AM38" s="1691"/>
      <c r="AN38" s="1577"/>
      <c r="AO38" s="1688"/>
      <c r="AP38" s="1689"/>
      <c r="AQ38" s="1690"/>
      <c r="AR38" s="1689"/>
      <c r="AS38" s="1116" t="str">
        <f>$CB38&amp;$CC38&amp;$CD38&amp;$CE38&amp;$CF38&amp;$CG38</f>
        <v/>
      </c>
      <c r="AY38" s="471"/>
      <c r="AZ38"/>
      <c r="BO38" s="471"/>
      <c r="BP38" s="470"/>
      <c r="CB38" s="620" t="str">
        <f t="shared" si="4"/>
        <v/>
      </c>
      <c r="CC38" s="620" t="str">
        <f t="shared" si="5"/>
        <v/>
      </c>
      <c r="CD38" s="620" t="str">
        <f t="shared" si="14"/>
        <v/>
      </c>
      <c r="CE38" s="620" t="str">
        <f t="shared" si="15"/>
        <v/>
      </c>
      <c r="CF38" s="620" t="str">
        <f>IF($C38&lt;=$C35+$C36,"","*Total Personas con Atención Domiciliaria por Dependencia Severa no debe ser mayor que la variable Dependencia Severa / oncológicos + no Oncológicos. ")</f>
        <v/>
      </c>
      <c r="CN38" s="501">
        <f t="shared" si="9"/>
        <v>0</v>
      </c>
      <c r="CO38" s="501">
        <f t="shared" si="10"/>
        <v>0</v>
      </c>
      <c r="CP38" s="501">
        <f t="shared" si="11"/>
        <v>0</v>
      </c>
      <c r="CQ38" s="501">
        <f t="shared" si="12"/>
        <v>0</v>
      </c>
      <c r="CR38" s="501">
        <f>IF($C38&lt;=$C35+$C36,0,1)</f>
        <v>0</v>
      </c>
    </row>
    <row r="39" spans="1:97" ht="15" customHeight="1" x14ac:dyDescent="0.25">
      <c r="A39" s="2053"/>
      <c r="B39" s="1148" t="s">
        <v>421</v>
      </c>
      <c r="C39" s="1144">
        <f t="shared" si="0"/>
        <v>0</v>
      </c>
      <c r="D39" s="1118">
        <f t="shared" si="22"/>
        <v>0</v>
      </c>
      <c r="E39" s="1119">
        <f t="shared" si="18"/>
        <v>0</v>
      </c>
      <c r="F39" s="1638"/>
      <c r="G39" s="1639"/>
      <c r="H39" s="1638"/>
      <c r="I39" s="1639"/>
      <c r="J39" s="1638"/>
      <c r="K39" s="1639"/>
      <c r="L39" s="1638"/>
      <c r="M39" s="1639"/>
      <c r="N39" s="1638"/>
      <c r="O39" s="1639"/>
      <c r="P39" s="1638"/>
      <c r="Q39" s="1639"/>
      <c r="R39" s="1638"/>
      <c r="S39" s="1639"/>
      <c r="T39" s="1638"/>
      <c r="U39" s="1639"/>
      <c r="V39" s="1638"/>
      <c r="W39" s="1639"/>
      <c r="X39" s="1638"/>
      <c r="Y39" s="1639"/>
      <c r="Z39" s="1638"/>
      <c r="AA39" s="1639"/>
      <c r="AB39" s="1638"/>
      <c r="AC39" s="1639"/>
      <c r="AD39" s="1638"/>
      <c r="AE39" s="1639"/>
      <c r="AF39" s="1638"/>
      <c r="AG39" s="1639"/>
      <c r="AH39" s="1638"/>
      <c r="AI39" s="1639"/>
      <c r="AJ39" s="1638"/>
      <c r="AK39" s="1639"/>
      <c r="AL39" s="1638"/>
      <c r="AM39" s="1640"/>
      <c r="AN39" s="1268"/>
      <c r="AO39" s="1638"/>
      <c r="AP39" s="1639"/>
      <c r="AQ39" s="1643"/>
      <c r="AR39" s="1639"/>
      <c r="AS39" s="1116" t="str">
        <f>$CB39&amp;$CC39&amp;$CD39&amp;$CE39&amp;$CF39&amp;$CG39</f>
        <v/>
      </c>
      <c r="AY39" s="471"/>
      <c r="AZ39"/>
      <c r="BO39" s="471"/>
      <c r="BP39" s="470"/>
      <c r="CB39" s="620" t="str">
        <f t="shared" si="4"/>
        <v/>
      </c>
      <c r="CC39" s="620" t="str">
        <f t="shared" si="5"/>
        <v/>
      </c>
      <c r="CD39" s="620" t="str">
        <f t="shared" si="14"/>
        <v/>
      </c>
      <c r="CE39" s="620" t="str">
        <f t="shared" si="15"/>
        <v/>
      </c>
      <c r="CF39" s="620" t="str">
        <f>IF($C39&lt;=$C$38,"","* Atención Domiciliaria por Dependencia Severa: Total Oncológica no debe ser mayor al Total Personas. ")</f>
        <v/>
      </c>
      <c r="CG39" s="620" t="str">
        <f>IF($C39&lt;=$C35,"","* Atención Domiciliaria por Dependencia Severa: Total Oncológica no debe ser mayor a la variable Dependencia Severa / Oncológica.")</f>
        <v/>
      </c>
      <c r="CN39" s="501">
        <f t="shared" si="9"/>
        <v>0</v>
      </c>
      <c r="CO39" s="501">
        <f t="shared" si="10"/>
        <v>0</v>
      </c>
      <c r="CP39" s="501">
        <f t="shared" si="11"/>
        <v>0</v>
      </c>
      <c r="CQ39" s="501">
        <f t="shared" si="12"/>
        <v>0</v>
      </c>
      <c r="CR39" s="501">
        <f>IF($C39&lt;=$C$38,0,1)</f>
        <v>0</v>
      </c>
      <c r="CS39" s="501">
        <f>IF($C39&lt;=$C35,0,1)</f>
        <v>0</v>
      </c>
    </row>
    <row r="40" spans="1:97" ht="15" customHeight="1" x14ac:dyDescent="0.25">
      <c r="A40" s="2053"/>
      <c r="B40" s="1149" t="s">
        <v>422</v>
      </c>
      <c r="C40" s="1144">
        <f t="shared" ref="C40:C42" si="23">SUM(D40:E40)</f>
        <v>0</v>
      </c>
      <c r="D40" s="1118">
        <f t="shared" ref="D40:D43" si="24">+F40+H40+J40+L40+N40+P40+R40+T40+V40+X40+Z40+AB40+AD40+AF40+AH40+AJ40+AL40</f>
        <v>0</v>
      </c>
      <c r="E40" s="1119">
        <f t="shared" ref="E40:E43" si="25">+G40+I40+K40+M40+O40+Q40+S40+U40+W40+Y40+AA40+AC40+AE40+AG40+AI40+AK40+AM40</f>
        <v>0</v>
      </c>
      <c r="F40" s="1638"/>
      <c r="G40" s="1639"/>
      <c r="H40" s="1638"/>
      <c r="I40" s="1639"/>
      <c r="J40" s="1638"/>
      <c r="K40" s="1639"/>
      <c r="L40" s="1638"/>
      <c r="M40" s="1639"/>
      <c r="N40" s="1638"/>
      <c r="O40" s="1639"/>
      <c r="P40" s="1638"/>
      <c r="Q40" s="1639"/>
      <c r="R40" s="1638"/>
      <c r="S40" s="1639"/>
      <c r="T40" s="1638"/>
      <c r="U40" s="1639"/>
      <c r="V40" s="1638"/>
      <c r="W40" s="1639"/>
      <c r="X40" s="1638"/>
      <c r="Y40" s="1639"/>
      <c r="Z40" s="1638"/>
      <c r="AA40" s="1639"/>
      <c r="AB40" s="1638"/>
      <c r="AC40" s="1639"/>
      <c r="AD40" s="1638"/>
      <c r="AE40" s="1639"/>
      <c r="AF40" s="1638"/>
      <c r="AG40" s="1639"/>
      <c r="AH40" s="1638"/>
      <c r="AI40" s="1639"/>
      <c r="AJ40" s="1638"/>
      <c r="AK40" s="1639"/>
      <c r="AL40" s="1638"/>
      <c r="AM40" s="1640"/>
      <c r="AN40" s="1268"/>
      <c r="AO40" s="1638"/>
      <c r="AP40" s="1639"/>
      <c r="AQ40" s="1643"/>
      <c r="AR40" s="1639"/>
      <c r="AS40" s="1116" t="str">
        <f t="shared" ref="AS40" si="26">$CB40&amp;$CC40&amp;$CD40&amp;$CE40&amp;$CF40&amp;$CG40</f>
        <v/>
      </c>
      <c r="AY40" s="471"/>
      <c r="AZ40"/>
      <c r="BO40" s="471"/>
      <c r="BP40" s="470"/>
      <c r="CB40" s="620" t="str">
        <f t="shared" si="4"/>
        <v/>
      </c>
      <c r="CC40" s="620" t="str">
        <f t="shared" si="5"/>
        <v/>
      </c>
      <c r="CD40" s="620" t="str">
        <f t="shared" si="14"/>
        <v/>
      </c>
      <c r="CE40" s="620" t="str">
        <f t="shared" si="15"/>
        <v/>
      </c>
      <c r="CF40" s="620" t="str">
        <f>IF($C40&lt;=$C$38,"","* Atención Domiciliaria por Dependencia Severa: Total No Oncológica no debe ser mayor al Total Personas. ")</f>
        <v/>
      </c>
      <c r="CG40" s="620" t="str">
        <f>IF($C40&lt;=$C36,"","* Atención Domiciliaria por Dependencia Severa: Total No Oncológica no debe ser mayor a la variable Dependencia Severa / No Oncológica.")</f>
        <v/>
      </c>
      <c r="CN40" s="501">
        <f t="shared" si="9"/>
        <v>0</v>
      </c>
      <c r="CO40" s="501">
        <f t="shared" si="10"/>
        <v>0</v>
      </c>
      <c r="CP40" s="501">
        <f t="shared" si="11"/>
        <v>0</v>
      </c>
      <c r="CQ40" s="501">
        <f t="shared" si="12"/>
        <v>0</v>
      </c>
      <c r="CR40" s="501">
        <f>IF($C40&lt;=$C$38,0,1)</f>
        <v>0</v>
      </c>
      <c r="CS40" s="501">
        <f>IF($C40&lt;=$C36,0,1)</f>
        <v>0</v>
      </c>
    </row>
    <row r="41" spans="1:97" ht="15" customHeight="1" x14ac:dyDescent="0.25">
      <c r="A41" s="2053"/>
      <c r="B41" s="1149" t="s">
        <v>426</v>
      </c>
      <c r="C41" s="1144">
        <f t="shared" si="23"/>
        <v>0</v>
      </c>
      <c r="D41" s="1118">
        <f t="shared" si="24"/>
        <v>0</v>
      </c>
      <c r="E41" s="1119">
        <f t="shared" si="25"/>
        <v>0</v>
      </c>
      <c r="F41" s="1638"/>
      <c r="G41" s="1639"/>
      <c r="H41" s="1638"/>
      <c r="I41" s="1639"/>
      <c r="J41" s="1638"/>
      <c r="K41" s="1639"/>
      <c r="L41" s="1638"/>
      <c r="M41" s="1639"/>
      <c r="N41" s="1638"/>
      <c r="O41" s="1639"/>
      <c r="P41" s="1638"/>
      <c r="Q41" s="1639"/>
      <c r="R41" s="1638"/>
      <c r="S41" s="1639"/>
      <c r="T41" s="1638"/>
      <c r="U41" s="1639"/>
      <c r="V41" s="1638"/>
      <c r="W41" s="1639"/>
      <c r="X41" s="1638"/>
      <c r="Y41" s="1639"/>
      <c r="Z41" s="1638"/>
      <c r="AA41" s="1639"/>
      <c r="AB41" s="1638"/>
      <c r="AC41" s="1639"/>
      <c r="AD41" s="1638"/>
      <c r="AE41" s="1639"/>
      <c r="AF41" s="1638"/>
      <c r="AG41" s="1639"/>
      <c r="AH41" s="1638"/>
      <c r="AI41" s="1639"/>
      <c r="AJ41" s="1638"/>
      <c r="AK41" s="1639"/>
      <c r="AL41" s="1638"/>
      <c r="AM41" s="1640"/>
      <c r="AN41" s="1268"/>
      <c r="AO41" s="1638"/>
      <c r="AP41" s="1639"/>
      <c r="AQ41" s="1643"/>
      <c r="AR41" s="1639"/>
      <c r="AS41" s="1116" t="str">
        <f>$CB41&amp;$CC41&amp;$CD41&amp;$CE41&amp;$CF41</f>
        <v/>
      </c>
      <c r="AY41" s="471"/>
      <c r="AZ41"/>
      <c r="BO41" s="471"/>
      <c r="BP41" s="470"/>
      <c r="CB41" s="620" t="str">
        <f t="shared" si="4"/>
        <v/>
      </c>
      <c r="CC41" s="620" t="str">
        <f t="shared" si="5"/>
        <v/>
      </c>
      <c r="CD41" s="620" t="str">
        <f t="shared" si="14"/>
        <v/>
      </c>
      <c r="CE41" s="620" t="str">
        <f t="shared" si="15"/>
        <v/>
      </c>
      <c r="CF41" s="620" t="str">
        <f>IF($C41&lt;=$C$38,"","* Atención Domiciliaria por Dependencia Severa / Con Demencia no debe ser mayor al Total Personas. ")</f>
        <v/>
      </c>
      <c r="CN41" s="501">
        <f t="shared" si="9"/>
        <v>0</v>
      </c>
      <c r="CO41" s="501">
        <f t="shared" si="10"/>
        <v>0</v>
      </c>
      <c r="CP41" s="501">
        <f t="shared" si="11"/>
        <v>0</v>
      </c>
      <c r="CQ41" s="501">
        <f t="shared" si="12"/>
        <v>0</v>
      </c>
      <c r="CR41" s="501">
        <f>IF($C41&lt;=$C$38,0,1)</f>
        <v>0</v>
      </c>
    </row>
    <row r="42" spans="1:97" ht="15" customHeight="1" x14ac:dyDescent="0.25">
      <c r="A42" s="2053"/>
      <c r="B42" s="1149" t="s">
        <v>427</v>
      </c>
      <c r="C42" s="1144">
        <f t="shared" si="23"/>
        <v>0</v>
      </c>
      <c r="D42" s="1118">
        <f t="shared" si="24"/>
        <v>0</v>
      </c>
      <c r="E42" s="1119">
        <f t="shared" si="25"/>
        <v>0</v>
      </c>
      <c r="F42" s="1638"/>
      <c r="G42" s="1639"/>
      <c r="H42" s="1638"/>
      <c r="I42" s="1639"/>
      <c r="J42" s="1638"/>
      <c r="K42" s="1639"/>
      <c r="L42" s="1638"/>
      <c r="M42" s="1639"/>
      <c r="N42" s="1638"/>
      <c r="O42" s="1639"/>
      <c r="P42" s="1638"/>
      <c r="Q42" s="1639"/>
      <c r="R42" s="1638"/>
      <c r="S42" s="1639"/>
      <c r="T42" s="1638"/>
      <c r="U42" s="1639"/>
      <c r="V42" s="1638"/>
      <c r="W42" s="1639"/>
      <c r="X42" s="1638"/>
      <c r="Y42" s="1639"/>
      <c r="Z42" s="1638"/>
      <c r="AA42" s="1639"/>
      <c r="AB42" s="1638"/>
      <c r="AC42" s="1639"/>
      <c r="AD42" s="1638"/>
      <c r="AE42" s="1639"/>
      <c r="AF42" s="1638"/>
      <c r="AG42" s="1639"/>
      <c r="AH42" s="1638"/>
      <c r="AI42" s="1639"/>
      <c r="AJ42" s="1638"/>
      <c r="AK42" s="1639"/>
      <c r="AL42" s="1638"/>
      <c r="AM42" s="1640"/>
      <c r="AN42" s="1268"/>
      <c r="AO42" s="1638"/>
      <c r="AP42" s="1639"/>
      <c r="AQ42" s="1643"/>
      <c r="AR42" s="1639"/>
      <c r="AS42" s="1116" t="str">
        <f>$CB42&amp;$CC42&amp;$CD42&amp;$CE42&amp;$CF42</f>
        <v/>
      </c>
      <c r="AY42" s="471"/>
      <c r="AZ42"/>
      <c r="BO42" s="471"/>
      <c r="BP42" s="470"/>
      <c r="CB42" s="620" t="str">
        <f t="shared" si="4"/>
        <v/>
      </c>
      <c r="CC42" s="620" t="str">
        <f t="shared" si="5"/>
        <v/>
      </c>
      <c r="CD42" s="620" t="str">
        <f t="shared" si="14"/>
        <v/>
      </c>
      <c r="CE42" s="620" t="str">
        <f t="shared" si="15"/>
        <v/>
      </c>
      <c r="CF42" s="620" t="str">
        <f>IF($C42&lt;=$C$38,"","* Atención Domiciliaria por Dependencia Severa / Total Institucionalizada no debe ser mayor al Total Personas. ")</f>
        <v/>
      </c>
      <c r="CN42" s="501">
        <f t="shared" si="9"/>
        <v>0</v>
      </c>
      <c r="CO42" s="501">
        <f t="shared" si="10"/>
        <v>0</v>
      </c>
      <c r="CP42" s="501">
        <f t="shared" si="11"/>
        <v>0</v>
      </c>
      <c r="CQ42" s="501">
        <f t="shared" si="12"/>
        <v>0</v>
      </c>
      <c r="CR42" s="501">
        <f>IF($C42&lt;=$C$38,0,1)</f>
        <v>0</v>
      </c>
    </row>
    <row r="43" spans="1:97" ht="15" customHeight="1" x14ac:dyDescent="0.25">
      <c r="A43" s="2053"/>
      <c r="B43" s="1149" t="s">
        <v>423</v>
      </c>
      <c r="C43" s="1144">
        <f>SUM(D43:E43)</f>
        <v>0</v>
      </c>
      <c r="D43" s="1118">
        <f t="shared" si="24"/>
        <v>0</v>
      </c>
      <c r="E43" s="1119">
        <f t="shared" si="25"/>
        <v>0</v>
      </c>
      <c r="F43" s="1638"/>
      <c r="G43" s="1639"/>
      <c r="H43" s="1638"/>
      <c r="I43" s="1639"/>
      <c r="J43" s="1638"/>
      <c r="K43" s="1639"/>
      <c r="L43" s="1638"/>
      <c r="M43" s="1639"/>
      <c r="N43" s="1638"/>
      <c r="O43" s="1639"/>
      <c r="P43" s="1638"/>
      <c r="Q43" s="1639"/>
      <c r="R43" s="1638"/>
      <c r="S43" s="1639"/>
      <c r="T43" s="1638"/>
      <c r="U43" s="1639"/>
      <c r="V43" s="1638"/>
      <c r="W43" s="1639"/>
      <c r="X43" s="1638"/>
      <c r="Y43" s="1639"/>
      <c r="Z43" s="1638"/>
      <c r="AA43" s="1639"/>
      <c r="AB43" s="1638"/>
      <c r="AC43" s="1639"/>
      <c r="AD43" s="1638"/>
      <c r="AE43" s="1639"/>
      <c r="AF43" s="1638"/>
      <c r="AG43" s="1639"/>
      <c r="AH43" s="1638"/>
      <c r="AI43" s="1639"/>
      <c r="AJ43" s="1638"/>
      <c r="AK43" s="1639"/>
      <c r="AL43" s="1638"/>
      <c r="AM43" s="1640"/>
      <c r="AN43" s="1268"/>
      <c r="AO43" s="1638"/>
      <c r="AP43" s="1639"/>
      <c r="AQ43" s="1643"/>
      <c r="AR43" s="1639"/>
      <c r="AS43" s="1116" t="str">
        <f>$CB43&amp;$CC43&amp;$CD43&amp;$CE43&amp;$CF43&amp;$CG43</f>
        <v/>
      </c>
      <c r="AY43" s="471"/>
      <c r="AZ43"/>
      <c r="BO43" s="471"/>
      <c r="BP43" s="470"/>
      <c r="CB43" s="620" t="str">
        <f t="shared" si="4"/>
        <v/>
      </c>
      <c r="CC43" s="620" t="str">
        <f t="shared" si="5"/>
        <v/>
      </c>
      <c r="CD43" s="620" t="str">
        <f t="shared" si="14"/>
        <v/>
      </c>
      <c r="CE43" s="620" t="str">
        <f t="shared" si="15"/>
        <v/>
      </c>
      <c r="CF43" s="620" t="str">
        <f>IF($C43&lt;=$C38,"","* Atención Domiciliaria por Dependencia Severa / Total Personas con lesión por Presión no debe ser mayor al Total Personas. ")</f>
        <v/>
      </c>
      <c r="CG43" s="620" t="str">
        <f>IF($C43&lt;=$C37,"","* Atención Domiciliaria por Dependencia Severa: Total Personas con Lesión por Presión no debe ser mayor a la variable Dependencia Severa / Total Personas con Lesión por Presión. ")</f>
        <v/>
      </c>
      <c r="CN43" s="501">
        <f t="shared" si="9"/>
        <v>0</v>
      </c>
      <c r="CO43" s="501">
        <f t="shared" si="10"/>
        <v>0</v>
      </c>
      <c r="CP43" s="501">
        <f t="shared" si="11"/>
        <v>0</v>
      </c>
      <c r="CQ43" s="501">
        <f t="shared" si="12"/>
        <v>0</v>
      </c>
      <c r="CR43" s="501">
        <f>IF($C43&lt;=$C38,0,1)</f>
        <v>0</v>
      </c>
      <c r="CS43" s="501">
        <f>IF($C43&lt;=$C37,0,1)</f>
        <v>0</v>
      </c>
    </row>
    <row r="44" spans="1:97" ht="21" customHeight="1" x14ac:dyDescent="0.25">
      <c r="A44" s="2054"/>
      <c r="B44" s="1157" t="s">
        <v>428</v>
      </c>
      <c r="C44" s="1132">
        <f>SUM(D44:E44)</f>
        <v>0</v>
      </c>
      <c r="D44" s="1158">
        <f>+F44+H44+J44+L44+N44+P44+R44+T44+V44+X44+Z44+AB44+AD44+AF44+AH44+AJ44+AL44</f>
        <v>0</v>
      </c>
      <c r="E44" s="1159">
        <f>+G44+I44+K44+M44+O44+Q44+S44+U44+W44+Y44+AA44+AC44+AE44+AG44+AI44+AK44+AM44</f>
        <v>0</v>
      </c>
      <c r="F44" s="1630"/>
      <c r="G44" s="1631"/>
      <c r="H44" s="1630"/>
      <c r="I44" s="1631"/>
      <c r="J44" s="1630"/>
      <c r="K44" s="1631"/>
      <c r="L44" s="1630"/>
      <c r="M44" s="1631"/>
      <c r="N44" s="1630"/>
      <c r="O44" s="1631"/>
      <c r="P44" s="1630"/>
      <c r="Q44" s="1631"/>
      <c r="R44" s="1630"/>
      <c r="S44" s="1631"/>
      <c r="T44" s="1630"/>
      <c r="U44" s="1631"/>
      <c r="V44" s="1630"/>
      <c r="W44" s="1631"/>
      <c r="X44" s="1630"/>
      <c r="Y44" s="1631"/>
      <c r="Z44" s="1630"/>
      <c r="AA44" s="1631"/>
      <c r="AB44" s="1630"/>
      <c r="AC44" s="1631"/>
      <c r="AD44" s="1630"/>
      <c r="AE44" s="1631"/>
      <c r="AF44" s="1630"/>
      <c r="AG44" s="1631"/>
      <c r="AH44" s="1630"/>
      <c r="AI44" s="1631"/>
      <c r="AJ44" s="1630"/>
      <c r="AK44" s="1631"/>
      <c r="AL44" s="1630"/>
      <c r="AM44" s="1632"/>
      <c r="AN44" s="1293"/>
      <c r="AO44" s="1630"/>
      <c r="AP44" s="1631"/>
      <c r="AQ44" s="1635"/>
      <c r="AR44" s="1631"/>
      <c r="AS44" s="1116" t="str">
        <f>$CB44&amp;$CC44&amp;$CD44&amp;$CE44&amp;$CF44</f>
        <v/>
      </c>
      <c r="AY44" s="471"/>
      <c r="AZ44"/>
      <c r="BO44" s="471"/>
      <c r="BP44" s="470"/>
      <c r="CB44" s="620" t="str">
        <f t="shared" si="4"/>
        <v/>
      </c>
      <c r="CC44" s="620" t="str">
        <f t="shared" si="5"/>
        <v/>
      </c>
      <c r="CD44" s="620" t="str">
        <f t="shared" si="14"/>
        <v/>
      </c>
      <c r="CE44" s="620" t="str">
        <f t="shared" si="15"/>
        <v/>
      </c>
      <c r="CF44" s="620" t="str">
        <f>IF($C44&lt;=$C$38,"","Atención Domiciliaria por Dependencia Severa/ Con indicación de Nutrición Enteral Domiciliaria no debe ser mayor al Total Personas. ")</f>
        <v/>
      </c>
      <c r="CN44" s="501">
        <f t="shared" si="9"/>
        <v>0</v>
      </c>
      <c r="CO44" s="501">
        <f t="shared" si="10"/>
        <v>0</v>
      </c>
      <c r="CP44" s="501">
        <f t="shared" si="11"/>
        <v>0</v>
      </c>
      <c r="CQ44" s="501">
        <f t="shared" si="12"/>
        <v>0</v>
      </c>
      <c r="CR44" s="501">
        <f>IF($C44&lt;=$C$38,0,1)</f>
        <v>0</v>
      </c>
    </row>
    <row r="45" spans="1:97" ht="15" customHeight="1" x14ac:dyDescent="0.25">
      <c r="A45" s="2106" t="s">
        <v>429</v>
      </c>
      <c r="B45" s="1160" t="s">
        <v>430</v>
      </c>
      <c r="C45" s="1110">
        <f t="shared" ref="C45:C47" si="27">SUM(D45:E45)</f>
        <v>0</v>
      </c>
      <c r="D45" s="1111">
        <f t="shared" ref="D45:D46" si="28">+F45+H45+J45+L45+N45+P45+R45+T45+V45+X45+Z45+AB45+AD45+AF45+AH45+AJ45+AL45</f>
        <v>0</v>
      </c>
      <c r="E45" s="1161">
        <f t="shared" ref="E45:E46" si="29">+G45+I45+K45+M45+O45+Q45+S45+U45+W45+Y45+AA45+AC45+AE45+AG45+AI45+AK45+AM45</f>
        <v>0</v>
      </c>
      <c r="F45" s="1609"/>
      <c r="G45" s="1615"/>
      <c r="H45" s="1609"/>
      <c r="I45" s="1615"/>
      <c r="J45" s="1609"/>
      <c r="K45" s="1615"/>
      <c r="L45" s="1609"/>
      <c r="M45" s="1615"/>
      <c r="N45" s="1609"/>
      <c r="O45" s="1615"/>
      <c r="P45" s="1609"/>
      <c r="Q45" s="1615"/>
      <c r="R45" s="1609"/>
      <c r="S45" s="1615"/>
      <c r="T45" s="1609"/>
      <c r="U45" s="1615"/>
      <c r="V45" s="1609"/>
      <c r="W45" s="1615"/>
      <c r="X45" s="1609"/>
      <c r="Y45" s="1615"/>
      <c r="Z45" s="1609"/>
      <c r="AA45" s="1615"/>
      <c r="AB45" s="1609"/>
      <c r="AC45" s="1615"/>
      <c r="AD45" s="1609"/>
      <c r="AE45" s="1615"/>
      <c r="AF45" s="1614"/>
      <c r="AG45" s="1615"/>
      <c r="AH45" s="1614"/>
      <c r="AI45" s="1615"/>
      <c r="AJ45" s="1614"/>
      <c r="AK45" s="1615"/>
      <c r="AL45" s="1614"/>
      <c r="AM45" s="1692"/>
      <c r="AN45" s="1578"/>
      <c r="AO45" s="1609"/>
      <c r="AP45" s="1615"/>
      <c r="AQ45" s="1614"/>
      <c r="AR45" s="1615"/>
      <c r="AS45" s="1116" t="str">
        <f t="shared" ref="AS45:AS47" si="30">$CB45&amp;$CC45&amp;$CD45&amp;$CE45&amp;$CF45</f>
        <v/>
      </c>
      <c r="AY45" s="471"/>
      <c r="AZ45"/>
      <c r="BO45" s="471"/>
      <c r="BP45" s="470"/>
      <c r="CB45" s="620" t="str">
        <f t="shared" si="4"/>
        <v/>
      </c>
      <c r="CC45" s="620" t="str">
        <f t="shared" si="5"/>
        <v/>
      </c>
      <c r="CD45" s="620" t="str">
        <f t="shared" si="14"/>
        <v/>
      </c>
      <c r="CE45" s="620" t="str">
        <f t="shared" si="15"/>
        <v/>
      </c>
      <c r="CF45" s="620"/>
      <c r="CN45" s="501">
        <f t="shared" ref="CN45:CN47" si="31">IF(AND(D45&gt;0,OR(AO45="")),1,IF(AO45&gt;D45,1,0))</f>
        <v>0</v>
      </c>
      <c r="CO45" s="501">
        <f t="shared" ref="CO45:CO47" si="32">IF(AND(E45&gt;0,OR(AP45="")),1,IF(AP45&gt;E45,1,0))</f>
        <v>0</v>
      </c>
      <c r="CP45" s="501">
        <f t="shared" ref="CP45:CP47" si="33">IF(AND(D45&gt;0,OR(AQ45="")),1,IF(AQ45&gt;D45,1,0))</f>
        <v>0</v>
      </c>
      <c r="CQ45" s="501">
        <f t="shared" ref="CQ45:CQ47" si="34">IF(AND(E45&gt;0,OR(AR45="")),1,IF(AR45&gt;E45,1,0))</f>
        <v>0</v>
      </c>
      <c r="CR45" s="501"/>
    </row>
    <row r="46" spans="1:97" ht="15" customHeight="1" x14ac:dyDescent="0.25">
      <c r="A46" s="2107"/>
      <c r="B46" s="1162" t="s">
        <v>431</v>
      </c>
      <c r="C46" s="1144">
        <f t="shared" si="27"/>
        <v>0</v>
      </c>
      <c r="D46" s="1118">
        <f t="shared" si="28"/>
        <v>0</v>
      </c>
      <c r="E46" s="1163">
        <f t="shared" si="29"/>
        <v>0</v>
      </c>
      <c r="F46" s="1616"/>
      <c r="G46" s="1622"/>
      <c r="H46" s="1616"/>
      <c r="I46" s="1622"/>
      <c r="J46" s="1616"/>
      <c r="K46" s="1622"/>
      <c r="L46" s="1616"/>
      <c r="M46" s="1622"/>
      <c r="N46" s="1616"/>
      <c r="O46" s="1622"/>
      <c r="P46" s="1616"/>
      <c r="Q46" s="1622"/>
      <c r="R46" s="1616"/>
      <c r="S46" s="1622"/>
      <c r="T46" s="1616"/>
      <c r="U46" s="1622"/>
      <c r="V46" s="1616"/>
      <c r="W46" s="1622"/>
      <c r="X46" s="1616"/>
      <c r="Y46" s="1622"/>
      <c r="Z46" s="1616"/>
      <c r="AA46" s="1622"/>
      <c r="AB46" s="1616"/>
      <c r="AC46" s="1622"/>
      <c r="AD46" s="1616"/>
      <c r="AE46" s="1622"/>
      <c r="AF46" s="1621"/>
      <c r="AG46" s="1622"/>
      <c r="AH46" s="1621"/>
      <c r="AI46" s="1622"/>
      <c r="AJ46" s="1621"/>
      <c r="AK46" s="1622"/>
      <c r="AL46" s="1621"/>
      <c r="AM46" s="1693"/>
      <c r="AN46" s="1579"/>
      <c r="AO46" s="1616"/>
      <c r="AP46" s="1622"/>
      <c r="AQ46" s="1621"/>
      <c r="AR46" s="1622"/>
      <c r="AS46" s="1116" t="str">
        <f t="shared" si="30"/>
        <v/>
      </c>
      <c r="AY46" s="471"/>
      <c r="AZ46"/>
      <c r="BO46" s="471"/>
      <c r="BP46" s="470"/>
      <c r="CB46" s="620" t="str">
        <f t="shared" si="4"/>
        <v/>
      </c>
      <c r="CC46" s="620" t="str">
        <f t="shared" si="5"/>
        <v/>
      </c>
      <c r="CD46" s="620" t="str">
        <f t="shared" si="14"/>
        <v/>
      </c>
      <c r="CE46" s="620" t="str">
        <f t="shared" si="15"/>
        <v/>
      </c>
      <c r="CF46" s="620"/>
      <c r="CN46" s="501">
        <f t="shared" si="31"/>
        <v>0</v>
      </c>
      <c r="CO46" s="501">
        <f t="shared" si="32"/>
        <v>0</v>
      </c>
      <c r="CP46" s="501">
        <f t="shared" si="33"/>
        <v>0</v>
      </c>
      <c r="CQ46" s="501">
        <f t="shared" si="34"/>
        <v>0</v>
      </c>
      <c r="CR46" s="501"/>
    </row>
    <row r="47" spans="1:97" ht="15" customHeight="1" x14ac:dyDescent="0.25">
      <c r="A47" s="2108"/>
      <c r="B47" s="1164" t="s">
        <v>432</v>
      </c>
      <c r="C47" s="1132">
        <f t="shared" si="27"/>
        <v>0</v>
      </c>
      <c r="D47" s="1158">
        <f>+F47+H47+J47+L47+N47+P47+R47+T47+V47+X47+Z47+AB47+AD47+AF47+AH47+AJ47+AL47</f>
        <v>0</v>
      </c>
      <c r="E47" s="1165">
        <f>+G47+I47+K47+M47+O47+Q47+S47+U47+W47+Y47+AA47+AC47+AE47+AG47+AI47+AK47+AM47</f>
        <v>0</v>
      </c>
      <c r="F47" s="1630"/>
      <c r="G47" s="1636"/>
      <c r="H47" s="1630"/>
      <c r="I47" s="1636"/>
      <c r="J47" s="1630"/>
      <c r="K47" s="1636"/>
      <c r="L47" s="1630"/>
      <c r="M47" s="1636"/>
      <c r="N47" s="1630"/>
      <c r="O47" s="1636"/>
      <c r="P47" s="1630"/>
      <c r="Q47" s="1636"/>
      <c r="R47" s="1630"/>
      <c r="S47" s="1636"/>
      <c r="T47" s="1630"/>
      <c r="U47" s="1636"/>
      <c r="V47" s="1630"/>
      <c r="W47" s="1636"/>
      <c r="X47" s="1630"/>
      <c r="Y47" s="1636"/>
      <c r="Z47" s="1630"/>
      <c r="AA47" s="1636"/>
      <c r="AB47" s="1630"/>
      <c r="AC47" s="1636"/>
      <c r="AD47" s="1630"/>
      <c r="AE47" s="1636"/>
      <c r="AF47" s="1635"/>
      <c r="AG47" s="1636"/>
      <c r="AH47" s="1635"/>
      <c r="AI47" s="1636"/>
      <c r="AJ47" s="1635"/>
      <c r="AK47" s="1636"/>
      <c r="AL47" s="1635"/>
      <c r="AM47" s="1694"/>
      <c r="AN47" s="1580"/>
      <c r="AO47" s="1630"/>
      <c r="AP47" s="1636"/>
      <c r="AQ47" s="1635"/>
      <c r="AR47" s="1636"/>
      <c r="AS47" s="1116" t="str">
        <f t="shared" si="30"/>
        <v/>
      </c>
      <c r="AY47" s="471"/>
      <c r="AZ47"/>
      <c r="BO47" s="471"/>
      <c r="BP47" s="470"/>
      <c r="CB47" s="620" t="str">
        <f t="shared" si="4"/>
        <v/>
      </c>
      <c r="CC47" s="620" t="str">
        <f t="shared" si="5"/>
        <v/>
      </c>
      <c r="CD47" s="620" t="str">
        <f t="shared" si="14"/>
        <v/>
      </c>
      <c r="CE47" s="620" t="str">
        <f t="shared" si="15"/>
        <v/>
      </c>
      <c r="CF47" s="620"/>
      <c r="CN47" s="501">
        <f t="shared" si="31"/>
        <v>0</v>
      </c>
      <c r="CO47" s="501">
        <f t="shared" si="32"/>
        <v>0</v>
      </c>
      <c r="CP47" s="501">
        <f t="shared" si="33"/>
        <v>0</v>
      </c>
      <c r="CQ47" s="501">
        <f t="shared" si="34"/>
        <v>0</v>
      </c>
      <c r="CR47" s="501"/>
    </row>
    <row r="48" spans="1:97" ht="15.75" customHeight="1" x14ac:dyDescent="0.25">
      <c r="A48" s="1166" t="s">
        <v>433</v>
      </c>
      <c r="B48" s="1167"/>
      <c r="C48" s="1166"/>
      <c r="D48" s="1168"/>
      <c r="E48" s="1168"/>
      <c r="F48" s="1168"/>
      <c r="G48" s="1168"/>
      <c r="H48" s="1168"/>
      <c r="I48" s="1168"/>
      <c r="J48" s="1168"/>
      <c r="K48" s="1168"/>
      <c r="L48" s="1168"/>
      <c r="M48" s="1168"/>
      <c r="N48" s="1168"/>
      <c r="O48" s="1168"/>
      <c r="P48" s="1168"/>
      <c r="Q48" s="1168"/>
      <c r="R48" s="1168"/>
      <c r="S48" s="1168"/>
      <c r="T48" s="1168"/>
      <c r="U48" s="1168"/>
      <c r="V48" s="1168"/>
      <c r="W48" s="1168"/>
      <c r="X48" s="1168"/>
      <c r="Y48" s="1168"/>
      <c r="Z48" s="468"/>
    </row>
    <row r="49" spans="1:104" ht="17.100000000000001" customHeight="1" x14ac:dyDescent="0.25">
      <c r="A49" s="2061" t="s">
        <v>434</v>
      </c>
      <c r="B49" s="2061"/>
      <c r="C49" s="2061"/>
      <c r="D49" s="2061"/>
      <c r="E49" s="2061"/>
      <c r="F49" s="2061"/>
      <c r="G49" s="2061"/>
      <c r="H49" s="2061"/>
      <c r="I49" s="2061"/>
      <c r="J49" s="2061"/>
      <c r="K49" s="2061"/>
      <c r="L49" s="2061"/>
      <c r="M49" s="2061"/>
      <c r="N49" s="2061"/>
      <c r="O49" s="2061"/>
      <c r="P49" s="2061"/>
      <c r="Q49" s="2061"/>
      <c r="R49" s="2061"/>
      <c r="S49" s="2061"/>
      <c r="T49" s="2061"/>
      <c r="U49" s="2061"/>
      <c r="V49" s="2061"/>
      <c r="W49" s="2061"/>
      <c r="X49" s="2061"/>
      <c r="Y49" s="2061"/>
      <c r="Z49" s="2061"/>
      <c r="AA49" s="2061"/>
      <c r="AB49" s="2061"/>
      <c r="AC49" s="2061"/>
      <c r="AD49" s="2061"/>
      <c r="AE49" s="2061"/>
      <c r="AF49" s="2061"/>
      <c r="AG49" s="2061"/>
      <c r="AH49" s="2061"/>
      <c r="AI49" s="2061"/>
      <c r="AJ49" s="2061"/>
      <c r="AK49" s="2061"/>
      <c r="AL49" s="2061"/>
      <c r="AM49" s="2061"/>
      <c r="AN49" s="2061"/>
      <c r="AO49" s="2061"/>
      <c r="AP49" s="2061"/>
    </row>
    <row r="50" spans="1:104" ht="17.25" customHeight="1" x14ac:dyDescent="0.25">
      <c r="A50" s="2106" t="s">
        <v>435</v>
      </c>
      <c r="B50" s="1848" t="s">
        <v>89</v>
      </c>
      <c r="C50" s="2111" t="s">
        <v>86</v>
      </c>
      <c r="D50" s="2109" t="s">
        <v>225</v>
      </c>
      <c r="E50" s="2113" t="s">
        <v>436</v>
      </c>
      <c r="F50" s="2113"/>
      <c r="G50" s="2113"/>
      <c r="H50" s="2113"/>
      <c r="I50" s="2113"/>
      <c r="J50" s="2113"/>
      <c r="K50" s="2113"/>
      <c r="L50" s="2113"/>
      <c r="M50" s="2113"/>
      <c r="N50" s="2113"/>
      <c r="O50" s="2113"/>
      <c r="P50" s="2114"/>
      <c r="AO50" s="470"/>
      <c r="AU50" s="468"/>
      <c r="AZ50" s="470"/>
      <c r="BA50" s="470"/>
      <c r="BB50" s="470"/>
      <c r="BC50" s="470"/>
      <c r="BD50" s="470"/>
      <c r="BE50" s="471"/>
      <c r="BP50"/>
      <c r="BQ50"/>
      <c r="BR50"/>
      <c r="BS50"/>
      <c r="BT50"/>
      <c r="BU50" s="471"/>
    </row>
    <row r="51" spans="1:104" ht="69.599999999999994" customHeight="1" x14ac:dyDescent="0.25">
      <c r="A51" s="2108"/>
      <c r="B51" s="1849"/>
      <c r="C51" s="2112"/>
      <c r="D51" s="2110"/>
      <c r="E51" s="1569" t="s">
        <v>437</v>
      </c>
      <c r="F51" s="1571" t="s">
        <v>438</v>
      </c>
      <c r="G51" s="1572" t="s">
        <v>439</v>
      </c>
      <c r="H51" s="1571" t="s">
        <v>440</v>
      </c>
      <c r="I51" s="1571" t="s">
        <v>441</v>
      </c>
      <c r="J51" s="1571" t="s">
        <v>442</v>
      </c>
      <c r="K51" s="1571" t="s">
        <v>443</v>
      </c>
      <c r="L51" s="1571" t="s">
        <v>444</v>
      </c>
      <c r="M51" s="1571" t="s">
        <v>445</v>
      </c>
      <c r="N51" s="1169" t="s">
        <v>446</v>
      </c>
      <c r="O51" s="1571" t="s">
        <v>900</v>
      </c>
      <c r="P51" s="1169" t="s">
        <v>108</v>
      </c>
      <c r="AO51" s="470"/>
      <c r="AU51" s="468"/>
      <c r="AZ51" s="470"/>
      <c r="BA51" s="470"/>
      <c r="BB51" s="470"/>
      <c r="BC51" s="470"/>
      <c r="BD51" s="470"/>
      <c r="BE51" s="471"/>
      <c r="BP51"/>
      <c r="BQ51"/>
      <c r="BR51"/>
      <c r="BS51"/>
      <c r="BT51"/>
      <c r="BU51" s="471"/>
    </row>
    <row r="52" spans="1:104" ht="15" customHeight="1" x14ac:dyDescent="0.25">
      <c r="A52" s="1170" t="s">
        <v>447</v>
      </c>
      <c r="B52" s="1171">
        <f>SUM(C52:D52)</f>
        <v>0</v>
      </c>
      <c r="C52" s="1172"/>
      <c r="D52" s="1173"/>
      <c r="E52" s="1570"/>
      <c r="F52" s="1574"/>
      <c r="G52" s="1573"/>
      <c r="H52" s="1574"/>
      <c r="I52" s="1574"/>
      <c r="J52" s="1574"/>
      <c r="K52" s="1574"/>
      <c r="L52" s="1574"/>
      <c r="M52" s="1574"/>
      <c r="N52" s="1573"/>
      <c r="O52" s="1574"/>
      <c r="P52" s="465"/>
      <c r="Q52" s="470" t="str">
        <f>BZ52&amp;CA52&amp;CB52&amp;CC52&amp;CD52&amp;CE52&amp;CF52&amp;CG52&amp;CH52&amp;CI52&amp;CJ52&amp;CK52</f>
        <v/>
      </c>
      <c r="AO52" s="470"/>
      <c r="AP52" s="472"/>
      <c r="AU52" s="468"/>
      <c r="AZ52" s="470"/>
      <c r="BA52" s="470"/>
      <c r="BB52" s="470"/>
      <c r="BC52" s="470"/>
      <c r="BD52" s="470"/>
      <c r="BE52" s="471"/>
      <c r="BP52"/>
      <c r="BQ52"/>
      <c r="BR52"/>
      <c r="BS52"/>
      <c r="BT52"/>
      <c r="BU52" s="471"/>
      <c r="BZ52" s="620" t="str">
        <f>IF(E52&gt;B52," * El "&amp;E$51&amp;""&amp;" No debe ser mayor que el Total Número de cuidadores.","")</f>
        <v/>
      </c>
      <c r="CA52" s="620" t="str">
        <f>IF(F52&gt;B52," * El "&amp;F$51&amp;""&amp;" No debe ser mayor que el Total Número de cuidadores.","")</f>
        <v/>
      </c>
      <c r="CB52" s="620" t="str">
        <f>IF(G52&gt;B52," * El "&amp;G$51&amp;""&amp;" No debe ser mayor que el Total Número de cuidadores.","")</f>
        <v/>
      </c>
      <c r="CC52" s="620" t="str">
        <f>IF(H52&gt;B52," * El "&amp;H$51&amp;""&amp;" No debe ser mayor que el Total Número de cuidadores.","")</f>
        <v/>
      </c>
      <c r="CD52" s="620" t="str">
        <f>IF(I52&gt;B52," * El "&amp;I$51&amp;""&amp;" No debe ser mayor que el Total Número de cuidadores.","")</f>
        <v/>
      </c>
      <c r="CE52" s="620" t="str">
        <f>IF(J52&gt;B52," * El "&amp;J$51&amp;""&amp;" No debe ser mayor que el Total Número de cuidadores.","")</f>
        <v/>
      </c>
      <c r="CF52" s="620" t="str">
        <f>IF(K52&gt;B52," * El "&amp;K$51&amp;""&amp;" No debe ser mayor que el Total Número de cuidadores.","")</f>
        <v/>
      </c>
      <c r="CG52" s="620" t="str">
        <f>IF(L52&gt;B52," * El "&amp;L$51&amp;""&amp;" No debe ser mayor que el Total Número de cuidadores.","")</f>
        <v/>
      </c>
      <c r="CH52" s="620" t="str">
        <f>IF(M52&gt;B52," * El "&amp;M$51&amp;""&amp;" No debe ser mayor que el Total Número de cuidadores.","")</f>
        <v/>
      </c>
      <c r="CI52" s="620" t="str">
        <f>IF(N52&gt;B52," * El "&amp;N$51&amp;""&amp;" No debe ser mayor que el Total Número de cuidadores.","")</f>
        <v/>
      </c>
      <c r="CJ52" s="620" t="str">
        <f>IF(AND(B52&gt;0,OR(O52="",O52&gt;B52)),"* La variable Pueblos originarios no puede estar vacía ni ser mayor al total. Digite Cero si no tiene.","")</f>
        <v/>
      </c>
      <c r="CK52" s="620" t="str">
        <f>IF(AND(B52&gt;0,OR(P52="",P52&gt;B52)),"* La variable Migrantes no puede estar vacía ni ser mayor al total. Digite Cero si no tiene.","")</f>
        <v/>
      </c>
      <c r="CO52" s="501">
        <f>IF(E52&gt;B52,1,0)</f>
        <v>0</v>
      </c>
      <c r="CP52" s="501">
        <f>IF(F52&gt;B52,1,0)</f>
        <v>0</v>
      </c>
      <c r="CQ52" s="501">
        <f>IF(G52&gt;B52,1,0)</f>
        <v>0</v>
      </c>
      <c r="CR52" s="501">
        <f>IF(H52&gt;B52,1,0)</f>
        <v>0</v>
      </c>
      <c r="CS52" s="501">
        <f>IF(I52&gt;B52,1,0)</f>
        <v>0</v>
      </c>
      <c r="CT52" s="501">
        <f>IF(J52&gt;B52,1,0)</f>
        <v>0</v>
      </c>
      <c r="CU52" s="501">
        <f>IF(K52&gt;B52,1,0)</f>
        <v>0</v>
      </c>
      <c r="CV52" s="501">
        <f>IF(L52&gt;B52,1,0)</f>
        <v>0</v>
      </c>
      <c r="CW52" s="501">
        <f>IF(M52&gt;B52,1,0)</f>
        <v>0</v>
      </c>
      <c r="CX52" s="501">
        <f>IF(N52&gt;B52,1,0)</f>
        <v>0</v>
      </c>
      <c r="CY52" s="501">
        <f>IF(AND(B52&gt;0,OR(O52="",O52&gt;B52)),1,0)</f>
        <v>0</v>
      </c>
      <c r="CZ52" s="501">
        <f>IF(AND(B52&gt;0,OR(P52="",P52&gt;B52)),1,0)</f>
        <v>0</v>
      </c>
    </row>
    <row r="53" spans="1:104" ht="17.100000000000001" customHeight="1" x14ac:dyDescent="0.25">
      <c r="A53" s="2099" t="s">
        <v>909</v>
      </c>
      <c r="B53" s="2099"/>
      <c r="C53" s="2099"/>
      <c r="D53" s="2099"/>
      <c r="E53" s="2099"/>
      <c r="F53" s="2099"/>
      <c r="G53" s="2099"/>
      <c r="H53" s="2099"/>
      <c r="I53" s="2099"/>
      <c r="J53" s="2099"/>
      <c r="K53" s="2099"/>
      <c r="L53" s="2099"/>
      <c r="M53" s="2099"/>
      <c r="N53" s="2099"/>
      <c r="O53" s="2099"/>
      <c r="P53" s="2099"/>
      <c r="Q53" s="2099"/>
      <c r="R53" s="2099"/>
      <c r="S53" s="2099"/>
      <c r="T53" s="2099"/>
      <c r="U53" s="2099"/>
      <c r="V53" s="2099"/>
      <c r="W53" s="2099"/>
      <c r="X53" s="2099"/>
      <c r="Y53" s="2099"/>
      <c r="Z53" s="2099"/>
      <c r="AA53" s="2099"/>
      <c r="AB53" s="2099"/>
      <c r="AC53" s="2099"/>
      <c r="AD53" s="2099"/>
      <c r="AE53" s="2099"/>
      <c r="AF53" s="2099"/>
      <c r="AG53" s="2099"/>
      <c r="AH53" s="2099"/>
      <c r="AI53" s="2099"/>
      <c r="AJ53" s="2099"/>
      <c r="AK53" s="2099"/>
      <c r="AL53" s="2099"/>
      <c r="AM53" s="2099"/>
    </row>
    <row r="54" spans="1:104" ht="21" customHeight="1" x14ac:dyDescent="0.25">
      <c r="A54" s="2118" t="s">
        <v>448</v>
      </c>
      <c r="B54" s="2119"/>
      <c r="C54" s="2095" t="s">
        <v>49</v>
      </c>
      <c r="D54" s="2095"/>
      <c r="E54" s="2095"/>
      <c r="F54" s="2085" t="s">
        <v>370</v>
      </c>
      <c r="G54" s="2086"/>
      <c r="H54" s="2086"/>
      <c r="I54" s="2086"/>
      <c r="J54" s="2086"/>
      <c r="K54" s="2086"/>
      <c r="L54" s="2086"/>
      <c r="M54" s="2086"/>
      <c r="N54" s="2086"/>
      <c r="O54" s="2086"/>
      <c r="P54" s="2086"/>
      <c r="Q54" s="2086"/>
      <c r="R54" s="2086"/>
      <c r="S54" s="2086"/>
      <c r="T54" s="2086"/>
      <c r="U54" s="2086"/>
      <c r="V54" s="2086"/>
      <c r="W54" s="2086"/>
      <c r="X54" s="2086"/>
      <c r="Y54" s="2086"/>
      <c r="Z54" s="2086"/>
      <c r="AA54" s="2086"/>
      <c r="AB54" s="2086"/>
      <c r="AC54" s="2086"/>
      <c r="AD54" s="2086"/>
      <c r="AE54" s="2086"/>
      <c r="AF54" s="2086"/>
      <c r="AG54" s="2086"/>
      <c r="AH54" s="2086"/>
      <c r="AI54" s="2086"/>
      <c r="AJ54" s="2086"/>
      <c r="AK54" s="2086"/>
      <c r="AL54" s="2086"/>
      <c r="AM54" s="2086"/>
      <c r="AN54" s="2074" t="s">
        <v>51</v>
      </c>
      <c r="AO54" s="2075"/>
      <c r="AP54" s="2077" t="s">
        <v>108</v>
      </c>
      <c r="AQ54" s="2075"/>
    </row>
    <row r="55" spans="1:104" ht="18" customHeight="1" x14ac:dyDescent="0.25">
      <c r="A55" s="2120"/>
      <c r="B55" s="2053"/>
      <c r="C55" s="2095"/>
      <c r="D55" s="2095"/>
      <c r="E55" s="2095"/>
      <c r="F55" s="2087" t="s">
        <v>394</v>
      </c>
      <c r="G55" s="2090"/>
      <c r="H55" s="2087" t="s">
        <v>395</v>
      </c>
      <c r="I55" s="2090"/>
      <c r="J55" s="2087" t="s">
        <v>314</v>
      </c>
      <c r="K55" s="2090"/>
      <c r="L55" s="2066" t="s">
        <v>57</v>
      </c>
      <c r="M55" s="2066"/>
      <c r="N55" s="2066" t="s">
        <v>58</v>
      </c>
      <c r="O55" s="2066"/>
      <c r="P55" s="2066" t="s">
        <v>59</v>
      </c>
      <c r="Q55" s="2066"/>
      <c r="R55" s="1841" t="s">
        <v>60</v>
      </c>
      <c r="S55" s="1843"/>
      <c r="T55" s="2066" t="s">
        <v>61</v>
      </c>
      <c r="U55" s="2066"/>
      <c r="V55" s="1841" t="s">
        <v>62</v>
      </c>
      <c r="W55" s="1843"/>
      <c r="X55" s="2066" t="s">
        <v>63</v>
      </c>
      <c r="Y55" s="2066"/>
      <c r="Z55" s="1841" t="s">
        <v>64</v>
      </c>
      <c r="AA55" s="1843"/>
      <c r="AB55" s="2066" t="s">
        <v>65</v>
      </c>
      <c r="AC55" s="2066"/>
      <c r="AD55" s="1841" t="s">
        <v>66</v>
      </c>
      <c r="AE55" s="1843"/>
      <c r="AF55" s="2083" t="s">
        <v>67</v>
      </c>
      <c r="AG55" s="2084"/>
      <c r="AH55" s="2083" t="s">
        <v>396</v>
      </c>
      <c r="AI55" s="2084"/>
      <c r="AJ55" s="2083" t="s">
        <v>397</v>
      </c>
      <c r="AK55" s="2084"/>
      <c r="AL55" s="2083" t="s">
        <v>398</v>
      </c>
      <c r="AM55" s="2091"/>
      <c r="AN55" s="2076"/>
      <c r="AO55" s="2051"/>
      <c r="AP55" s="2076"/>
      <c r="AQ55" s="2051"/>
    </row>
    <row r="56" spans="1:104" ht="32.450000000000003" customHeight="1" x14ac:dyDescent="0.25">
      <c r="A56" s="2121"/>
      <c r="B56" s="2054"/>
      <c r="C56" s="1004" t="s">
        <v>399</v>
      </c>
      <c r="D56" s="1098" t="s">
        <v>86</v>
      </c>
      <c r="E56" s="1099" t="s">
        <v>225</v>
      </c>
      <c r="F56" s="1100" t="s">
        <v>86</v>
      </c>
      <c r="G56" s="1099" t="s">
        <v>225</v>
      </c>
      <c r="H56" s="1100" t="s">
        <v>86</v>
      </c>
      <c r="I56" s="1099" t="s">
        <v>225</v>
      </c>
      <c r="J56" s="1100" t="s">
        <v>86</v>
      </c>
      <c r="K56" s="1099" t="s">
        <v>225</v>
      </c>
      <c r="L56" s="1101" t="s">
        <v>86</v>
      </c>
      <c r="M56" s="1102" t="s">
        <v>225</v>
      </c>
      <c r="N56" s="1101" t="s">
        <v>86</v>
      </c>
      <c r="O56" s="1102" t="s">
        <v>225</v>
      </c>
      <c r="P56" s="1101" t="s">
        <v>86</v>
      </c>
      <c r="Q56" s="1102" t="s">
        <v>225</v>
      </c>
      <c r="R56" s="1103" t="s">
        <v>86</v>
      </c>
      <c r="S56" s="1104" t="s">
        <v>225</v>
      </c>
      <c r="T56" s="1101" t="s">
        <v>86</v>
      </c>
      <c r="U56" s="1102" t="s">
        <v>225</v>
      </c>
      <c r="V56" s="1103" t="s">
        <v>86</v>
      </c>
      <c r="W56" s="1104" t="s">
        <v>225</v>
      </c>
      <c r="X56" s="1101" t="s">
        <v>86</v>
      </c>
      <c r="Y56" s="1102" t="s">
        <v>225</v>
      </c>
      <c r="Z56" s="1103" t="s">
        <v>86</v>
      </c>
      <c r="AA56" s="1104" t="s">
        <v>225</v>
      </c>
      <c r="AB56" s="1101" t="s">
        <v>86</v>
      </c>
      <c r="AC56" s="1102" t="s">
        <v>225</v>
      </c>
      <c r="AD56" s="1103" t="s">
        <v>86</v>
      </c>
      <c r="AE56" s="1104" t="s">
        <v>225</v>
      </c>
      <c r="AF56" s="1105" t="s">
        <v>400</v>
      </c>
      <c r="AG56" s="1106" t="s">
        <v>225</v>
      </c>
      <c r="AH56" s="1105" t="s">
        <v>400</v>
      </c>
      <c r="AI56" s="1106" t="s">
        <v>225</v>
      </c>
      <c r="AJ56" s="1105" t="s">
        <v>400</v>
      </c>
      <c r="AK56" s="1106" t="s">
        <v>225</v>
      </c>
      <c r="AL56" s="1105" t="s">
        <v>400</v>
      </c>
      <c r="AM56" s="1108" t="s">
        <v>225</v>
      </c>
      <c r="AN56" s="1109" t="s">
        <v>400</v>
      </c>
      <c r="AO56" s="1106" t="s">
        <v>225</v>
      </c>
      <c r="AP56" s="1109" t="s">
        <v>400</v>
      </c>
      <c r="AQ56" s="1106" t="s">
        <v>225</v>
      </c>
    </row>
    <row r="57" spans="1:104" ht="15" customHeight="1" x14ac:dyDescent="0.25">
      <c r="A57" s="2122" t="s">
        <v>449</v>
      </c>
      <c r="B57" s="1174" t="s">
        <v>450</v>
      </c>
      <c r="C57" s="1110">
        <f>SUM(D57:E57)</f>
        <v>0</v>
      </c>
      <c r="D57" s="1111">
        <f>+F57+H57+J57+L57+N57+P57+R57+T57+V57+X57+Z57+AB57+AD57+AF57+AH57+AJ57+AL57</f>
        <v>0</v>
      </c>
      <c r="E57" s="1112">
        <f>+G57+I57+K57+M57+O57+Q57+S57+U57+W57+Y57+AA57+AC57+AE57+AG57+AI57+AK57+AM57</f>
        <v>0</v>
      </c>
      <c r="F57" s="1175"/>
      <c r="G57" s="1176"/>
      <c r="H57" s="1177"/>
      <c r="I57" s="1176"/>
      <c r="J57" s="1177"/>
      <c r="K57" s="1176"/>
      <c r="L57" s="1177"/>
      <c r="M57" s="1176"/>
      <c r="N57" s="1177"/>
      <c r="O57" s="1176"/>
      <c r="P57" s="1177"/>
      <c r="Q57" s="1176"/>
      <c r="R57" s="1177"/>
      <c r="S57" s="1176"/>
      <c r="T57" s="1177"/>
      <c r="U57" s="1176"/>
      <c r="V57" s="1177"/>
      <c r="W57" s="1176"/>
      <c r="X57" s="1177"/>
      <c r="Y57" s="1176"/>
      <c r="Z57" s="1177"/>
      <c r="AA57" s="1176"/>
      <c r="AB57" s="1177"/>
      <c r="AC57" s="1176"/>
      <c r="AD57" s="1177"/>
      <c r="AE57" s="1176"/>
      <c r="AF57" s="1177"/>
      <c r="AG57" s="1176"/>
      <c r="AH57" s="1177"/>
      <c r="AI57" s="1176"/>
      <c r="AJ57" s="1177"/>
      <c r="AK57" s="1176"/>
      <c r="AL57" s="1175"/>
      <c r="AM57" s="1178"/>
      <c r="AN57" s="1177"/>
      <c r="AO57" s="1176"/>
      <c r="AP57" s="1177"/>
      <c r="AQ57" s="1176"/>
      <c r="AR57" s="470" t="str">
        <f>$CA57&amp;CB57&amp;CC57&amp;CD57</f>
        <v/>
      </c>
      <c r="CA57" s="620" t="str">
        <f>IF(AND($D57&gt;0,OR(AN57=""))," * No olvide digitar la variable Pueblos Originarios Hombres. Digite Cero si no tiene.",IF(AN57&gt;$D57," * La variable Pueblos Originarios Hombres no puede ser Mayor al Total Hombres.",""))</f>
        <v/>
      </c>
      <c r="CB57" s="620" t="str">
        <f>IF(AND($E57&gt;0,OR(AO57=""))," * No olvide digitar la variable Pueblos Originarios Mujeres. Digite Cero si no tiene.",IF(AO57&gt;$E57," * La variable Pueblos Originarios Mujeres no puede ser Mayor al Total Mujeres.",""))</f>
        <v/>
      </c>
      <c r="CC57" s="620" t="str">
        <f>IF(AND($D57&gt;0,OR(AP57=""))," * No olvide digitar la variable Migrantes Hombres. Digite Cero si no tiene.",IF(AP57&gt;$D57," * La variable Migrantes Hombres no puede ser Mayor al Total Hombres.",""))</f>
        <v/>
      </c>
      <c r="CD57" s="620" t="str">
        <f>IF(AND($E57&gt;0,OR(AQ57=""))," * No olvide digitar la variable Migrantes Mujeres. Digite Cero si no tiene.",IF(AQ57&gt;$E57," * La variable Migrantes Mujeres no puede ser Mayor al Total Mujeres.",""))</f>
        <v/>
      </c>
      <c r="CM57" s="501">
        <f>IF(AND($D57&gt;0,OR(AN57="")),1,IF(AN57&gt;$D57,1,0))</f>
        <v>0</v>
      </c>
      <c r="CN57" s="501">
        <f>IF(AND($E57&gt;0,OR(AO57="")),1,IF(AO57&gt;$E57,1,0))</f>
        <v>0</v>
      </c>
      <c r="CO57" s="501">
        <f>IF(AND($D57&gt;0,OR(AP57="")),1,IF(AP57&gt;$D57,1,0))</f>
        <v>0</v>
      </c>
      <c r="CP57" s="501">
        <f>IF(AND($E57&gt;0,OR(AQ57="")),1,IF(AQ57&gt;$E57,1,0))</f>
        <v>0</v>
      </c>
    </row>
    <row r="58" spans="1:104" ht="15" customHeight="1" x14ac:dyDescent="0.25">
      <c r="A58" s="2123"/>
      <c r="B58" s="1179" t="s">
        <v>451</v>
      </c>
      <c r="C58" s="1144">
        <f t="shared" ref="C58:C60" si="35">SUM(D58:E58)</f>
        <v>0</v>
      </c>
      <c r="D58" s="1118">
        <f t="shared" ref="D58:D60" si="36">+F58+H58+J58+L58+N58+P58+R58+T58+V58+X58+Z58+AB58+AD58+AF58+AH58+AJ58+AL58</f>
        <v>0</v>
      </c>
      <c r="E58" s="1119">
        <f>+G58+I58+K58+M58+O58+Q58+S58+U58+W58+Y58+AA58+AC58+AE58+AG58+AI58+AK58+AM58</f>
        <v>0</v>
      </c>
      <c r="F58" s="1180"/>
      <c r="G58" s="1181"/>
      <c r="H58" s="1182"/>
      <c r="I58" s="1181"/>
      <c r="J58" s="1182"/>
      <c r="K58" s="1181"/>
      <c r="L58" s="1182"/>
      <c r="M58" s="1181"/>
      <c r="N58" s="1182"/>
      <c r="O58" s="1181"/>
      <c r="P58" s="1182"/>
      <c r="Q58" s="1181"/>
      <c r="R58" s="1182"/>
      <c r="S58" s="1181"/>
      <c r="T58" s="1182"/>
      <c r="U58" s="1181"/>
      <c r="V58" s="1182"/>
      <c r="W58" s="1181"/>
      <c r="X58" s="1182"/>
      <c r="Y58" s="1181"/>
      <c r="Z58" s="1182"/>
      <c r="AA58" s="1181"/>
      <c r="AB58" s="1182"/>
      <c r="AC58" s="1181"/>
      <c r="AD58" s="1182"/>
      <c r="AE58" s="1181"/>
      <c r="AF58" s="1182"/>
      <c r="AG58" s="1181"/>
      <c r="AH58" s="1182"/>
      <c r="AI58" s="1181"/>
      <c r="AJ58" s="1182"/>
      <c r="AK58" s="1181"/>
      <c r="AL58" s="1180"/>
      <c r="AM58" s="1183"/>
      <c r="AN58" s="1182"/>
      <c r="AO58" s="1181"/>
      <c r="AP58" s="1182"/>
      <c r="AQ58" s="1181"/>
      <c r="AR58" s="470" t="str">
        <f t="shared" ref="AR58:AR60" si="37">$CA58&amp;CB58&amp;CC58&amp;CD58</f>
        <v/>
      </c>
      <c r="CA58" s="620" t="str">
        <f t="shared" ref="CA58:CA60" si="38">IF(AND($D58&gt;0,OR(AN58=""))," * No olvide digitar la variable Pueblos Originarios Hombres. Digite Cero si no tiene.",IF(AN58&gt;$D58," * La variable Pueblos Originarios Hombres no puede ser Mayor al Total Hombres.",""))</f>
        <v/>
      </c>
      <c r="CB58" s="620" t="str">
        <f t="shared" ref="CB58:CB60" si="39">IF(AND($E58&gt;0,OR(AO58=""))," * No olvide digitar la variable Pueblos Originarios Mujeres. Digite Cero si no tiene.",IF(AO58&gt;$E58," * La variable Pueblos Originarios Mujeres no puede ser Mayor al Total Mujeres.",""))</f>
        <v/>
      </c>
      <c r="CC58" s="620" t="str">
        <f t="shared" ref="CC58:CC60" si="40">IF(AND($D58&gt;0,OR(AP58=""))," * No olvide digitar la variable Migrantes Hombres. Digite Cero si no tiene.",IF(AP58&gt;$D58," * La variable Migrantes Hombres no puede ser Mayor al Total Hombres.",""))</f>
        <v/>
      </c>
      <c r="CD58" s="620" t="str">
        <f t="shared" ref="CD58:CD60" si="41">IF(AND($E58&gt;0,OR(AQ58=""))," * No olvide digitar la variable Migrantes Mujeres. Digite Cero si no tiene.",IF(AQ58&gt;$E58," * La variable Migrantes Mujeres no puede ser Mayor al Total Mujeres.",""))</f>
        <v/>
      </c>
      <c r="CM58" s="501">
        <f t="shared" ref="CM58:CM60" si="42">IF(AND($D58&gt;0,OR(AN58="")),1,IF(AN58&gt;$D58,1,0))</f>
        <v>0</v>
      </c>
      <c r="CN58" s="501">
        <f t="shared" ref="CN58:CN60" si="43">IF(AND($E58&gt;0,OR(AO58="")),1,IF(AO58&gt;$E58,1,0))</f>
        <v>0</v>
      </c>
      <c r="CO58" s="501">
        <f>IF(AND($D58&gt;0,OR(AP58="")),1,IF(AP58&gt;$D58,1,0))</f>
        <v>0</v>
      </c>
      <c r="CP58" s="501">
        <f t="shared" ref="CP58:CP60" si="44">IF(AND($E58&gt;0,OR(AQ58="")),1,IF(AQ58&gt;$E58,1,0))</f>
        <v>0</v>
      </c>
    </row>
    <row r="59" spans="1:104" ht="15" customHeight="1" x14ac:dyDescent="0.25">
      <c r="A59" s="2123"/>
      <c r="B59" s="1179" t="s">
        <v>452</v>
      </c>
      <c r="C59" s="1144">
        <f t="shared" si="35"/>
        <v>0</v>
      </c>
      <c r="D59" s="1118">
        <f t="shared" si="36"/>
        <v>0</v>
      </c>
      <c r="E59" s="1119">
        <f t="shared" ref="E59" si="45">+G59+I59+K59+M59+O59+Q59+S59+U59+W59+Y59+AA59+AC59+AE59+AG59+AI59+AK59+AM59</f>
        <v>0</v>
      </c>
      <c r="F59" s="1180"/>
      <c r="G59" s="1181"/>
      <c r="H59" s="1182"/>
      <c r="I59" s="1181"/>
      <c r="J59" s="1182"/>
      <c r="K59" s="1181"/>
      <c r="L59" s="1182"/>
      <c r="M59" s="1181"/>
      <c r="N59" s="1182"/>
      <c r="O59" s="1181"/>
      <c r="P59" s="1182"/>
      <c r="Q59" s="1181"/>
      <c r="R59" s="1182"/>
      <c r="S59" s="1181"/>
      <c r="T59" s="1182"/>
      <c r="U59" s="1181"/>
      <c r="V59" s="1182"/>
      <c r="W59" s="1181"/>
      <c r="X59" s="1182"/>
      <c r="Y59" s="1181"/>
      <c r="Z59" s="1182"/>
      <c r="AA59" s="1181"/>
      <c r="AB59" s="1182"/>
      <c r="AC59" s="1181"/>
      <c r="AD59" s="1182"/>
      <c r="AE59" s="1181"/>
      <c r="AF59" s="1182"/>
      <c r="AG59" s="1181"/>
      <c r="AH59" s="1182"/>
      <c r="AI59" s="1181"/>
      <c r="AJ59" s="1182"/>
      <c r="AK59" s="1181"/>
      <c r="AL59" s="1180"/>
      <c r="AM59" s="1183"/>
      <c r="AN59" s="1182"/>
      <c r="AO59" s="1181"/>
      <c r="AP59" s="1182"/>
      <c r="AQ59" s="1181"/>
      <c r="AR59" s="470" t="str">
        <f t="shared" si="37"/>
        <v/>
      </c>
      <c r="CA59" s="620" t="str">
        <f t="shared" si="38"/>
        <v/>
      </c>
      <c r="CB59" s="620" t="str">
        <f t="shared" si="39"/>
        <v/>
      </c>
      <c r="CC59" s="620" t="str">
        <f t="shared" si="40"/>
        <v/>
      </c>
      <c r="CD59" s="620" t="str">
        <f t="shared" si="41"/>
        <v/>
      </c>
      <c r="CM59" s="501">
        <f t="shared" si="42"/>
        <v>0</v>
      </c>
      <c r="CN59" s="501">
        <f t="shared" si="43"/>
        <v>0</v>
      </c>
      <c r="CO59" s="501">
        <f t="shared" ref="CO59:CO60" si="46">IF(AND($D59&gt;0,OR(AP59="")),1,IF(AP59&gt;$D59,1,0))</f>
        <v>0</v>
      </c>
      <c r="CP59" s="501">
        <f t="shared" si="44"/>
        <v>0</v>
      </c>
    </row>
    <row r="60" spans="1:104" ht="15" customHeight="1" x14ac:dyDescent="0.25">
      <c r="A60" s="2124"/>
      <c r="B60" s="1184" t="s">
        <v>453</v>
      </c>
      <c r="C60" s="1132">
        <f t="shared" si="35"/>
        <v>0</v>
      </c>
      <c r="D60" s="1158">
        <f t="shared" si="36"/>
        <v>0</v>
      </c>
      <c r="E60" s="1159">
        <f>+G60+I60+K60+M60+O60+Q60+S60+U60+W60+Y60+AA60+AC60+AE60+AG60+AI60+AK60+AM60</f>
        <v>0</v>
      </c>
      <c r="F60" s="1185"/>
      <c r="G60" s="1186"/>
      <c r="H60" s="1185"/>
      <c r="I60" s="1186"/>
      <c r="J60" s="1185"/>
      <c r="K60" s="1186"/>
      <c r="L60" s="1185"/>
      <c r="M60" s="1186"/>
      <c r="N60" s="1185"/>
      <c r="O60" s="1186"/>
      <c r="P60" s="1185"/>
      <c r="Q60" s="1186"/>
      <c r="R60" s="1185"/>
      <c r="S60" s="1186"/>
      <c r="T60" s="1185"/>
      <c r="U60" s="1186"/>
      <c r="V60" s="1185"/>
      <c r="W60" s="1186"/>
      <c r="X60" s="1185"/>
      <c r="Y60" s="1186"/>
      <c r="Z60" s="1185"/>
      <c r="AA60" s="1186"/>
      <c r="AB60" s="1185"/>
      <c r="AC60" s="1186"/>
      <c r="AD60" s="1185"/>
      <c r="AE60" s="1186"/>
      <c r="AF60" s="1185"/>
      <c r="AG60" s="1186"/>
      <c r="AH60" s="1185"/>
      <c r="AI60" s="1186"/>
      <c r="AJ60" s="1185"/>
      <c r="AK60" s="1186"/>
      <c r="AL60" s="1187"/>
      <c r="AM60" s="1188"/>
      <c r="AN60" s="1185"/>
      <c r="AO60" s="1186"/>
      <c r="AP60" s="1185"/>
      <c r="AQ60" s="1186"/>
      <c r="AR60" s="470" t="str">
        <f t="shared" si="37"/>
        <v/>
      </c>
      <c r="CA60" s="620" t="str">
        <f t="shared" si="38"/>
        <v/>
      </c>
      <c r="CB60" s="620" t="str">
        <f t="shared" si="39"/>
        <v/>
      </c>
      <c r="CC60" s="620" t="str">
        <f t="shared" si="40"/>
        <v/>
      </c>
      <c r="CD60" s="620" t="str">
        <f t="shared" si="41"/>
        <v/>
      </c>
      <c r="CM60" s="501">
        <f t="shared" si="42"/>
        <v>0</v>
      </c>
      <c r="CN60" s="501">
        <f t="shared" si="43"/>
        <v>0</v>
      </c>
      <c r="CO60" s="501">
        <f t="shared" si="46"/>
        <v>0</v>
      </c>
      <c r="CP60" s="501">
        <f t="shared" si="44"/>
        <v>0</v>
      </c>
    </row>
    <row r="61" spans="1:104" ht="17.100000000000001" customHeight="1" x14ac:dyDescent="0.25">
      <c r="A61" s="2096" t="s">
        <v>454</v>
      </c>
      <c r="B61" s="2096"/>
      <c r="C61" s="2096"/>
      <c r="D61" s="2096"/>
      <c r="E61" s="2096"/>
      <c r="F61" s="2096"/>
      <c r="G61" s="2096"/>
      <c r="H61" s="2096"/>
      <c r="I61" s="2096"/>
      <c r="J61" s="2096"/>
      <c r="K61" s="2096"/>
      <c r="L61" s="2096"/>
      <c r="M61" s="2096"/>
      <c r="N61" s="2096"/>
      <c r="O61" s="2096"/>
      <c r="P61" s="2096"/>
      <c r="Q61" s="2096"/>
      <c r="R61" s="2096"/>
      <c r="S61" s="2096"/>
      <c r="T61" s="2096"/>
      <c r="U61" s="2096"/>
      <c r="V61" s="2096"/>
      <c r="W61" s="2096"/>
      <c r="X61" s="2096"/>
      <c r="Y61" s="2096"/>
      <c r="Z61" s="2096"/>
      <c r="AA61" s="2096"/>
      <c r="AB61" s="2096"/>
      <c r="AC61" s="2096"/>
      <c r="AD61" s="2096"/>
      <c r="AE61" s="2096"/>
      <c r="AF61" s="2096"/>
      <c r="AG61" s="2096"/>
      <c r="AH61" s="2096"/>
      <c r="AI61" s="2096"/>
      <c r="AJ61" s="2096"/>
      <c r="AK61" s="2096"/>
      <c r="AL61" s="2096"/>
      <c r="AM61" s="2096"/>
    </row>
    <row r="62" spans="1:104" ht="25.5" customHeight="1" x14ac:dyDescent="0.25">
      <c r="A62" s="2139" t="s">
        <v>392</v>
      </c>
      <c r="B62" s="2139"/>
      <c r="C62" s="1908" t="s">
        <v>49</v>
      </c>
      <c r="D62" s="1909"/>
      <c r="E62" s="1910"/>
      <c r="F62" s="2092" t="s">
        <v>455</v>
      </c>
      <c r="G62" s="2093"/>
      <c r="H62" s="2093"/>
      <c r="I62" s="2093"/>
      <c r="J62" s="2093"/>
      <c r="K62" s="2093"/>
      <c r="L62" s="2093"/>
      <c r="M62" s="2093"/>
      <c r="N62" s="2093"/>
      <c r="O62" s="2093"/>
      <c r="P62" s="2093"/>
      <c r="Q62" s="2093"/>
      <c r="R62" s="2093"/>
      <c r="S62" s="2093"/>
      <c r="T62" s="2093"/>
      <c r="U62" s="2093"/>
      <c r="V62" s="2093"/>
      <c r="W62" s="2093"/>
      <c r="X62" s="2093"/>
      <c r="Y62" s="2093"/>
      <c r="Z62" s="2093"/>
      <c r="AA62" s="2093"/>
      <c r="AB62" s="2093"/>
      <c r="AC62" s="2093"/>
      <c r="AD62" s="2093"/>
      <c r="AE62" s="2093"/>
      <c r="AF62" s="2093"/>
      <c r="AG62" s="2093"/>
      <c r="AH62" s="2093"/>
      <c r="AI62" s="2093"/>
      <c r="AJ62" s="2093"/>
      <c r="AK62" s="2093"/>
      <c r="AL62" s="2093"/>
      <c r="AM62" s="2094"/>
      <c r="AN62" s="2077" t="s">
        <v>51</v>
      </c>
      <c r="AO62" s="2075"/>
      <c r="AP62" s="2077" t="s">
        <v>108</v>
      </c>
      <c r="AQ62" s="2075"/>
    </row>
    <row r="63" spans="1:104" x14ac:dyDescent="0.25">
      <c r="A63" s="2139"/>
      <c r="B63" s="2139"/>
      <c r="C63" s="1911"/>
      <c r="D63" s="1912"/>
      <c r="E63" s="1913"/>
      <c r="F63" s="2087" t="s">
        <v>394</v>
      </c>
      <c r="G63" s="2090"/>
      <c r="H63" s="2087" t="s">
        <v>395</v>
      </c>
      <c r="I63" s="2090"/>
      <c r="J63" s="2087" t="s">
        <v>314</v>
      </c>
      <c r="K63" s="2090"/>
      <c r="L63" s="2066" t="s">
        <v>57</v>
      </c>
      <c r="M63" s="2066"/>
      <c r="N63" s="2066" t="s">
        <v>58</v>
      </c>
      <c r="O63" s="2066"/>
      <c r="P63" s="2066" t="s">
        <v>59</v>
      </c>
      <c r="Q63" s="2066"/>
      <c r="R63" s="1841" t="s">
        <v>60</v>
      </c>
      <c r="S63" s="1843"/>
      <c r="T63" s="2066" t="s">
        <v>61</v>
      </c>
      <c r="U63" s="2066"/>
      <c r="V63" s="1841" t="s">
        <v>62</v>
      </c>
      <c r="W63" s="1843"/>
      <c r="X63" s="2066" t="s">
        <v>63</v>
      </c>
      <c r="Y63" s="2066"/>
      <c r="Z63" s="1841" t="s">
        <v>64</v>
      </c>
      <c r="AA63" s="1843"/>
      <c r="AB63" s="2066" t="s">
        <v>65</v>
      </c>
      <c r="AC63" s="2066"/>
      <c r="AD63" s="1841" t="s">
        <v>66</v>
      </c>
      <c r="AE63" s="1843"/>
      <c r="AF63" s="2083" t="s">
        <v>67</v>
      </c>
      <c r="AG63" s="2084"/>
      <c r="AH63" s="2083" t="s">
        <v>396</v>
      </c>
      <c r="AI63" s="2084"/>
      <c r="AJ63" s="2083" t="s">
        <v>397</v>
      </c>
      <c r="AK63" s="2084"/>
      <c r="AL63" s="2083" t="s">
        <v>398</v>
      </c>
      <c r="AM63" s="2091"/>
      <c r="AN63" s="2076"/>
      <c r="AO63" s="2051"/>
      <c r="AP63" s="2076"/>
      <c r="AQ63" s="2051"/>
    </row>
    <row r="64" spans="1:104" ht="21" x14ac:dyDescent="0.25">
      <c r="A64" s="2139"/>
      <c r="B64" s="2139"/>
      <c r="C64" s="1189" t="s">
        <v>399</v>
      </c>
      <c r="D64" s="1098" t="s">
        <v>86</v>
      </c>
      <c r="E64" s="1099" t="s">
        <v>225</v>
      </c>
      <c r="F64" s="1190" t="s">
        <v>86</v>
      </c>
      <c r="G64" s="1191" t="s">
        <v>225</v>
      </c>
      <c r="H64" s="1190" t="s">
        <v>86</v>
      </c>
      <c r="I64" s="1191" t="s">
        <v>225</v>
      </c>
      <c r="J64" s="1190" t="s">
        <v>86</v>
      </c>
      <c r="K64" s="1191" t="s">
        <v>225</v>
      </c>
      <c r="L64" s="1192" t="s">
        <v>86</v>
      </c>
      <c r="M64" s="1193" t="s">
        <v>225</v>
      </c>
      <c r="N64" s="1192" t="s">
        <v>86</v>
      </c>
      <c r="O64" s="1193" t="s">
        <v>225</v>
      </c>
      <c r="P64" s="1192" t="s">
        <v>86</v>
      </c>
      <c r="Q64" s="1193" t="s">
        <v>225</v>
      </c>
      <c r="R64" s="1103" t="s">
        <v>86</v>
      </c>
      <c r="S64" s="1104" t="s">
        <v>225</v>
      </c>
      <c r="T64" s="1192" t="s">
        <v>86</v>
      </c>
      <c r="U64" s="1193" t="s">
        <v>225</v>
      </c>
      <c r="V64" s="1103" t="s">
        <v>86</v>
      </c>
      <c r="W64" s="1104" t="s">
        <v>225</v>
      </c>
      <c r="X64" s="1192" t="s">
        <v>86</v>
      </c>
      <c r="Y64" s="1193" t="s">
        <v>225</v>
      </c>
      <c r="Z64" s="1103" t="s">
        <v>86</v>
      </c>
      <c r="AA64" s="1104" t="s">
        <v>225</v>
      </c>
      <c r="AB64" s="1192" t="s">
        <v>86</v>
      </c>
      <c r="AC64" s="1193" t="s">
        <v>225</v>
      </c>
      <c r="AD64" s="1103" t="s">
        <v>86</v>
      </c>
      <c r="AE64" s="1104" t="s">
        <v>225</v>
      </c>
      <c r="AF64" s="1105" t="s">
        <v>400</v>
      </c>
      <c r="AG64" s="1106" t="s">
        <v>225</v>
      </c>
      <c r="AH64" s="1105" t="s">
        <v>400</v>
      </c>
      <c r="AI64" s="1106" t="s">
        <v>225</v>
      </c>
      <c r="AJ64" s="1105" t="s">
        <v>400</v>
      </c>
      <c r="AK64" s="1106" t="s">
        <v>225</v>
      </c>
      <c r="AL64" s="1105" t="s">
        <v>400</v>
      </c>
      <c r="AM64" s="1108" t="s">
        <v>225</v>
      </c>
      <c r="AN64" s="1109" t="s">
        <v>400</v>
      </c>
      <c r="AO64" s="1106" t="s">
        <v>225</v>
      </c>
      <c r="AP64" s="1109" t="s">
        <v>400</v>
      </c>
      <c r="AQ64" s="1106" t="s">
        <v>225</v>
      </c>
    </row>
    <row r="65" spans="1:95" ht="15" customHeight="1" x14ac:dyDescent="0.25">
      <c r="A65" s="2134" t="s">
        <v>403</v>
      </c>
      <c r="B65" s="1194" t="s">
        <v>456</v>
      </c>
      <c r="C65" s="1110">
        <f>+D65+E65</f>
        <v>0</v>
      </c>
      <c r="D65" s="1111">
        <f>+F65+H65+J65+L65+N65+P65+R65++T65+V65+X65+Z65+AB65+AD65++AF65+AH65+AJ65+AL65</f>
        <v>0</v>
      </c>
      <c r="E65" s="1195">
        <f>+G65+I65+K65+M65+O65+Q65+S65++U65+W65+Y65+AA65+AC65+AE65++AG65+AI65+AK65+AM65</f>
        <v>0</v>
      </c>
      <c r="F65" s="1609"/>
      <c r="G65" s="1617"/>
      <c r="H65" s="1609"/>
      <c r="I65" s="1617"/>
      <c r="J65" s="1609"/>
      <c r="K65" s="1617"/>
      <c r="L65" s="1616"/>
      <c r="M65" s="1617"/>
      <c r="N65" s="1609"/>
      <c r="O65" s="1622"/>
      <c r="P65" s="1609"/>
      <c r="Q65" s="1622"/>
      <c r="R65" s="1609"/>
      <c r="S65" s="1622"/>
      <c r="T65" s="1609"/>
      <c r="U65" s="1622"/>
      <c r="V65" s="1609"/>
      <c r="W65" s="1622"/>
      <c r="X65" s="1609"/>
      <c r="Y65" s="1622"/>
      <c r="Z65" s="1609"/>
      <c r="AA65" s="1622"/>
      <c r="AB65" s="1609"/>
      <c r="AC65" s="1622"/>
      <c r="AD65" s="1609"/>
      <c r="AE65" s="1622"/>
      <c r="AF65" s="1609"/>
      <c r="AG65" s="1622"/>
      <c r="AH65" s="1609"/>
      <c r="AI65" s="1622"/>
      <c r="AJ65" s="1609"/>
      <c r="AK65" s="1622"/>
      <c r="AL65" s="1609"/>
      <c r="AM65" s="1693"/>
      <c r="AN65" s="1614"/>
      <c r="AO65" s="1622"/>
      <c r="AP65" s="1614"/>
      <c r="AQ65" s="1622"/>
      <c r="AR65" s="470" t="str">
        <f>$CA65&amp;CB65&amp;CC65&amp;CD65&amp;CE65</f>
        <v/>
      </c>
      <c r="CA65" s="620" t="str">
        <f>IF(SUM(C15:C17)&gt;=SUM(C65:C68),"","* El total de Asma Bronquial en ambos sexo no puede ser mayor al total de Asma Bronquial de ambos sexo de la Sección A. ")</f>
        <v/>
      </c>
      <c r="CB65" s="620" t="str">
        <f t="shared" ref="CB65:CB71" si="47">IF(AND($D65&gt;0,OR(AN65=""))," * No olvide digitar la variable Pueblos Originarios Hombres. Digite Cero si no tiene.",IF(AN65&gt;$D65," * La variable Pueblos Originarios Hombres no puede ser Mayor al Total Hombres.",""))</f>
        <v/>
      </c>
      <c r="CC65" s="620" t="str">
        <f t="shared" ref="CC65:CC71" si="48">IF(AND($E65&gt;0,OR(AO65=""))," * No olvide digitar la variable Pueblos Originarios Mujeres. Digite Cero si no tiene.",IF(AO65&gt;$E65," * La variable Pueblos Originarios Mujeres no puede ser Mayor al Total Mujeres.",""))</f>
        <v/>
      </c>
      <c r="CD65" s="620" t="str">
        <f t="shared" ref="CD65:CD71" si="49">IF(AND($D65&gt;0,OR(AP65=""))," * No olvide digitar la variable Migrantes Hombres. Digite Cero si no tiene.",IF(AP65&gt;$D65," * La variable Migrantes Hombres no puede ser Mayor al Total Hombres.",""))</f>
        <v/>
      </c>
      <c r="CE65" s="620" t="str">
        <f>IF(AND($E65&gt;0,OR(AQ65=""))," * No olvide digitar la variable Migrantes Mujeres. Digite Cero si no tiene.",IF(AQ65&gt;$E65," * La variable Migrantes Mujeres no puede ser Mayor al Total Mujeres.",""))</f>
        <v/>
      </c>
      <c r="CM65" s="501">
        <f>IF(SUM(C15:C17)&gt;=SUM(C65:C68),0,1)</f>
        <v>0</v>
      </c>
      <c r="CN65" s="501">
        <f>IF(AND($D65&gt;0,OR(AN65="")),1,IF(AN65&gt;$D65,1,0))</f>
        <v>0</v>
      </c>
      <c r="CO65" s="501">
        <f t="shared" ref="CO65:CO71" si="50">IF(AND($E65&gt;0,OR(AO65="")),1,IF(AO65&gt;$E65,1,0))</f>
        <v>0</v>
      </c>
      <c r="CP65" s="501">
        <f t="shared" ref="CP65:CP71" si="51">IF(AND($D65&gt;0,OR(AP65="")),1,IF(AP65&gt;$D65,1,0))</f>
        <v>0</v>
      </c>
      <c r="CQ65" s="501">
        <f t="shared" ref="CQ65:CQ71" si="52">IF(AND($E65&gt;0,OR(AQ65="")),1,IF(AQ65&gt;$E65,1,0))</f>
        <v>0</v>
      </c>
    </row>
    <row r="66" spans="1:95" ht="15" customHeight="1" x14ac:dyDescent="0.25">
      <c r="A66" s="2133"/>
      <c r="B66" s="1196" t="s">
        <v>457</v>
      </c>
      <c r="C66" s="1144">
        <f t="shared" ref="C66:C71" si="53">+D66+E66</f>
        <v>0</v>
      </c>
      <c r="D66" s="1118">
        <f>+F66+H66+J66+L66+N66+P66+R66++T66+V66+X66+Z66+AB66+AD66++AF66+AH66+AJ66+AL66</f>
        <v>0</v>
      </c>
      <c r="E66" s="1119">
        <f t="shared" ref="D66:E68" si="54">+G66+I66+K66+M66+O66+Q66+S66++U66+W66+Y66+AA66+AC66+AE66++AG66+AI66+AK66+AM66</f>
        <v>0</v>
      </c>
      <c r="F66" s="1616"/>
      <c r="G66" s="1617"/>
      <c r="H66" s="1616"/>
      <c r="I66" s="1617"/>
      <c r="J66" s="1616"/>
      <c r="K66" s="1617"/>
      <c r="L66" s="1616"/>
      <c r="M66" s="1617"/>
      <c r="N66" s="1616"/>
      <c r="O66" s="1622"/>
      <c r="P66" s="1616"/>
      <c r="Q66" s="1622"/>
      <c r="R66" s="1616"/>
      <c r="S66" s="1622"/>
      <c r="T66" s="1616"/>
      <c r="U66" s="1622"/>
      <c r="V66" s="1616"/>
      <c r="W66" s="1622"/>
      <c r="X66" s="1616"/>
      <c r="Y66" s="1622"/>
      <c r="Z66" s="1616"/>
      <c r="AA66" s="1622"/>
      <c r="AB66" s="1616"/>
      <c r="AC66" s="1622"/>
      <c r="AD66" s="1616"/>
      <c r="AE66" s="1622"/>
      <c r="AF66" s="1616"/>
      <c r="AG66" s="1622"/>
      <c r="AH66" s="1616"/>
      <c r="AI66" s="1622"/>
      <c r="AJ66" s="1616"/>
      <c r="AK66" s="1622"/>
      <c r="AL66" s="1616"/>
      <c r="AM66" s="1693"/>
      <c r="AN66" s="1621"/>
      <c r="AO66" s="1622"/>
      <c r="AP66" s="1621"/>
      <c r="AQ66" s="1622"/>
      <c r="AR66" s="470" t="str">
        <f>$CB66&amp;CC66&amp;CD66&amp;CE66</f>
        <v/>
      </c>
      <c r="CB66" s="620" t="str">
        <f t="shared" si="47"/>
        <v/>
      </c>
      <c r="CC66" s="620" t="str">
        <f t="shared" si="48"/>
        <v/>
      </c>
      <c r="CD66" s="620" t="str">
        <f t="shared" si="49"/>
        <v/>
      </c>
      <c r="CE66" s="620" t="str">
        <f t="shared" ref="CE66:CE71" si="55">IF(AND($E66&gt;0,OR(AQ66=""))," * No olvide digitar la variable Migrantes Mujeres. Digite Cero si no tiene.",IF(AQ66&gt;$E66," * La variable Migrantes Mujeres no puede ser Mayor al Total Mujeres.",""))</f>
        <v/>
      </c>
      <c r="CN66" s="501">
        <f t="shared" ref="CN66:CN71" si="56">IF(AND($D66&gt;0,OR(AN66="")),1,IF(AN66&gt;$D66,1,0))</f>
        <v>0</v>
      </c>
      <c r="CO66" s="501">
        <f t="shared" si="50"/>
        <v>0</v>
      </c>
      <c r="CP66" s="501">
        <f t="shared" si="51"/>
        <v>0</v>
      </c>
      <c r="CQ66" s="501">
        <f t="shared" si="52"/>
        <v>0</v>
      </c>
    </row>
    <row r="67" spans="1:95" ht="15" customHeight="1" x14ac:dyDescent="0.25">
      <c r="A67" s="2133"/>
      <c r="B67" s="1196" t="s">
        <v>458</v>
      </c>
      <c r="C67" s="1144">
        <f t="shared" si="53"/>
        <v>0</v>
      </c>
      <c r="D67" s="1118">
        <f t="shared" si="54"/>
        <v>0</v>
      </c>
      <c r="E67" s="1119">
        <f t="shared" si="54"/>
        <v>0</v>
      </c>
      <c r="F67" s="1616"/>
      <c r="G67" s="1617"/>
      <c r="H67" s="1616"/>
      <c r="I67" s="1617"/>
      <c r="J67" s="1616"/>
      <c r="K67" s="1617"/>
      <c r="L67" s="1616"/>
      <c r="M67" s="1617"/>
      <c r="N67" s="1616"/>
      <c r="O67" s="1622"/>
      <c r="P67" s="1616"/>
      <c r="Q67" s="1622"/>
      <c r="R67" s="1616"/>
      <c r="S67" s="1622"/>
      <c r="T67" s="1616"/>
      <c r="U67" s="1622"/>
      <c r="V67" s="1616"/>
      <c r="W67" s="1622"/>
      <c r="X67" s="1616"/>
      <c r="Y67" s="1622"/>
      <c r="Z67" s="1616"/>
      <c r="AA67" s="1622"/>
      <c r="AB67" s="1616"/>
      <c r="AC67" s="1622"/>
      <c r="AD67" s="1616"/>
      <c r="AE67" s="1622"/>
      <c r="AF67" s="1616"/>
      <c r="AG67" s="1622"/>
      <c r="AH67" s="1616"/>
      <c r="AI67" s="1622"/>
      <c r="AJ67" s="1616"/>
      <c r="AK67" s="1622"/>
      <c r="AL67" s="1616"/>
      <c r="AM67" s="1693"/>
      <c r="AN67" s="1621"/>
      <c r="AO67" s="1622"/>
      <c r="AP67" s="1621"/>
      <c r="AQ67" s="1622"/>
      <c r="AR67" s="470" t="str">
        <f t="shared" ref="AR67:AR70" si="57">$CB67&amp;CC67&amp;CD67&amp;CE67</f>
        <v/>
      </c>
      <c r="CB67" s="620" t="str">
        <f t="shared" si="47"/>
        <v/>
      </c>
      <c r="CC67" s="620" t="str">
        <f t="shared" si="48"/>
        <v/>
      </c>
      <c r="CD67" s="620" t="str">
        <f t="shared" si="49"/>
        <v/>
      </c>
      <c r="CE67" s="620" t="str">
        <f t="shared" si="55"/>
        <v/>
      </c>
      <c r="CN67" s="501">
        <f t="shared" si="56"/>
        <v>0</v>
      </c>
      <c r="CO67" s="501">
        <f t="shared" si="50"/>
        <v>0</v>
      </c>
      <c r="CP67" s="501">
        <f t="shared" si="51"/>
        <v>0</v>
      </c>
      <c r="CQ67" s="501">
        <f t="shared" si="52"/>
        <v>0</v>
      </c>
    </row>
    <row r="68" spans="1:95" ht="15" customHeight="1" x14ac:dyDescent="0.25">
      <c r="A68" s="1849"/>
      <c r="B68" s="1196" t="s">
        <v>459</v>
      </c>
      <c r="C68" s="1139">
        <f t="shared" si="53"/>
        <v>0</v>
      </c>
      <c r="D68" s="1133">
        <f t="shared" si="54"/>
        <v>0</v>
      </c>
      <c r="E68" s="1134">
        <f t="shared" si="54"/>
        <v>0</v>
      </c>
      <c r="F68" s="1616"/>
      <c r="G68" s="1617"/>
      <c r="H68" s="1616"/>
      <c r="I68" s="1617"/>
      <c r="J68" s="1616"/>
      <c r="K68" s="1617"/>
      <c r="L68" s="1616"/>
      <c r="M68" s="1617"/>
      <c r="N68" s="1630"/>
      <c r="O68" s="1622"/>
      <c r="P68" s="1616"/>
      <c r="Q68" s="1622"/>
      <c r="R68" s="1616"/>
      <c r="S68" s="1622"/>
      <c r="T68" s="1616"/>
      <c r="U68" s="1622"/>
      <c r="V68" s="1616"/>
      <c r="W68" s="1622"/>
      <c r="X68" s="1616"/>
      <c r="Y68" s="1622"/>
      <c r="Z68" s="1616"/>
      <c r="AA68" s="1622"/>
      <c r="AB68" s="1616"/>
      <c r="AC68" s="1622"/>
      <c r="AD68" s="1616"/>
      <c r="AE68" s="1622"/>
      <c r="AF68" s="1616"/>
      <c r="AG68" s="1622"/>
      <c r="AH68" s="1616"/>
      <c r="AI68" s="1622"/>
      <c r="AJ68" s="1616"/>
      <c r="AK68" s="1622"/>
      <c r="AL68" s="1616"/>
      <c r="AM68" s="1693"/>
      <c r="AN68" s="1621"/>
      <c r="AO68" s="1622"/>
      <c r="AP68" s="1621"/>
      <c r="AQ68" s="1622"/>
      <c r="AR68" s="470" t="str">
        <f t="shared" si="57"/>
        <v/>
      </c>
      <c r="CB68" s="620" t="str">
        <f t="shared" si="47"/>
        <v/>
      </c>
      <c r="CC68" s="620" t="str">
        <f t="shared" si="48"/>
        <v/>
      </c>
      <c r="CD68" s="620" t="str">
        <f t="shared" si="49"/>
        <v/>
      </c>
      <c r="CE68" s="620" t="str">
        <f t="shared" si="55"/>
        <v/>
      </c>
      <c r="CN68" s="501">
        <f t="shared" si="56"/>
        <v>0</v>
      </c>
      <c r="CO68" s="501">
        <f t="shared" si="50"/>
        <v>0</v>
      </c>
      <c r="CP68" s="501">
        <f t="shared" si="51"/>
        <v>0</v>
      </c>
      <c r="CQ68" s="501">
        <f t="shared" si="52"/>
        <v>0</v>
      </c>
    </row>
    <row r="69" spans="1:95" ht="15" customHeight="1" x14ac:dyDescent="0.25">
      <c r="A69" s="2134" t="s">
        <v>404</v>
      </c>
      <c r="B69" s="1197" t="s">
        <v>460</v>
      </c>
      <c r="C69" s="1117">
        <f t="shared" si="53"/>
        <v>0</v>
      </c>
      <c r="D69" s="1136">
        <f>+V69+X69+Z69+AB69+AD69+AF69+AH69+AJ69+AL69</f>
        <v>0</v>
      </c>
      <c r="E69" s="1137">
        <f>+W69+Y69+AA69+AC69+AE69+AG69+AI69+AK69+AM69</f>
        <v>0</v>
      </c>
      <c r="F69" s="1113"/>
      <c r="G69" s="1114"/>
      <c r="H69" s="1113"/>
      <c r="I69" s="1114"/>
      <c r="J69" s="1113"/>
      <c r="K69" s="1114"/>
      <c r="L69" s="1113"/>
      <c r="M69" s="1114"/>
      <c r="N69" s="1113"/>
      <c r="O69" s="1198"/>
      <c r="P69" s="1113"/>
      <c r="Q69" s="1198"/>
      <c r="R69" s="1113"/>
      <c r="S69" s="1198"/>
      <c r="T69" s="1113"/>
      <c r="U69" s="1198"/>
      <c r="V69" s="1616"/>
      <c r="W69" s="1622"/>
      <c r="X69" s="1616"/>
      <c r="Y69" s="1622"/>
      <c r="Z69" s="1616"/>
      <c r="AA69" s="1622"/>
      <c r="AB69" s="1616"/>
      <c r="AC69" s="1622"/>
      <c r="AD69" s="1616"/>
      <c r="AE69" s="1622"/>
      <c r="AF69" s="1616"/>
      <c r="AG69" s="1622"/>
      <c r="AH69" s="1616"/>
      <c r="AI69" s="1622"/>
      <c r="AJ69" s="1616"/>
      <c r="AK69" s="1622"/>
      <c r="AL69" s="1616"/>
      <c r="AM69" s="1693"/>
      <c r="AN69" s="1621"/>
      <c r="AO69" s="1622"/>
      <c r="AP69" s="1621"/>
      <c r="AQ69" s="1622"/>
      <c r="AR69" s="470" t="str">
        <f t="shared" si="57"/>
        <v/>
      </c>
      <c r="CB69" s="620" t="str">
        <f t="shared" si="47"/>
        <v/>
      </c>
      <c r="CC69" s="620" t="str">
        <f t="shared" si="48"/>
        <v/>
      </c>
      <c r="CD69" s="620" t="str">
        <f t="shared" si="49"/>
        <v/>
      </c>
      <c r="CE69" s="620" t="str">
        <f t="shared" si="55"/>
        <v/>
      </c>
      <c r="CN69" s="501">
        <f t="shared" si="56"/>
        <v>0</v>
      </c>
      <c r="CO69" s="501">
        <f t="shared" si="50"/>
        <v>0</v>
      </c>
      <c r="CP69" s="501">
        <f t="shared" si="51"/>
        <v>0</v>
      </c>
      <c r="CQ69" s="501">
        <f t="shared" si="52"/>
        <v>0</v>
      </c>
    </row>
    <row r="70" spans="1:95" ht="15" customHeight="1" x14ac:dyDescent="0.25">
      <c r="A70" s="2135"/>
      <c r="B70" s="1027" t="s">
        <v>461</v>
      </c>
      <c r="C70" s="1126">
        <f t="shared" si="53"/>
        <v>0</v>
      </c>
      <c r="D70" s="1199">
        <f>+V70+X70+Z70+AB70+AD70+AF70+AH70+AJ70+AL70</f>
        <v>0</v>
      </c>
      <c r="E70" s="1200">
        <f t="shared" ref="D70:E71" si="58">+W70+Y70+AA70+AC70+AE70+AG70+AI70+AK70+AM70</f>
        <v>0</v>
      </c>
      <c r="F70" s="1122"/>
      <c r="G70" s="1123"/>
      <c r="H70" s="1122"/>
      <c r="I70" s="1123"/>
      <c r="J70" s="1122"/>
      <c r="K70" s="1123"/>
      <c r="L70" s="1122"/>
      <c r="M70" s="1123"/>
      <c r="N70" s="1122"/>
      <c r="O70" s="1201"/>
      <c r="P70" s="1122"/>
      <c r="Q70" s="1201"/>
      <c r="R70" s="1122"/>
      <c r="S70" s="1201"/>
      <c r="T70" s="1122"/>
      <c r="U70" s="1201"/>
      <c r="V70" s="1616"/>
      <c r="W70" s="1622"/>
      <c r="X70" s="1616"/>
      <c r="Y70" s="1622"/>
      <c r="Z70" s="1616"/>
      <c r="AA70" s="1622"/>
      <c r="AB70" s="1616"/>
      <c r="AC70" s="1622"/>
      <c r="AD70" s="1616"/>
      <c r="AE70" s="1622"/>
      <c r="AF70" s="1616"/>
      <c r="AG70" s="1622"/>
      <c r="AH70" s="1616"/>
      <c r="AI70" s="1622"/>
      <c r="AJ70" s="1616"/>
      <c r="AK70" s="1622"/>
      <c r="AL70" s="1616"/>
      <c r="AM70" s="1693"/>
      <c r="AN70" s="1621"/>
      <c r="AO70" s="1622"/>
      <c r="AP70" s="1621"/>
      <c r="AQ70" s="1622"/>
      <c r="AR70" s="470" t="str">
        <f t="shared" si="57"/>
        <v/>
      </c>
      <c r="CB70" s="620" t="str">
        <f t="shared" si="47"/>
        <v/>
      </c>
      <c r="CC70" s="620" t="str">
        <f t="shared" si="48"/>
        <v/>
      </c>
      <c r="CD70" s="620" t="str">
        <f t="shared" si="49"/>
        <v/>
      </c>
      <c r="CE70" s="620" t="str">
        <f t="shared" si="55"/>
        <v/>
      </c>
      <c r="CN70" s="501">
        <f t="shared" si="56"/>
        <v>0</v>
      </c>
      <c r="CO70" s="501">
        <f t="shared" si="50"/>
        <v>0</v>
      </c>
      <c r="CP70" s="501">
        <f t="shared" si="51"/>
        <v>0</v>
      </c>
      <c r="CQ70" s="501">
        <f t="shared" si="52"/>
        <v>0</v>
      </c>
    </row>
    <row r="71" spans="1:95" ht="15" customHeight="1" x14ac:dyDescent="0.25">
      <c r="A71" s="1849"/>
      <c r="B71" s="1202" t="s">
        <v>459</v>
      </c>
      <c r="C71" s="1139">
        <f t="shared" si="53"/>
        <v>0</v>
      </c>
      <c r="D71" s="1133">
        <f t="shared" si="58"/>
        <v>0</v>
      </c>
      <c r="E71" s="1134">
        <f t="shared" si="58"/>
        <v>0</v>
      </c>
      <c r="F71" s="1140"/>
      <c r="G71" s="1141"/>
      <c r="H71" s="1140"/>
      <c r="I71" s="1141"/>
      <c r="J71" s="1140"/>
      <c r="K71" s="1141"/>
      <c r="L71" s="1140"/>
      <c r="M71" s="1141"/>
      <c r="N71" s="1140"/>
      <c r="O71" s="1203"/>
      <c r="P71" s="1140"/>
      <c r="Q71" s="1203"/>
      <c r="R71" s="1140"/>
      <c r="S71" s="1203"/>
      <c r="T71" s="1140"/>
      <c r="U71" s="1203"/>
      <c r="V71" s="1623"/>
      <c r="W71" s="1629"/>
      <c r="X71" s="1623"/>
      <c r="Y71" s="1629"/>
      <c r="Z71" s="1623"/>
      <c r="AA71" s="1629"/>
      <c r="AB71" s="1623"/>
      <c r="AC71" s="1629"/>
      <c r="AD71" s="1623"/>
      <c r="AE71" s="1629"/>
      <c r="AF71" s="1623"/>
      <c r="AG71" s="1629"/>
      <c r="AH71" s="1623"/>
      <c r="AI71" s="1629"/>
      <c r="AJ71" s="1623"/>
      <c r="AK71" s="1629"/>
      <c r="AL71" s="1623"/>
      <c r="AM71" s="1695"/>
      <c r="AN71" s="1628"/>
      <c r="AO71" s="1629"/>
      <c r="AP71" s="1628"/>
      <c r="AQ71" s="1629"/>
      <c r="AR71" s="470" t="str">
        <f>$CA71&amp;CB71&amp;CC71&amp;CD71&amp;CE71</f>
        <v/>
      </c>
      <c r="CA71" s="620" t="str">
        <f>IF(SUM(C18:C19)&gt;=SUM(C69:C71),"","* El total de Enfermedad Pulmonar Obstructiva Crónica (EPOC) en ambos sexo no puede ser mayor al total de Enfermedad Pulmonar Obstructiva Crónica (EPOC) de ambos sexo de la Sección A. ")</f>
        <v/>
      </c>
      <c r="CB71" s="620" t="str">
        <f t="shared" si="47"/>
        <v/>
      </c>
      <c r="CC71" s="620" t="str">
        <f t="shared" si="48"/>
        <v/>
      </c>
      <c r="CD71" s="620" t="str">
        <f t="shared" si="49"/>
        <v/>
      </c>
      <c r="CE71" s="620" t="str">
        <f t="shared" si="55"/>
        <v/>
      </c>
      <c r="CM71" s="501">
        <f>IF(SUM(C18:C19)&gt;=SUM(C69:C71),0,1)</f>
        <v>0</v>
      </c>
      <c r="CN71" s="501">
        <f t="shared" si="56"/>
        <v>0</v>
      </c>
      <c r="CO71" s="501">
        <f t="shared" si="50"/>
        <v>0</v>
      </c>
      <c r="CP71" s="501">
        <f t="shared" si="51"/>
        <v>0</v>
      </c>
      <c r="CQ71" s="501">
        <f t="shared" si="52"/>
        <v>0</v>
      </c>
    </row>
    <row r="72" spans="1:95" ht="17.100000000000001" customHeight="1" x14ac:dyDescent="0.25">
      <c r="A72" s="1204" t="s">
        <v>462</v>
      </c>
      <c r="B72" s="1205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95" ht="16.5" customHeight="1" x14ac:dyDescent="0.25">
      <c r="A73" s="2136" t="s">
        <v>463</v>
      </c>
      <c r="B73" s="2140" t="s">
        <v>464</v>
      </c>
      <c r="C73" s="2141" t="s">
        <v>49</v>
      </c>
      <c r="D73" s="2141"/>
      <c r="E73" s="2141"/>
      <c r="F73" s="2125" t="s">
        <v>455</v>
      </c>
      <c r="G73" s="2126"/>
      <c r="H73" s="2126"/>
      <c r="I73" s="2126"/>
      <c r="J73" s="2126"/>
      <c r="K73" s="2126"/>
      <c r="L73" s="2126"/>
      <c r="M73" s="2126"/>
      <c r="N73" s="2126"/>
      <c r="O73" s="2126"/>
      <c r="P73" s="2126"/>
      <c r="Q73" s="2126"/>
      <c r="R73" s="2126"/>
      <c r="S73" s="2126"/>
      <c r="T73" s="2126"/>
      <c r="U73" s="2126"/>
      <c r="V73" s="2126"/>
      <c r="W73" s="2126"/>
      <c r="X73" s="2126"/>
      <c r="Y73" s="2126"/>
      <c r="Z73" s="2126"/>
      <c r="AA73" s="2126"/>
      <c r="AB73" s="2126"/>
      <c r="AC73" s="2126"/>
      <c r="AD73" s="2126"/>
      <c r="AE73" s="2126"/>
      <c r="AF73" s="2126"/>
      <c r="AG73" s="2126"/>
      <c r="AH73" s="2126"/>
      <c r="AI73" s="2126"/>
      <c r="AJ73" s="2126"/>
      <c r="AK73" s="2126"/>
      <c r="AL73" s="2126"/>
      <c r="AM73" s="2127"/>
      <c r="AN73" s="2077" t="s">
        <v>51</v>
      </c>
      <c r="AO73" s="2075"/>
      <c r="AP73" s="2077" t="s">
        <v>108</v>
      </c>
      <c r="AQ73" s="2075"/>
      <c r="AZ73" s="470"/>
      <c r="BA73" s="471"/>
      <c r="BP73"/>
      <c r="BQ73" s="471"/>
    </row>
    <row r="74" spans="1:95" ht="19.5" customHeight="1" x14ac:dyDescent="0.25">
      <c r="A74" s="2137"/>
      <c r="B74" s="2140"/>
      <c r="C74" s="2141"/>
      <c r="D74" s="2141"/>
      <c r="E74" s="2141"/>
      <c r="F74" s="2081" t="s">
        <v>394</v>
      </c>
      <c r="G74" s="2082"/>
      <c r="H74" s="2081" t="s">
        <v>465</v>
      </c>
      <c r="I74" s="2082"/>
      <c r="J74" s="2131" t="s">
        <v>466</v>
      </c>
      <c r="K74" s="2131"/>
      <c r="L74" s="2081" t="s">
        <v>467</v>
      </c>
      <c r="M74" s="2082"/>
      <c r="N74" s="2130" t="s">
        <v>468</v>
      </c>
      <c r="O74" s="2130"/>
      <c r="P74" s="2130" t="s">
        <v>59</v>
      </c>
      <c r="Q74" s="2130"/>
      <c r="R74" s="2130" t="s">
        <v>60</v>
      </c>
      <c r="S74" s="2130"/>
      <c r="T74" s="2130" t="s">
        <v>61</v>
      </c>
      <c r="U74" s="2130"/>
      <c r="V74" s="2128" t="s">
        <v>469</v>
      </c>
      <c r="W74" s="2132"/>
      <c r="X74" s="2130" t="s">
        <v>470</v>
      </c>
      <c r="Y74" s="2130"/>
      <c r="Z74" s="2128" t="s">
        <v>471</v>
      </c>
      <c r="AA74" s="2132"/>
      <c r="AB74" s="2130" t="s">
        <v>472</v>
      </c>
      <c r="AC74" s="2130"/>
      <c r="AD74" s="2128" t="s">
        <v>473</v>
      </c>
      <c r="AE74" s="2132"/>
      <c r="AF74" s="2130" t="s">
        <v>474</v>
      </c>
      <c r="AG74" s="2130"/>
      <c r="AH74" s="2128" t="s">
        <v>475</v>
      </c>
      <c r="AI74" s="2132"/>
      <c r="AJ74" s="2130" t="s">
        <v>476</v>
      </c>
      <c r="AK74" s="2130"/>
      <c r="AL74" s="2128" t="s">
        <v>477</v>
      </c>
      <c r="AM74" s="2129"/>
      <c r="AN74" s="2076"/>
      <c r="AO74" s="2051"/>
      <c r="AP74" s="2076"/>
      <c r="AQ74" s="2051"/>
      <c r="AZ74" s="470"/>
      <c r="BA74" s="471"/>
      <c r="BP74"/>
      <c r="BQ74" s="471"/>
    </row>
    <row r="75" spans="1:95" ht="18" customHeight="1" x14ac:dyDescent="0.25">
      <c r="A75" s="2138"/>
      <c r="B75" s="2140"/>
      <c r="C75" s="1207" t="s">
        <v>478</v>
      </c>
      <c r="D75" s="1208" t="s">
        <v>86</v>
      </c>
      <c r="E75" s="1209" t="s">
        <v>225</v>
      </c>
      <c r="F75" s="1103" t="s">
        <v>86</v>
      </c>
      <c r="G75" s="1104" t="s">
        <v>225</v>
      </c>
      <c r="H75" s="480" t="s">
        <v>86</v>
      </c>
      <c r="I75" s="1104" t="s">
        <v>225</v>
      </c>
      <c r="J75" s="480" t="s">
        <v>86</v>
      </c>
      <c r="K75" s="1104" t="s">
        <v>225</v>
      </c>
      <c r="L75" s="480" t="s">
        <v>86</v>
      </c>
      <c r="M75" s="1104" t="s">
        <v>225</v>
      </c>
      <c r="N75" s="480" t="s">
        <v>86</v>
      </c>
      <c r="O75" s="1104" t="s">
        <v>225</v>
      </c>
      <c r="P75" s="480" t="s">
        <v>86</v>
      </c>
      <c r="Q75" s="1104" t="s">
        <v>225</v>
      </c>
      <c r="R75" s="480" t="s">
        <v>86</v>
      </c>
      <c r="S75" s="1104" t="s">
        <v>225</v>
      </c>
      <c r="T75" s="480" t="s">
        <v>86</v>
      </c>
      <c r="U75" s="1104" t="s">
        <v>225</v>
      </c>
      <c r="V75" s="480" t="s">
        <v>86</v>
      </c>
      <c r="W75" s="1104" t="s">
        <v>225</v>
      </c>
      <c r="X75" s="480" t="s">
        <v>86</v>
      </c>
      <c r="Y75" s="1104" t="s">
        <v>225</v>
      </c>
      <c r="Z75" s="480" t="s">
        <v>86</v>
      </c>
      <c r="AA75" s="1104" t="s">
        <v>225</v>
      </c>
      <c r="AB75" s="480" t="s">
        <v>86</v>
      </c>
      <c r="AC75" s="1104" t="s">
        <v>225</v>
      </c>
      <c r="AD75" s="480" t="s">
        <v>86</v>
      </c>
      <c r="AE75" s="1104" t="s">
        <v>225</v>
      </c>
      <c r="AF75" s="480" t="s">
        <v>86</v>
      </c>
      <c r="AG75" s="1104" t="s">
        <v>225</v>
      </c>
      <c r="AH75" s="480" t="s">
        <v>86</v>
      </c>
      <c r="AI75" s="1104" t="s">
        <v>225</v>
      </c>
      <c r="AJ75" s="480" t="s">
        <v>86</v>
      </c>
      <c r="AK75" s="1104" t="s">
        <v>225</v>
      </c>
      <c r="AL75" s="480" t="s">
        <v>86</v>
      </c>
      <c r="AM75" s="1210" t="s">
        <v>225</v>
      </c>
      <c r="AN75" s="1109" t="s">
        <v>400</v>
      </c>
      <c r="AO75" s="1106" t="s">
        <v>225</v>
      </c>
      <c r="AP75" s="1109" t="s">
        <v>400</v>
      </c>
      <c r="AQ75" s="1106" t="s">
        <v>225</v>
      </c>
      <c r="AZ75" s="470"/>
      <c r="BA75" s="471"/>
      <c r="BP75"/>
      <c r="BQ75" s="471"/>
    </row>
    <row r="76" spans="1:95" ht="15" customHeight="1" x14ac:dyDescent="0.25">
      <c r="A76" s="1848" t="s">
        <v>404</v>
      </c>
      <c r="B76" s="1211" t="s">
        <v>479</v>
      </c>
      <c r="C76" s="1212">
        <f>SUM(D76:E76)</f>
        <v>0</v>
      </c>
      <c r="D76" s="1213">
        <f>+V76+X76+Z76+AB76+AD76+AF76+AH76+AJ76+AL76</f>
        <v>0</v>
      </c>
      <c r="E76" s="1214">
        <f>+W76+Y76+AA76+AC76+AE76+AG76+AI76+AK76+AM76</f>
        <v>0</v>
      </c>
      <c r="F76" s="1215"/>
      <c r="G76" s="1216"/>
      <c r="H76" s="496"/>
      <c r="I76" s="1216"/>
      <c r="J76" s="496"/>
      <c r="K76" s="1216"/>
      <c r="L76" s="496"/>
      <c r="M76" s="1216"/>
      <c r="N76" s="496"/>
      <c r="O76" s="1216"/>
      <c r="P76" s="496"/>
      <c r="Q76" s="1216"/>
      <c r="R76" s="496"/>
      <c r="S76" s="1216"/>
      <c r="T76" s="496"/>
      <c r="U76" s="1216"/>
      <c r="V76" s="490"/>
      <c r="W76" s="524"/>
      <c r="X76" s="490"/>
      <c r="Y76" s="524"/>
      <c r="Z76" s="490"/>
      <c r="AA76" s="524"/>
      <c r="AB76" s="490"/>
      <c r="AC76" s="524"/>
      <c r="AD76" s="490"/>
      <c r="AE76" s="524"/>
      <c r="AF76" s="490"/>
      <c r="AG76" s="524"/>
      <c r="AH76" s="490"/>
      <c r="AI76" s="524"/>
      <c r="AJ76" s="490"/>
      <c r="AK76" s="524"/>
      <c r="AL76" s="522"/>
      <c r="AM76" s="956"/>
      <c r="AN76" s="522"/>
      <c r="AO76" s="524"/>
      <c r="AP76" s="522"/>
      <c r="AQ76" s="524"/>
      <c r="AR76" s="470" t="str">
        <f>$CB76&amp;CC76&amp;CD76&amp;CE76&amp;CA76</f>
        <v/>
      </c>
      <c r="AZ76" s="470"/>
      <c r="BA76" s="471"/>
      <c r="BP76"/>
      <c r="BQ76" s="471"/>
      <c r="CA76" s="620" t="str">
        <f>IF(SUM(C18:C19)&gt;=SUM(C76),"","* El total de Enfermedad Pulmonar Obstructiva Crónica (EPOC) en ambos sexo no puede ser mayor al total de Enfermedad Pulmonar Obstructiva Crónica (EPOC) de ambos sexo de la Sección A. ")</f>
        <v/>
      </c>
      <c r="CB76" s="620" t="str">
        <f t="shared" ref="CB76:CB82" si="59">IF(AND($D76&gt;0,OR(AN76=""))," * No olvide digitar la variable Pueblos Originarios Hombres. Digite Cero si no tiene.",IF(AN76&gt;$D76," * La variable Pueblos Originarios Hombres no puede ser Mayor al Total Hombres.",""))</f>
        <v/>
      </c>
      <c r="CC76" s="620" t="str">
        <f t="shared" ref="CC76:CC82" si="60">IF(AND($E76&gt;0,OR(AO76=""))," * No olvide digitar la variable Pueblos Originarios Mujeres. Digite Cero si no tiene.",IF(AO76&gt;$E76," * La variable Pueblos Originarios Mujeres no puede ser Mayor al Total Mujeres.",""))</f>
        <v/>
      </c>
      <c r="CD76" s="620" t="str">
        <f t="shared" ref="CD76:CD82" si="61">IF(AND($D76&gt;0,OR(AP76=""))," * No olvide digitar la variable Migrantes Hombres. Digite Cero si no tiene.",IF(AP76&gt;$D76," * La variable Migrantes Hombres no puede ser Mayor al Total Hombres.",""))</f>
        <v/>
      </c>
      <c r="CE76" s="620" t="str">
        <f>IF(AND($E76&gt;0,OR(AQ76=""))," * No olvide digitar la variable Migrantes Mujeres. Digite Cero si no tiene.",IF(AQ76&gt;$E76," * La variable Migrantes Mujeres no puede ser Mayor al Total Mujeres.",""))</f>
        <v/>
      </c>
      <c r="CM76" s="501">
        <f>IF(SUM(C18:C19)&gt;=SUM(C76),0,1)</f>
        <v>0</v>
      </c>
      <c r="CN76" s="501">
        <f>IF(AND($D76&gt;0,OR(AN76="")),1,IF(AN76&gt;$D76,1,0))</f>
        <v>0</v>
      </c>
      <c r="CO76" s="501">
        <f>IF(AND($E76&gt;0,OR(AO76="")),1,IF(AO76&gt;$E76,1,0))</f>
        <v>0</v>
      </c>
      <c r="CP76" s="501">
        <f t="shared" ref="CP76:CP82" si="62">IF(AND($D76&gt;0,OR(AP76="")),1,IF(AP76&gt;$D76,1,0))</f>
        <v>0</v>
      </c>
      <c r="CQ76" s="501">
        <f>IF(AND($E76&gt;0,OR(AQ76="")),1,IF(AQ76&gt;$E76,1,0))</f>
        <v>0</v>
      </c>
    </row>
    <row r="77" spans="1:95" ht="15" customHeight="1" x14ac:dyDescent="0.25">
      <c r="A77" s="2133"/>
      <c r="B77" s="1217" t="s">
        <v>483</v>
      </c>
      <c r="C77" s="1218">
        <f>SUM(D77:E77)</f>
        <v>0</v>
      </c>
      <c r="D77" s="1219">
        <f>+V77+X77+Z77+AB77+AD77+AF77+AH77+AJ77+AL77</f>
        <v>0</v>
      </c>
      <c r="E77" s="1220">
        <f t="shared" ref="E77" si="63">+W77+Y77+AA77+AC77+AE77+AG77+AI77+AK77+AM77</f>
        <v>0</v>
      </c>
      <c r="F77" s="1221"/>
      <c r="G77" s="1222"/>
      <c r="H77" s="533"/>
      <c r="I77" s="1222"/>
      <c r="J77" s="533"/>
      <c r="K77" s="1222"/>
      <c r="L77" s="533"/>
      <c r="M77" s="1222"/>
      <c r="N77" s="533"/>
      <c r="O77" s="1222"/>
      <c r="P77" s="533"/>
      <c r="Q77" s="1222"/>
      <c r="R77" s="533"/>
      <c r="S77" s="1222"/>
      <c r="T77" s="533"/>
      <c r="U77" s="1222"/>
      <c r="V77" s="528"/>
      <c r="W77" s="534"/>
      <c r="X77" s="528"/>
      <c r="Y77" s="534"/>
      <c r="Z77" s="528"/>
      <c r="AA77" s="534"/>
      <c r="AB77" s="528"/>
      <c r="AC77" s="534"/>
      <c r="AD77" s="528"/>
      <c r="AE77" s="534"/>
      <c r="AF77" s="528"/>
      <c r="AG77" s="534"/>
      <c r="AH77" s="528"/>
      <c r="AI77" s="534"/>
      <c r="AJ77" s="528"/>
      <c r="AK77" s="534"/>
      <c r="AL77" s="528"/>
      <c r="AM77" s="949"/>
      <c r="AN77" s="528"/>
      <c r="AO77" s="534"/>
      <c r="AP77" s="528"/>
      <c r="AQ77" s="534"/>
      <c r="AR77" s="470" t="str">
        <f>$CB77&amp;CC77&amp;CD77&amp;CE77</f>
        <v/>
      </c>
      <c r="AZ77" s="470"/>
      <c r="BA77" s="471"/>
      <c r="BP77"/>
      <c r="BQ77" s="471"/>
      <c r="CB77" s="620" t="str">
        <f t="shared" si="59"/>
        <v/>
      </c>
      <c r="CC77" s="620" t="str">
        <f t="shared" si="60"/>
        <v/>
      </c>
      <c r="CD77" s="620" t="str">
        <f t="shared" si="61"/>
        <v/>
      </c>
      <c r="CE77" s="620" t="str">
        <f t="shared" ref="CE77:CE82" si="64">IF(AND($E77&gt;0,OR(AQ77=""))," * No olvide digitar la variable Migrantes Mujeres. Digite Cero si no tiene.",IF(AQ77&gt;$E77," * La variable Migrantes Mujeres no puede ser Mayor al Total Mujeres.",""))</f>
        <v/>
      </c>
      <c r="CN77" s="501">
        <f t="shared" ref="CN77:CN82" si="65">IF(AND($D77&gt;0,OR(AN77="")),1,IF(AN77&gt;$D77,1,0))</f>
        <v>0</v>
      </c>
      <c r="CO77" s="501">
        <f t="shared" ref="CO77:CO82" si="66">IF(AND($E77&gt;0,OR(AO77="")),1,IF(AO77&gt;$E77,1,0))</f>
        <v>0</v>
      </c>
      <c r="CP77" s="501">
        <f t="shared" si="62"/>
        <v>0</v>
      </c>
      <c r="CQ77" s="501">
        <f t="shared" ref="CQ77:CQ82" si="67">IF(AND($E77&gt;0,OR(AQ77="")),1,IF(AQ77&gt;$E77,1,0))</f>
        <v>0</v>
      </c>
    </row>
    <row r="78" spans="1:95" ht="15" customHeight="1" x14ac:dyDescent="0.25">
      <c r="A78" s="1849"/>
      <c r="B78" s="1223" t="s">
        <v>481</v>
      </c>
      <c r="C78" s="1224">
        <f t="shared" ref="C78:C84" si="68">SUM(D78:E78)</f>
        <v>0</v>
      </c>
      <c r="D78" s="1225">
        <f t="shared" ref="D78" si="69">+V78+X78+Z78+AB78+AD78+AF78+AH78+AJ78+AL78</f>
        <v>0</v>
      </c>
      <c r="E78" s="1226">
        <f>+W78+Y78+AA78+AC78+AE78+AG78+AI78+AK78+AM78</f>
        <v>0</v>
      </c>
      <c r="F78" s="628"/>
      <c r="G78" s="1227"/>
      <c r="H78" s="512"/>
      <c r="I78" s="1227"/>
      <c r="J78" s="512"/>
      <c r="K78" s="1227"/>
      <c r="L78" s="512"/>
      <c r="M78" s="1227"/>
      <c r="N78" s="512"/>
      <c r="O78" s="1227"/>
      <c r="P78" s="512"/>
      <c r="Q78" s="1227"/>
      <c r="R78" s="512"/>
      <c r="S78" s="1227"/>
      <c r="T78" s="512"/>
      <c r="U78" s="1227"/>
      <c r="V78" s="511"/>
      <c r="W78" s="513"/>
      <c r="X78" s="511"/>
      <c r="Y78" s="513"/>
      <c r="Z78" s="511"/>
      <c r="AA78" s="513"/>
      <c r="AB78" s="511"/>
      <c r="AC78" s="513"/>
      <c r="AD78" s="511"/>
      <c r="AE78" s="513"/>
      <c r="AF78" s="511"/>
      <c r="AG78" s="513"/>
      <c r="AH78" s="511"/>
      <c r="AI78" s="513"/>
      <c r="AJ78" s="511"/>
      <c r="AK78" s="513"/>
      <c r="AL78" s="511"/>
      <c r="AM78" s="630"/>
      <c r="AN78" s="511"/>
      <c r="AO78" s="513"/>
      <c r="AP78" s="511"/>
      <c r="AQ78" s="513"/>
      <c r="AR78" s="470" t="str">
        <f t="shared" ref="AR78:AR83" si="70">$CB78&amp;CC78&amp;CD78&amp;CE78</f>
        <v/>
      </c>
      <c r="AZ78" s="470"/>
      <c r="BA78" s="471"/>
      <c r="BP78"/>
      <c r="BQ78" s="471"/>
      <c r="CB78" s="620" t="str">
        <f t="shared" si="59"/>
        <v/>
      </c>
      <c r="CC78" s="620" t="str">
        <f t="shared" si="60"/>
        <v/>
      </c>
      <c r="CD78" s="620" t="str">
        <f t="shared" si="61"/>
        <v/>
      </c>
      <c r="CE78" s="620" t="str">
        <f t="shared" si="64"/>
        <v/>
      </c>
      <c r="CN78" s="501">
        <f t="shared" si="65"/>
        <v>0</v>
      </c>
      <c r="CO78" s="501">
        <f t="shared" si="66"/>
        <v>0</v>
      </c>
      <c r="CP78" s="501">
        <f t="shared" si="62"/>
        <v>0</v>
      </c>
      <c r="CQ78" s="501">
        <f t="shared" si="67"/>
        <v>0</v>
      </c>
    </row>
    <row r="79" spans="1:95" ht="15" customHeight="1" x14ac:dyDescent="0.25">
      <c r="A79" s="1848" t="s">
        <v>403</v>
      </c>
      <c r="B79" s="1768" t="s">
        <v>479</v>
      </c>
      <c r="C79" s="1769">
        <f t="shared" si="68"/>
        <v>0</v>
      </c>
      <c r="D79" s="1770">
        <f>+F79+H79+J79+L79+N79+P79+R79+T79+V79+X79+Z79+AB79+AD79+AF79+AH79+AJ79+AL79</f>
        <v>0</v>
      </c>
      <c r="E79" s="1771">
        <f>+G79+I79+K79+M79+O79+Q79+S79+U79+W79+Y79+AA79+AC79+AE79+AG79+AI79+AK79+AM79</f>
        <v>0</v>
      </c>
      <c r="F79" s="1772"/>
      <c r="G79" s="611"/>
      <c r="H79" s="1773"/>
      <c r="I79" s="611"/>
      <c r="J79" s="1773"/>
      <c r="K79" s="611"/>
      <c r="L79" s="1773"/>
      <c r="M79" s="611"/>
      <c r="N79" s="1773"/>
      <c r="O79" s="611"/>
      <c r="P79" s="1773"/>
      <c r="Q79" s="611"/>
      <c r="R79" s="1773"/>
      <c r="S79" s="611"/>
      <c r="T79" s="1773"/>
      <c r="U79" s="611"/>
      <c r="V79" s="1773"/>
      <c r="W79" s="611"/>
      <c r="X79" s="1773"/>
      <c r="Y79" s="611"/>
      <c r="Z79" s="1773"/>
      <c r="AA79" s="611"/>
      <c r="AB79" s="1773"/>
      <c r="AC79" s="611"/>
      <c r="AD79" s="1773"/>
      <c r="AE79" s="611"/>
      <c r="AF79" s="1773"/>
      <c r="AG79" s="611"/>
      <c r="AH79" s="1773"/>
      <c r="AI79" s="611"/>
      <c r="AJ79" s="1773"/>
      <c r="AK79" s="611"/>
      <c r="AL79" s="1773"/>
      <c r="AM79" s="1774"/>
      <c r="AN79" s="1773"/>
      <c r="AO79" s="611"/>
      <c r="AP79" s="1773"/>
      <c r="AQ79" s="611"/>
      <c r="AR79" s="470" t="str">
        <f>$CA79&amp;CB79&amp;CC79&amp;CD79&amp;CE79</f>
        <v/>
      </c>
      <c r="AZ79" s="470"/>
      <c r="BA79" s="471"/>
      <c r="BP79"/>
      <c r="BQ79" s="471"/>
      <c r="CA79" s="620" t="str">
        <f>IF(SUM(C15:C17)&gt;=SUM(C79),"","* El total de Asma Bronquial en ambos sexo no puede ser mayor al total de Asma Bronquial de ambos sexo de la Sección A. ")</f>
        <v/>
      </c>
      <c r="CB79" s="620" t="str">
        <f t="shared" ref="CB79" si="71">IF(AND($D79&gt;0,OR(AN79=""))," * No olvide digitar la variable Pueblos Originarios Hombres. Digite Cero si no tiene.",IF(AN79&gt;$D79," * La variable Pueblos Originarios Hombres no puede ser Mayor al Total Hombres.",""))</f>
        <v/>
      </c>
      <c r="CC79" s="620" t="str">
        <f t="shared" ref="CC79" si="72">IF(AND($E79&gt;0,OR(AO79=""))," * No olvide digitar la variable Pueblos Originarios Mujeres. Digite Cero si no tiene.",IF(AO79&gt;$E79," * La variable Pueblos Originarios Mujeres no puede ser Mayor al Total Mujeres.",""))</f>
        <v/>
      </c>
      <c r="CD79" s="620" t="str">
        <f>IF(AND($D79&gt;0,OR(AP79=""))," * No olvide digitar la variable Migrantes Hombres. Digite Cero si no tiene.",IF(AP79&gt;$D79," * La variable Migrantes Hombres no puede ser Mayor al Total Hombres.",""))</f>
        <v/>
      </c>
      <c r="CE79" s="620" t="str">
        <f t="shared" ref="CE79" si="73">IF(AND($E79&gt;0,OR(AQ79=""))," * No olvide digitar la variable Migrantes Mujeres. Digite Cero si no tiene.",IF(AQ79&gt;$E79," * La variable Migrantes Mujeres no puede ser Mayor al Total Mujeres.",""))</f>
        <v/>
      </c>
      <c r="CN79" s="501">
        <f t="shared" si="65"/>
        <v>0</v>
      </c>
      <c r="CO79" s="501">
        <f t="shared" si="66"/>
        <v>0</v>
      </c>
      <c r="CP79" s="501">
        <f t="shared" si="62"/>
        <v>0</v>
      </c>
      <c r="CQ79" s="501">
        <f t="shared" si="67"/>
        <v>0</v>
      </c>
    </row>
    <row r="80" spans="1:95" ht="15" customHeight="1" x14ac:dyDescent="0.25">
      <c r="A80" s="2133"/>
      <c r="B80" s="1767" t="s">
        <v>480</v>
      </c>
      <c r="C80" s="1228">
        <f>SUM(D80:E80)</f>
        <v>0</v>
      </c>
      <c r="D80" s="1229">
        <f>+F80+H80+J80+L80+N80+P80+R80+T80+V80+X80+Z80+AB80+AD80+AF80+AH80+AJ80+AL80</f>
        <v>0</v>
      </c>
      <c r="E80" s="1230">
        <f t="shared" ref="E80:E81" si="74">+G80+I80+K80+M80+O80+Q80+S80+U80+W80+Y80+AA80+AC80+AE80+AG80+AI80+AK80+AM80</f>
        <v>0</v>
      </c>
      <c r="F80" s="520"/>
      <c r="G80" s="524"/>
      <c r="H80" s="522"/>
      <c r="I80" s="524"/>
      <c r="J80" s="522"/>
      <c r="K80" s="524"/>
      <c r="L80" s="522"/>
      <c r="M80" s="524"/>
      <c r="N80" s="522"/>
      <c r="O80" s="524"/>
      <c r="P80" s="522"/>
      <c r="Q80" s="524"/>
      <c r="R80" s="522"/>
      <c r="S80" s="524"/>
      <c r="T80" s="522"/>
      <c r="U80" s="524"/>
      <c r="V80" s="522"/>
      <c r="W80" s="524"/>
      <c r="X80" s="522"/>
      <c r="Y80" s="524"/>
      <c r="Z80" s="522"/>
      <c r="AA80" s="524"/>
      <c r="AB80" s="522"/>
      <c r="AC80" s="524"/>
      <c r="AD80" s="522"/>
      <c r="AE80" s="524"/>
      <c r="AF80" s="522"/>
      <c r="AG80" s="524"/>
      <c r="AH80" s="522"/>
      <c r="AI80" s="524"/>
      <c r="AJ80" s="522"/>
      <c r="AK80" s="524"/>
      <c r="AL80" s="522"/>
      <c r="AM80" s="956"/>
      <c r="AN80" s="522"/>
      <c r="AO80" s="524"/>
      <c r="AP80" s="522"/>
      <c r="AQ80" s="524"/>
      <c r="AR80" s="470" t="str">
        <f t="shared" si="70"/>
        <v/>
      </c>
      <c r="AZ80" s="470"/>
      <c r="BA80" s="471"/>
      <c r="BP80"/>
      <c r="BQ80" s="471"/>
      <c r="CB80" s="620" t="str">
        <f t="shared" si="59"/>
        <v/>
      </c>
      <c r="CC80" s="620" t="str">
        <f t="shared" si="60"/>
        <v/>
      </c>
      <c r="CD80" s="620" t="str">
        <f t="shared" si="61"/>
        <v/>
      </c>
      <c r="CE80" s="620" t="str">
        <f t="shared" si="64"/>
        <v/>
      </c>
      <c r="CN80" s="501">
        <f t="shared" si="65"/>
        <v>0</v>
      </c>
      <c r="CO80" s="501">
        <f t="shared" si="66"/>
        <v>0</v>
      </c>
      <c r="CP80" s="501">
        <f t="shared" si="62"/>
        <v>0</v>
      </c>
      <c r="CQ80" s="501">
        <f t="shared" si="67"/>
        <v>0</v>
      </c>
    </row>
    <row r="81" spans="1:95" ht="15" customHeight="1" x14ac:dyDescent="0.25">
      <c r="A81" s="1849"/>
      <c r="B81" s="1223" t="s">
        <v>481</v>
      </c>
      <c r="C81" s="1224">
        <f t="shared" si="68"/>
        <v>0</v>
      </c>
      <c r="D81" s="1225">
        <f t="shared" ref="D81" si="75">+F81+H81+J81+L81+N81+P81+R81+T81+V81+X81+Z81+AB81+AD81+AF81+AH81+AJ81+AL81</f>
        <v>0</v>
      </c>
      <c r="E81" s="1226">
        <f t="shared" si="74"/>
        <v>0</v>
      </c>
      <c r="F81" s="509"/>
      <c r="G81" s="513"/>
      <c r="H81" s="511"/>
      <c r="I81" s="513"/>
      <c r="J81" s="511"/>
      <c r="K81" s="513"/>
      <c r="L81" s="511"/>
      <c r="M81" s="513"/>
      <c r="N81" s="511"/>
      <c r="O81" s="513"/>
      <c r="P81" s="511"/>
      <c r="Q81" s="513"/>
      <c r="R81" s="511"/>
      <c r="S81" s="513"/>
      <c r="T81" s="511"/>
      <c r="U81" s="513"/>
      <c r="V81" s="511"/>
      <c r="W81" s="513"/>
      <c r="X81" s="511"/>
      <c r="Y81" s="513"/>
      <c r="Z81" s="511"/>
      <c r="AA81" s="513"/>
      <c r="AB81" s="511"/>
      <c r="AC81" s="513"/>
      <c r="AD81" s="511"/>
      <c r="AE81" s="513"/>
      <c r="AF81" s="511"/>
      <c r="AG81" s="513"/>
      <c r="AH81" s="511"/>
      <c r="AI81" s="513"/>
      <c r="AJ81" s="511"/>
      <c r="AK81" s="513"/>
      <c r="AL81" s="511"/>
      <c r="AM81" s="630"/>
      <c r="AN81" s="511"/>
      <c r="AO81" s="513"/>
      <c r="AP81" s="511"/>
      <c r="AQ81" s="513"/>
      <c r="AR81" s="470" t="str">
        <f t="shared" si="70"/>
        <v/>
      </c>
      <c r="AZ81" s="470"/>
      <c r="BA81" s="471"/>
      <c r="BP81"/>
      <c r="BQ81" s="471"/>
      <c r="CB81" s="620" t="str">
        <f t="shared" si="59"/>
        <v/>
      </c>
      <c r="CC81" s="620" t="str">
        <f t="shared" si="60"/>
        <v/>
      </c>
      <c r="CD81" s="620" t="str">
        <f t="shared" si="61"/>
        <v/>
      </c>
      <c r="CE81" s="620" t="str">
        <f t="shared" si="64"/>
        <v/>
      </c>
      <c r="CN81" s="501">
        <f t="shared" si="65"/>
        <v>0</v>
      </c>
      <c r="CO81" s="501">
        <f t="shared" si="66"/>
        <v>0</v>
      </c>
      <c r="CP81" s="501">
        <f t="shared" si="62"/>
        <v>0</v>
      </c>
      <c r="CQ81" s="501">
        <f t="shared" si="67"/>
        <v>0</v>
      </c>
    </row>
    <row r="82" spans="1:95" ht="15" customHeight="1" x14ac:dyDescent="0.25">
      <c r="A82" s="2115" t="s">
        <v>482</v>
      </c>
      <c r="B82" s="1768" t="s">
        <v>479</v>
      </c>
      <c r="C82" s="1769">
        <f t="shared" si="68"/>
        <v>0</v>
      </c>
      <c r="D82" s="1770">
        <f t="shared" ref="D82:D84" si="76">+F82+H82+J82+L82+N82+P82+R82+T82+V82+X82+Z82+AB82+AD82+AF82+AH82+AJ82+AL82</f>
        <v>0</v>
      </c>
      <c r="E82" s="1771">
        <f t="shared" ref="E82:E84" si="77">+G82+I82+K82+M82+O82+Q82+S82+U82+W82+Y82+AA82+AC82+AE82+AG82+AI82+AK82+AM82</f>
        <v>0</v>
      </c>
      <c r="F82" s="1772"/>
      <c r="G82" s="611"/>
      <c r="H82" s="1773"/>
      <c r="I82" s="611"/>
      <c r="J82" s="1773"/>
      <c r="K82" s="611"/>
      <c r="L82" s="1773"/>
      <c r="M82" s="611"/>
      <c r="N82" s="1773"/>
      <c r="O82" s="611"/>
      <c r="P82" s="1773"/>
      <c r="Q82" s="611"/>
      <c r="R82" s="1773"/>
      <c r="S82" s="611"/>
      <c r="T82" s="1773"/>
      <c r="U82" s="611"/>
      <c r="V82" s="1773"/>
      <c r="W82" s="611"/>
      <c r="X82" s="1773"/>
      <c r="Y82" s="611"/>
      <c r="Z82" s="1773"/>
      <c r="AA82" s="611"/>
      <c r="AB82" s="1773"/>
      <c r="AC82" s="611"/>
      <c r="AD82" s="1773"/>
      <c r="AE82" s="611"/>
      <c r="AF82" s="1773"/>
      <c r="AG82" s="611"/>
      <c r="AH82" s="1773"/>
      <c r="AI82" s="611"/>
      <c r="AJ82" s="1773"/>
      <c r="AK82" s="611"/>
      <c r="AL82" s="1773"/>
      <c r="AM82" s="1774"/>
      <c r="AN82" s="1773"/>
      <c r="AO82" s="611"/>
      <c r="AP82" s="1773"/>
      <c r="AQ82" s="611"/>
      <c r="AR82" s="470" t="str">
        <f>$CB82&amp;CC82&amp;CD82&amp;CE82</f>
        <v/>
      </c>
      <c r="AZ82" s="470"/>
      <c r="BA82" s="471"/>
      <c r="BP82"/>
      <c r="BQ82" s="471"/>
      <c r="CB82" s="620" t="str">
        <f t="shared" si="59"/>
        <v/>
      </c>
      <c r="CC82" s="620" t="str">
        <f t="shared" si="60"/>
        <v/>
      </c>
      <c r="CD82" s="620" t="str">
        <f t="shared" si="61"/>
        <v/>
      </c>
      <c r="CE82" s="620" t="str">
        <f t="shared" si="64"/>
        <v/>
      </c>
      <c r="CM82" s="501">
        <f>IF(SUM(C15:C17)&gt;=SUM(C79),0,1)</f>
        <v>0</v>
      </c>
      <c r="CN82" s="501">
        <f t="shared" si="65"/>
        <v>0</v>
      </c>
      <c r="CO82" s="501">
        <f t="shared" si="66"/>
        <v>0</v>
      </c>
      <c r="CP82" s="501">
        <f t="shared" si="62"/>
        <v>0</v>
      </c>
      <c r="CQ82" s="501">
        <f t="shared" si="67"/>
        <v>0</v>
      </c>
    </row>
    <row r="83" spans="1:95" ht="15" customHeight="1" x14ac:dyDescent="0.25">
      <c r="A83" s="2116"/>
      <c r="B83" s="1767" t="s">
        <v>483</v>
      </c>
      <c r="C83" s="1228">
        <f t="shared" si="68"/>
        <v>0</v>
      </c>
      <c r="D83" s="1229">
        <f t="shared" si="76"/>
        <v>0</v>
      </c>
      <c r="E83" s="1230">
        <f>+G83+I83+K83+M83+O83+Q83+S83+U83+W83+Y83+AA83+AC83+AE83+AG83+AI83+AK83+AM83</f>
        <v>0</v>
      </c>
      <c r="F83" s="547"/>
      <c r="G83" s="551"/>
      <c r="H83" s="549"/>
      <c r="I83" s="551"/>
      <c r="J83" s="549"/>
      <c r="K83" s="551"/>
      <c r="L83" s="549"/>
      <c r="M83" s="551"/>
      <c r="N83" s="549"/>
      <c r="O83" s="551"/>
      <c r="P83" s="549"/>
      <c r="Q83" s="551"/>
      <c r="R83" s="549"/>
      <c r="S83" s="551"/>
      <c r="T83" s="549"/>
      <c r="U83" s="551"/>
      <c r="V83" s="549"/>
      <c r="W83" s="551"/>
      <c r="X83" s="549"/>
      <c r="Y83" s="551"/>
      <c r="Z83" s="549"/>
      <c r="AA83" s="551"/>
      <c r="AB83" s="549"/>
      <c r="AC83" s="551"/>
      <c r="AD83" s="549"/>
      <c r="AE83" s="551"/>
      <c r="AF83" s="549"/>
      <c r="AG83" s="551"/>
      <c r="AH83" s="549"/>
      <c r="AI83" s="551"/>
      <c r="AJ83" s="549"/>
      <c r="AK83" s="551"/>
      <c r="AL83" s="549"/>
      <c r="AM83" s="1775"/>
      <c r="AN83" s="549"/>
      <c r="AO83" s="551"/>
      <c r="AP83" s="549"/>
      <c r="AQ83" s="551"/>
      <c r="AR83" s="470" t="str">
        <f t="shared" si="70"/>
        <v/>
      </c>
      <c r="AZ83" s="470"/>
      <c r="BA83" s="471"/>
      <c r="BP83"/>
      <c r="BQ83" s="471"/>
      <c r="CB83" s="620" t="str">
        <f t="shared" ref="CB83:CB84" si="78">IF(AND($D83&gt;0,OR(AN83=""))," * No olvide digitar la variable Pueblos Originarios Hombres. Digite Cero si no tiene.",IF(AN83&gt;$D83," * La variable Pueblos Originarios Hombres no puede ser Mayor al Total Hombres.",""))</f>
        <v/>
      </c>
      <c r="CC83" s="620" t="str">
        <f t="shared" ref="CC83:CC84" si="79">IF(AND($E83&gt;0,OR(AO83=""))," * No olvide digitar la variable Pueblos Originarios Mujeres. Digite Cero si no tiene.",IF(AO83&gt;$E83," * La variable Pueblos Originarios Mujeres no puede ser Mayor al Total Mujeres.",""))</f>
        <v/>
      </c>
      <c r="CD83" s="620" t="str">
        <f t="shared" ref="CD83:CD84" si="80">IF(AND($D83&gt;0,OR(AP83=""))," * No olvide digitar la variable Migrantes Hombres. Digite Cero si no tiene.",IF(AP83&gt;$D83," * La variable Migrantes Hombres no puede ser Mayor al Total Hombres.",""))</f>
        <v/>
      </c>
      <c r="CE83" s="620" t="str">
        <f t="shared" ref="CE83:CE84" si="81">IF(AND($E83&gt;0,OR(AQ83=""))," * No olvide digitar la variable Migrantes Mujeres. Digite Cero si no tiene.",IF(AQ83&gt;$E83," * La variable Migrantes Mujeres no puede ser Mayor al Total Mujeres.",""))</f>
        <v/>
      </c>
      <c r="CN83" s="501">
        <f t="shared" ref="CN83:CN84" si="82">IF(AND($D83&gt;0,OR(AN83="")),1,IF(AN83&gt;$D83,1,0))</f>
        <v>0</v>
      </c>
      <c r="CO83" s="501">
        <f t="shared" ref="CO83:CO84" si="83">IF(AND($E83&gt;0,OR(AO83="")),1,IF(AO83&gt;$E83,1,0))</f>
        <v>0</v>
      </c>
      <c r="CP83" s="501">
        <f t="shared" ref="CP83:CP84" si="84">IF(AND($D83&gt;0,OR(AP83="")),1,IF(AP83&gt;$D83,1,0))</f>
        <v>0</v>
      </c>
      <c r="CQ83" s="501">
        <f t="shared" ref="CQ83:CQ84" si="85">IF(AND($E83&gt;0,OR(AQ83="")),1,IF(AQ83&gt;$E83,1,0))</f>
        <v>0</v>
      </c>
    </row>
    <row r="84" spans="1:95" ht="15" customHeight="1" x14ac:dyDescent="0.25">
      <c r="A84" s="2117"/>
      <c r="B84" s="1223" t="s">
        <v>481</v>
      </c>
      <c r="C84" s="1224">
        <f t="shared" si="68"/>
        <v>0</v>
      </c>
      <c r="D84" s="1225">
        <f t="shared" si="76"/>
        <v>0</v>
      </c>
      <c r="E84" s="1226">
        <f t="shared" si="77"/>
        <v>0</v>
      </c>
      <c r="F84" s="560"/>
      <c r="G84" s="564"/>
      <c r="H84" s="563"/>
      <c r="I84" s="564"/>
      <c r="J84" s="563"/>
      <c r="K84" s="564"/>
      <c r="L84" s="563"/>
      <c r="M84" s="564"/>
      <c r="N84" s="563"/>
      <c r="O84" s="564"/>
      <c r="P84" s="563"/>
      <c r="Q84" s="564"/>
      <c r="R84" s="563"/>
      <c r="S84" s="564"/>
      <c r="T84" s="563"/>
      <c r="U84" s="564"/>
      <c r="V84" s="563"/>
      <c r="W84" s="564"/>
      <c r="X84" s="563"/>
      <c r="Y84" s="564"/>
      <c r="Z84" s="563"/>
      <c r="AA84" s="564"/>
      <c r="AB84" s="563"/>
      <c r="AC84" s="564"/>
      <c r="AD84" s="563"/>
      <c r="AE84" s="564"/>
      <c r="AF84" s="563"/>
      <c r="AG84" s="564"/>
      <c r="AH84" s="563"/>
      <c r="AI84" s="564"/>
      <c r="AJ84" s="563"/>
      <c r="AK84" s="564"/>
      <c r="AL84" s="563"/>
      <c r="AM84" s="955"/>
      <c r="AN84" s="563"/>
      <c r="AO84" s="564"/>
      <c r="AP84" s="563"/>
      <c r="AQ84" s="564"/>
      <c r="AR84" s="470" t="str">
        <f t="shared" ref="AR84" si="86">$CA84&amp;CB84&amp;CC84&amp;CD84&amp;CE84</f>
        <v/>
      </c>
      <c r="AZ84" s="470"/>
      <c r="BA84" s="471"/>
      <c r="BP84"/>
      <c r="BQ84" s="471"/>
      <c r="CB84" s="620" t="str">
        <f t="shared" si="78"/>
        <v/>
      </c>
      <c r="CC84" s="620" t="str">
        <f t="shared" si="79"/>
        <v/>
      </c>
      <c r="CD84" s="620" t="str">
        <f t="shared" si="80"/>
        <v/>
      </c>
      <c r="CE84" s="620" t="str">
        <f t="shared" si="81"/>
        <v/>
      </c>
      <c r="CN84" s="501">
        <f t="shared" si="82"/>
        <v>0</v>
      </c>
      <c r="CO84" s="501">
        <f t="shared" si="83"/>
        <v>0</v>
      </c>
      <c r="CP84" s="501">
        <f t="shared" si="84"/>
        <v>0</v>
      </c>
      <c r="CQ84" s="501">
        <f t="shared" si="85"/>
        <v>0</v>
      </c>
    </row>
    <row r="92" spans="1:95" ht="11.25" customHeight="1" x14ac:dyDescent="0.25"/>
    <row r="93" spans="1:95" ht="25.5" hidden="1" customHeight="1" x14ac:dyDescent="0.15">
      <c r="A93" s="1231">
        <f>SUM(C12:C47,B52,C57:C60,C65:C71,C76:C84)</f>
        <v>0</v>
      </c>
      <c r="B93" s="1232" t="s">
        <v>204</v>
      </c>
      <c r="AZ93" s="470"/>
      <c r="BA93" s="470"/>
      <c r="BB93" s="470"/>
      <c r="BC93" s="470"/>
      <c r="BD93" s="470"/>
      <c r="BE93" s="470"/>
      <c r="BF93" s="470"/>
      <c r="BG93" s="470"/>
      <c r="BH93" s="470"/>
      <c r="BI93" s="470"/>
      <c r="BJ93" s="470"/>
      <c r="BK93" s="470"/>
      <c r="BL93" s="470"/>
      <c r="BM93" s="470"/>
      <c r="BN93" s="470"/>
      <c r="BO93" s="470"/>
      <c r="BP93" s="470"/>
    </row>
    <row r="94" spans="1:95" ht="23.25" hidden="1" customHeight="1" x14ac:dyDescent="0.15">
      <c r="A94" s="1231">
        <f>SUM(CM12:CZ84)</f>
        <v>0</v>
      </c>
      <c r="B94" s="1232" t="s">
        <v>205</v>
      </c>
      <c r="AZ94" s="470"/>
      <c r="BA94" s="470"/>
      <c r="BB94" s="470"/>
      <c r="BC94" s="470"/>
      <c r="BD94" s="470"/>
      <c r="BE94" s="470"/>
      <c r="BF94" s="470"/>
      <c r="BG94" s="470"/>
      <c r="BH94" s="470"/>
      <c r="BI94" s="470"/>
      <c r="BJ94" s="470"/>
      <c r="BK94" s="470"/>
      <c r="BL94" s="470"/>
      <c r="BM94" s="470"/>
      <c r="BN94" s="470"/>
      <c r="BO94" s="470"/>
      <c r="BP94" s="470"/>
    </row>
    <row r="95" spans="1:95" ht="14.45" customHeight="1" x14ac:dyDescent="0.25"/>
  </sheetData>
  <sheetProtection algorithmName="SHA-512" hashValue="WEjBpJ99UPrYwbfu9UHwXV+RyM8bZHySVDz4vbHXkh9k2ohKx0Ym+TEugrPFuh2KjbkIGKY4FLlbBa/RucDRCA==" saltValue="pXuJ7ACZWeLD0R3+mRiP8Q==" spinCount="100000" sheet="1" objects="1" scenarios="1"/>
  <mergeCells count="126">
    <mergeCell ref="A76:A78"/>
    <mergeCell ref="A79:A81"/>
    <mergeCell ref="J55:K55"/>
    <mergeCell ref="A69:A71"/>
    <mergeCell ref="AB63:AC63"/>
    <mergeCell ref="AD63:AE63"/>
    <mergeCell ref="H63:I63"/>
    <mergeCell ref="J63:K63"/>
    <mergeCell ref="L63:M63"/>
    <mergeCell ref="N63:O63"/>
    <mergeCell ref="P63:Q63"/>
    <mergeCell ref="R63:S63"/>
    <mergeCell ref="T63:U63"/>
    <mergeCell ref="A65:A68"/>
    <mergeCell ref="F63:G63"/>
    <mergeCell ref="H55:I55"/>
    <mergeCell ref="A73:A75"/>
    <mergeCell ref="A62:B64"/>
    <mergeCell ref="X63:Y63"/>
    <mergeCell ref="Z63:AA63"/>
    <mergeCell ref="B73:B75"/>
    <mergeCell ref="C73:E74"/>
    <mergeCell ref="R55:S55"/>
    <mergeCell ref="V63:W63"/>
    <mergeCell ref="A82:A84"/>
    <mergeCell ref="A54:B56"/>
    <mergeCell ref="A57:A60"/>
    <mergeCell ref="F73:AM73"/>
    <mergeCell ref="AL74:AM74"/>
    <mergeCell ref="R74:S74"/>
    <mergeCell ref="T74:U74"/>
    <mergeCell ref="F74:G74"/>
    <mergeCell ref="H74:I74"/>
    <mergeCell ref="J74:K74"/>
    <mergeCell ref="L74:M74"/>
    <mergeCell ref="N74:O74"/>
    <mergeCell ref="P74:Q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L55:M55"/>
    <mergeCell ref="AL55:AM55"/>
    <mergeCell ref="F54:AM54"/>
    <mergeCell ref="AF55:AG55"/>
    <mergeCell ref="Z10:AA10"/>
    <mergeCell ref="A29:B29"/>
    <mergeCell ref="A34:B34"/>
    <mergeCell ref="A21:B21"/>
    <mergeCell ref="A45:A47"/>
    <mergeCell ref="D50:D51"/>
    <mergeCell ref="C50:C51"/>
    <mergeCell ref="B50:B51"/>
    <mergeCell ref="A50:A51"/>
    <mergeCell ref="E50:P50"/>
    <mergeCell ref="AH63:AI63"/>
    <mergeCell ref="C62:E63"/>
    <mergeCell ref="F62:AM62"/>
    <mergeCell ref="AD55:AE55"/>
    <mergeCell ref="C54:E55"/>
    <mergeCell ref="AH55:AI55"/>
    <mergeCell ref="A61:AM61"/>
    <mergeCell ref="A9:B11"/>
    <mergeCell ref="C9:E10"/>
    <mergeCell ref="T10:U10"/>
    <mergeCell ref="F10:G10"/>
    <mergeCell ref="X10:Y10"/>
    <mergeCell ref="V10:W10"/>
    <mergeCell ref="A53:AM53"/>
    <mergeCell ref="N55:O55"/>
    <mergeCell ref="AJ55:AK55"/>
    <mergeCell ref="X55:Y55"/>
    <mergeCell ref="T55:U55"/>
    <mergeCell ref="V55:W55"/>
    <mergeCell ref="Z55:AA55"/>
    <mergeCell ref="P55:Q55"/>
    <mergeCell ref="A15:A17"/>
    <mergeCell ref="A18:A19"/>
    <mergeCell ref="AB55:AC55"/>
    <mergeCell ref="AN54:AO55"/>
    <mergeCell ref="AP54:AQ55"/>
    <mergeCell ref="AN62:AO63"/>
    <mergeCell ref="AP62:AQ63"/>
    <mergeCell ref="AN73:AO74"/>
    <mergeCell ref="AP73:AQ74"/>
    <mergeCell ref="AN9:AN11"/>
    <mergeCell ref="H10:I10"/>
    <mergeCell ref="J10:K10"/>
    <mergeCell ref="L10:M10"/>
    <mergeCell ref="N10:O10"/>
    <mergeCell ref="AF10:AG10"/>
    <mergeCell ref="AH10:AI10"/>
    <mergeCell ref="F9:AM9"/>
    <mergeCell ref="AJ10:AK10"/>
    <mergeCell ref="R10:S10"/>
    <mergeCell ref="AL10:AM10"/>
    <mergeCell ref="P10:Q10"/>
    <mergeCell ref="AD10:AE10"/>
    <mergeCell ref="AF63:AG63"/>
    <mergeCell ref="AQ9:AR10"/>
    <mergeCell ref="F55:G55"/>
    <mergeCell ref="AJ63:AK63"/>
    <mergeCell ref="AL63:AM63"/>
    <mergeCell ref="A7:T7"/>
    <mergeCell ref="AO9:AP10"/>
    <mergeCell ref="A38:A44"/>
    <mergeCell ref="A32:B32"/>
    <mergeCell ref="A33:B33"/>
    <mergeCell ref="A22:B22"/>
    <mergeCell ref="A23:B23"/>
    <mergeCell ref="A24:B24"/>
    <mergeCell ref="A49:AP49"/>
    <mergeCell ref="A25:B25"/>
    <mergeCell ref="A26:B26"/>
    <mergeCell ref="A27:B27"/>
    <mergeCell ref="A28:B28"/>
    <mergeCell ref="AB10:AC10"/>
    <mergeCell ref="A20:B20"/>
    <mergeCell ref="A12:A14"/>
    <mergeCell ref="A35:A37"/>
    <mergeCell ref="A30:B30"/>
    <mergeCell ref="A31:B31"/>
  </mergeCells>
  <phoneticPr fontId="26" type="noConversion"/>
  <dataValidations count="4">
    <dataValidation allowBlank="1" showInputMessage="1" showErrorMessage="1" errorTitle=" Error de ingreso" error="Debe ingresar sólo números enteros positivos." sqref="B57:B1048576 A76 A79 A82 A85:A1048576 A57 A61:A73 F61:AQ64 F85:AQ1048576 AQ11:AR11 AQ1:AQ9 F48:CH48 Q50:CP51 AR1:XFD8 B35:B53 F51:K51 Q52 AS9:XFD11 CM12:CM47 F8:T11 F49:XFD49 CU38:XFD43 CM76 CT12:XFD37 CO52:CT52 CS44:XFD47 CA53:CD56 CK48:XFD48 CM53:CP56 CA61:CD64 CM61:CP64 CM71 CM65 AS12:BY47 AR76:AR1048576 CM72:CP75 CB85:CD1048576 CA12:CA47 A48:A50 B8:B19 C6:D6 V52:CI52 CR12:CS47 CF12:CH47 C1:K5 C8:E51 U1:AP11 L1:T6 B1:B6 A6:A45 CA65:CA71 AR53:BZ64 AR65:BY71 F72:CD75 AS76:BY82 C53:E1048576 AS83:CA1048576 CQ53:XFD1048576 CM82:CM1048576 CN85:CP1048576 CA76:CA81 L51:N52 O51:P51 CT50:CX52 DA50:XFD52 CY50:CZ51 A52:A54 F53:AQ56 CE53:CL1048576" xr:uid="{00000000-0002-0000-0300-000000000000}"/>
    <dataValidation type="whole" operator="greaterThanOrEqual" allowBlank="1" showInputMessage="1" showErrorMessage="1" errorTitle=" Error de ingreso" error="Debe ingresar sólo números enteros positivos." sqref="C52:K52 F57:AQ60 F65:AQ71 F76:AQ84 F12:W47 X27:X47 X12:X25 Y12:AM47 AO12:AR47 AN15:AN47 O52:P52" xr:uid="{00000000-0002-0000-0300-000001000000}">
      <formula1>0</formula1>
    </dataValidation>
    <dataValidation type="whole" operator="greaterThanOrEqual" allowBlank="1" showInputMessage="1" showErrorMessage="1" errorTitle=" Error de ingreso" error="Debe ingresar sólo números enteros positivos." sqref="X26" xr:uid="{05399E14-D48B-47B4-8B97-E725A540FEE5}">
      <formula1>9.99999999999999E+42</formula1>
    </dataValidation>
    <dataValidation type="whole" operator="equal" allowBlank="1" showInputMessage="1" showErrorMessage="1" errorTitle=" Error de ingreso" error="Debe ingresar sólo números enteros positivos." sqref="AN12:AN14" xr:uid="{82A8D9E5-2B51-408A-B371-8E7419A4982F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50" pageOrder="overThenDown" orientation="landscape" r:id="rId1"/>
  <rowBreaks count="1" manualBreakCount="1">
    <brk id="48" max="16383" man="1"/>
  </rowBreaks>
  <colBreaks count="1" manualBreakCount="1">
    <brk id="19" max="1048575" man="1"/>
  </colBreaks>
  <ignoredErrors>
    <ignoredError sqref="CN58:CN60 CO65:CO7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ET113"/>
  <sheetViews>
    <sheetView showGridLines="0" topLeftCell="A3" zoomScaleNormal="100" zoomScaleSheetLayoutView="100" workbookViewId="0">
      <selection activeCell="AE29" sqref="T29:AE29"/>
    </sheetView>
  </sheetViews>
  <sheetFormatPr baseColWidth="10" defaultColWidth="11.42578125" defaultRowHeight="10.5" x14ac:dyDescent="0.15"/>
  <cols>
    <col min="1" max="1" width="32.28515625" style="48" customWidth="1"/>
    <col min="2" max="2" width="55.140625" style="48" customWidth="1"/>
    <col min="3" max="3" width="12.5703125" style="48" customWidth="1"/>
    <col min="4" max="4" width="10.140625" style="48" customWidth="1"/>
    <col min="5" max="5" width="9.7109375" style="48" customWidth="1"/>
    <col min="6" max="36" width="8.85546875" style="48" customWidth="1"/>
    <col min="37" max="37" width="9.5703125" style="48" customWidth="1"/>
    <col min="38" max="38" width="16.42578125" style="48" customWidth="1"/>
    <col min="39" max="39" width="22" style="48" customWidth="1"/>
    <col min="40" max="49" width="11.42578125" style="48" customWidth="1"/>
    <col min="50" max="50" width="10.85546875" style="48" customWidth="1"/>
    <col min="51" max="52" width="11.42578125" style="48" customWidth="1"/>
    <col min="53" max="77" width="16.42578125" style="48" customWidth="1"/>
    <col min="78" max="124" width="16.42578125" style="48" hidden="1" customWidth="1"/>
    <col min="125" max="150" width="11.42578125" style="48" hidden="1" customWidth="1"/>
    <col min="151" max="16384" width="11.42578125" style="48"/>
  </cols>
  <sheetData>
    <row r="1" spans="1:118" s="31" customFormat="1" ht="13.5" customHeight="1" x14ac:dyDescent="0.15">
      <c r="A1" s="30" t="s">
        <v>0</v>
      </c>
    </row>
    <row r="2" spans="1:118" s="31" customFormat="1" ht="13.5" customHeight="1" x14ac:dyDescent="0.15">
      <c r="A2" s="30" t="str">
        <f>CONCATENATE("COMUNA: ",NOMBRE!$B$2,"   ","( ",NOMBRE!$C$2,NOMBRE!$D$2,NOMBRE!$E$2,NOMBRE!$F$2,NOMBRE!$G$2," )")</f>
        <v>COMUNA:    (  )</v>
      </c>
    </row>
    <row r="3" spans="1:118" s="31" customFormat="1" ht="13.5" customHeight="1" x14ac:dyDescent="0.15">
      <c r="A3" s="30" t="str">
        <f>CONCATENATE("ESTABLECIMIENTO/ESTRATEGIA: ",NOMBRE!$B$3,"   ","( ",NOMBRE!$C$3,NOMBRE!$D$3,NOMBRE!$E$3,NOMBRE!$F$3,NOMBRE!$G$3,NOMBRE!$H$3," )")</f>
        <v>ESTABLECIMIENTO/ESTRATEGIA:    (  )</v>
      </c>
      <c r="D3" s="36"/>
    </row>
    <row r="4" spans="1:118" s="31" customFormat="1" ht="13.5" customHeight="1" x14ac:dyDescent="0.15">
      <c r="A4" s="30" t="str">
        <f>CONCATENATE("MES: ",NOMBRE!$B$6,"   ","( ",NOMBRE!$C$6,NOMBRE!$D$6," )")</f>
        <v>MES:    (  )</v>
      </c>
    </row>
    <row r="5" spans="1:118" s="31" customFormat="1" ht="13.5" customHeight="1" x14ac:dyDescent="0.15">
      <c r="A5" s="30" t="str">
        <f>CONCATENATE("AÑO: ",NOMBRE!$B$7)</f>
        <v>AÑO: 2026</v>
      </c>
    </row>
    <row r="6" spans="1:118" s="31" customFormat="1" ht="15" customHeight="1" x14ac:dyDescent="0.15">
      <c r="A6" s="40"/>
      <c r="Z6" s="48"/>
    </row>
    <row r="7" spans="1:118" ht="21.75" customHeight="1" x14ac:dyDescent="0.15">
      <c r="A7" s="2149" t="s">
        <v>484</v>
      </c>
      <c r="B7" s="2149"/>
      <c r="C7" s="2149"/>
      <c r="D7" s="2149"/>
      <c r="E7" s="2149"/>
      <c r="F7" s="2149"/>
      <c r="G7" s="2149"/>
      <c r="H7" s="2149"/>
      <c r="I7" s="2149"/>
      <c r="J7" s="2149"/>
      <c r="K7" s="2149"/>
      <c r="L7" s="2149"/>
      <c r="M7" s="2149"/>
      <c r="N7" s="2149"/>
      <c r="O7" s="2149"/>
      <c r="P7" s="2149"/>
      <c r="Q7" s="2149"/>
      <c r="R7" s="2149"/>
      <c r="S7" s="2149"/>
      <c r="T7" s="2149"/>
      <c r="U7" s="2149"/>
    </row>
    <row r="8" spans="1:118" ht="17.100000000000001" customHeight="1" x14ac:dyDescent="0.15">
      <c r="A8" s="2203" t="s">
        <v>485</v>
      </c>
      <c r="B8" s="2203"/>
      <c r="C8" s="2203"/>
      <c r="D8" s="2203"/>
      <c r="E8" s="2203"/>
      <c r="F8" s="2203"/>
      <c r="G8" s="2203"/>
      <c r="H8" s="2203"/>
      <c r="I8" s="2203"/>
      <c r="J8" s="2203"/>
      <c r="K8" s="2203"/>
      <c r="L8" s="2203"/>
      <c r="M8" s="2203"/>
      <c r="N8" s="2203"/>
      <c r="O8" s="2203"/>
      <c r="P8" s="2203"/>
      <c r="Q8" s="2203"/>
      <c r="R8" s="2203"/>
      <c r="S8" s="2203"/>
      <c r="T8" s="2203"/>
      <c r="U8" s="2203"/>
      <c r="V8" s="2203"/>
      <c r="W8" s="2203"/>
      <c r="X8" s="2203"/>
      <c r="Y8" s="2203"/>
      <c r="Z8" s="2203"/>
      <c r="AA8" s="2203"/>
      <c r="AB8" s="2203"/>
      <c r="AC8" s="2203"/>
      <c r="AD8" s="2203"/>
      <c r="AE8" s="2203"/>
      <c r="AF8" s="2203"/>
      <c r="AG8" s="2203"/>
    </row>
    <row r="9" spans="1:118" ht="13.5" customHeight="1" x14ac:dyDescent="0.15">
      <c r="A9" s="2150" t="s">
        <v>435</v>
      </c>
      <c r="B9" s="2151"/>
      <c r="C9" s="2150" t="s">
        <v>486</v>
      </c>
      <c r="D9" s="2156"/>
      <c r="E9" s="2151"/>
      <c r="F9" s="2161" t="s">
        <v>370</v>
      </c>
      <c r="G9" s="2162"/>
      <c r="H9" s="2162"/>
      <c r="I9" s="2162"/>
      <c r="J9" s="2162"/>
      <c r="K9" s="2162"/>
      <c r="L9" s="2162"/>
      <c r="M9" s="2162"/>
      <c r="N9" s="2162"/>
      <c r="O9" s="2162"/>
      <c r="P9" s="2162"/>
      <c r="Q9" s="2162"/>
      <c r="R9" s="2162"/>
      <c r="S9" s="2162"/>
      <c r="T9" s="2162"/>
      <c r="U9" s="2162"/>
      <c r="V9" s="2162"/>
      <c r="W9" s="2162"/>
      <c r="X9" s="2162"/>
      <c r="Y9" s="2162"/>
      <c r="Z9" s="2162"/>
      <c r="AA9" s="2162"/>
      <c r="AB9" s="2162"/>
      <c r="AC9" s="2162"/>
      <c r="AD9" s="2162"/>
      <c r="AE9" s="2162"/>
      <c r="AF9" s="2162"/>
      <c r="AG9" s="2162"/>
      <c r="AH9" s="2208" t="s">
        <v>51</v>
      </c>
      <c r="AI9" s="2204"/>
      <c r="AJ9" s="2204" t="s">
        <v>52</v>
      </c>
      <c r="AK9" s="2204"/>
      <c r="AL9" s="376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CA9" s="2173"/>
      <c r="CB9" s="2173"/>
      <c r="CC9" s="2173"/>
      <c r="CD9" s="2173"/>
      <c r="CG9" s="2173"/>
      <c r="CH9" s="2173"/>
      <c r="CI9" s="2173"/>
    </row>
    <row r="10" spans="1:118" ht="18.75" customHeight="1" x14ac:dyDescent="0.15">
      <c r="A10" s="2152"/>
      <c r="B10" s="2153"/>
      <c r="C10" s="2154"/>
      <c r="D10" s="2157"/>
      <c r="E10" s="2155"/>
      <c r="F10" s="2163" t="s">
        <v>57</v>
      </c>
      <c r="G10" s="2164"/>
      <c r="H10" s="2163" t="s">
        <v>58</v>
      </c>
      <c r="I10" s="2164"/>
      <c r="J10" s="2160" t="s">
        <v>59</v>
      </c>
      <c r="K10" s="2160"/>
      <c r="L10" s="2158" t="s">
        <v>60</v>
      </c>
      <c r="M10" s="2159"/>
      <c r="N10" s="2160" t="s">
        <v>61</v>
      </c>
      <c r="O10" s="2160"/>
      <c r="P10" s="2158" t="s">
        <v>62</v>
      </c>
      <c r="Q10" s="2159"/>
      <c r="R10" s="2160" t="s">
        <v>63</v>
      </c>
      <c r="S10" s="2160"/>
      <c r="T10" s="2158" t="s">
        <v>64</v>
      </c>
      <c r="U10" s="2159"/>
      <c r="V10" s="2160" t="s">
        <v>65</v>
      </c>
      <c r="W10" s="2160"/>
      <c r="X10" s="2158" t="s">
        <v>66</v>
      </c>
      <c r="Y10" s="2159"/>
      <c r="Z10" s="2165" t="s">
        <v>67</v>
      </c>
      <c r="AA10" s="2166"/>
      <c r="AB10" s="2165" t="s">
        <v>396</v>
      </c>
      <c r="AC10" s="2166"/>
      <c r="AD10" s="2165" t="s">
        <v>397</v>
      </c>
      <c r="AE10" s="2166"/>
      <c r="AF10" s="2165" t="s">
        <v>398</v>
      </c>
      <c r="AG10" s="2167"/>
      <c r="AH10" s="2209"/>
      <c r="AI10" s="2205"/>
      <c r="AJ10" s="2205"/>
      <c r="AK10" s="2205"/>
      <c r="AL10" s="76"/>
      <c r="AM10" s="76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CA10" s="2173"/>
      <c r="CB10" s="2173"/>
      <c r="CC10" s="2173"/>
      <c r="CD10" s="2173"/>
      <c r="CG10" s="2173"/>
      <c r="CH10" s="2173"/>
      <c r="CI10" s="2173"/>
    </row>
    <row r="11" spans="1:118" ht="23.25" customHeight="1" x14ac:dyDescent="0.15">
      <c r="A11" s="2154"/>
      <c r="B11" s="2155"/>
      <c r="C11" s="400" t="s">
        <v>224</v>
      </c>
      <c r="D11" s="404" t="s">
        <v>86</v>
      </c>
      <c r="E11" s="405" t="s">
        <v>225</v>
      </c>
      <c r="F11" s="353" t="s">
        <v>86</v>
      </c>
      <c r="G11" s="405" t="s">
        <v>225</v>
      </c>
      <c r="H11" s="353" t="s">
        <v>86</v>
      </c>
      <c r="I11" s="405" t="s">
        <v>225</v>
      </c>
      <c r="J11" s="353" t="s">
        <v>86</v>
      </c>
      <c r="K11" s="405" t="s">
        <v>225</v>
      </c>
      <c r="L11" s="353" t="s">
        <v>86</v>
      </c>
      <c r="M11" s="405" t="s">
        <v>225</v>
      </c>
      <c r="N11" s="353" t="s">
        <v>86</v>
      </c>
      <c r="O11" s="405" t="s">
        <v>225</v>
      </c>
      <c r="P11" s="353" t="s">
        <v>86</v>
      </c>
      <c r="Q11" s="405" t="s">
        <v>225</v>
      </c>
      <c r="R11" s="353" t="s">
        <v>86</v>
      </c>
      <c r="S11" s="405" t="s">
        <v>225</v>
      </c>
      <c r="T11" s="353" t="s">
        <v>86</v>
      </c>
      <c r="U11" s="405" t="s">
        <v>225</v>
      </c>
      <c r="V11" s="353" t="s">
        <v>86</v>
      </c>
      <c r="W11" s="405" t="s">
        <v>225</v>
      </c>
      <c r="X11" s="353" t="s">
        <v>86</v>
      </c>
      <c r="Y11" s="405" t="s">
        <v>225</v>
      </c>
      <c r="Z11" s="353" t="s">
        <v>400</v>
      </c>
      <c r="AA11" s="405" t="s">
        <v>225</v>
      </c>
      <c r="AB11" s="353" t="s">
        <v>400</v>
      </c>
      <c r="AC11" s="405" t="s">
        <v>225</v>
      </c>
      <c r="AD11" s="353" t="s">
        <v>400</v>
      </c>
      <c r="AE11" s="405" t="s">
        <v>225</v>
      </c>
      <c r="AF11" s="352" t="s">
        <v>400</v>
      </c>
      <c r="AG11" s="38" t="s">
        <v>225</v>
      </c>
      <c r="AH11" s="285" t="s">
        <v>86</v>
      </c>
      <c r="AI11" s="405" t="s">
        <v>225</v>
      </c>
      <c r="AJ11" s="353" t="s">
        <v>86</v>
      </c>
      <c r="AK11" s="405" t="s">
        <v>225</v>
      </c>
      <c r="AL11" s="41"/>
      <c r="AM11" s="41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CA11" s="41"/>
      <c r="CB11" s="41"/>
      <c r="CC11" s="41"/>
      <c r="CD11" s="41"/>
      <c r="CG11" s="2173"/>
      <c r="CH11" s="290"/>
      <c r="CI11" s="290"/>
    </row>
    <row r="12" spans="1:118" ht="15" customHeight="1" x14ac:dyDescent="0.15">
      <c r="A12" s="2206" t="s">
        <v>487</v>
      </c>
      <c r="B12" s="2207"/>
      <c r="C12" s="406">
        <f>SUM(D12:E12)</f>
        <v>0</v>
      </c>
      <c r="D12" s="407">
        <f>+F12+H12+J12+L12+N12+P12+R12+T12+V12+X12+Z12+AB12+AD12+AF12</f>
        <v>0</v>
      </c>
      <c r="E12" s="408">
        <f>+G12+I12+K12+M12+O12+Q12+S12+U12+W12+Y12+AA12+AC12+AE12+AG12</f>
        <v>0</v>
      </c>
      <c r="F12" s="354">
        <f>SUM(F13:F15)</f>
        <v>0</v>
      </c>
      <c r="G12" s="408">
        <f t="shared" ref="G12:AG12" si="0">SUM(G13:G15)</f>
        <v>0</v>
      </c>
      <c r="H12" s="354">
        <f t="shared" si="0"/>
        <v>0</v>
      </c>
      <c r="I12" s="408">
        <f t="shared" si="0"/>
        <v>0</v>
      </c>
      <c r="J12" s="354">
        <f t="shared" si="0"/>
        <v>0</v>
      </c>
      <c r="K12" s="408">
        <f t="shared" si="0"/>
        <v>0</v>
      </c>
      <c r="L12" s="354">
        <f t="shared" si="0"/>
        <v>0</v>
      </c>
      <c r="M12" s="408">
        <f t="shared" si="0"/>
        <v>0</v>
      </c>
      <c r="N12" s="354">
        <f t="shared" si="0"/>
        <v>0</v>
      </c>
      <c r="O12" s="408">
        <f t="shared" si="0"/>
        <v>0</v>
      </c>
      <c r="P12" s="354">
        <f t="shared" si="0"/>
        <v>0</v>
      </c>
      <c r="Q12" s="408">
        <f t="shared" si="0"/>
        <v>0</v>
      </c>
      <c r="R12" s="354">
        <f t="shared" si="0"/>
        <v>0</v>
      </c>
      <c r="S12" s="408">
        <f t="shared" si="0"/>
        <v>0</v>
      </c>
      <c r="T12" s="354">
        <f t="shared" si="0"/>
        <v>0</v>
      </c>
      <c r="U12" s="408">
        <f t="shared" si="0"/>
        <v>0</v>
      </c>
      <c r="V12" s="354">
        <f t="shared" si="0"/>
        <v>0</v>
      </c>
      <c r="W12" s="408">
        <f t="shared" si="0"/>
        <v>0</v>
      </c>
      <c r="X12" s="354">
        <f t="shared" si="0"/>
        <v>0</v>
      </c>
      <c r="Y12" s="408">
        <f t="shared" si="0"/>
        <v>0</v>
      </c>
      <c r="Z12" s="354">
        <f t="shared" si="0"/>
        <v>0</v>
      </c>
      <c r="AA12" s="408">
        <f t="shared" si="0"/>
        <v>0</v>
      </c>
      <c r="AB12" s="354">
        <f t="shared" si="0"/>
        <v>0</v>
      </c>
      <c r="AC12" s="408">
        <f t="shared" si="0"/>
        <v>0</v>
      </c>
      <c r="AD12" s="354">
        <f t="shared" si="0"/>
        <v>0</v>
      </c>
      <c r="AE12" s="408">
        <f t="shared" si="0"/>
        <v>0</v>
      </c>
      <c r="AF12" s="354">
        <f t="shared" si="0"/>
        <v>0</v>
      </c>
      <c r="AG12" s="409">
        <f t="shared" si="0"/>
        <v>0</v>
      </c>
      <c r="AH12" s="284">
        <f>SUM(AH13:AH15)</f>
        <v>0</v>
      </c>
      <c r="AI12" s="408">
        <f>SUM(AI13:AI15)</f>
        <v>0</v>
      </c>
      <c r="AJ12" s="354">
        <f>SUM(AJ13:AJ15)</f>
        <v>0</v>
      </c>
      <c r="AK12" s="408">
        <f>SUM(AK13:AK15)</f>
        <v>0</v>
      </c>
      <c r="AL12" s="32"/>
      <c r="AM12" s="37"/>
    </row>
    <row r="13" spans="1:118" ht="15" customHeight="1" x14ac:dyDescent="0.15">
      <c r="A13" s="2168" t="s">
        <v>488</v>
      </c>
      <c r="B13" s="42" t="s">
        <v>489</v>
      </c>
      <c r="C13" s="326">
        <f t="shared" ref="C13:C19" si="1">SUM(D13:E13)</f>
        <v>0</v>
      </c>
      <c r="D13" s="103">
        <f>+F13+H13+J13+L13+N13+P13+R13+T13+V13+X13+Z13+AB13+AD13+AF13</f>
        <v>0</v>
      </c>
      <c r="E13" s="117">
        <f>+G13+I13+K13+M13+O13+Q13+S13+U13+W13+Y13+AA13+AC13+AE13+AG13</f>
        <v>0</v>
      </c>
      <c r="F13" s="1696"/>
      <c r="G13" s="1697"/>
      <c r="H13" s="1696"/>
      <c r="I13" s="1697"/>
      <c r="J13" s="1696"/>
      <c r="K13" s="1697"/>
      <c r="L13" s="1696"/>
      <c r="M13" s="1697"/>
      <c r="N13" s="1696"/>
      <c r="O13" s="1697"/>
      <c r="P13" s="1696"/>
      <c r="Q13" s="1697"/>
      <c r="R13" s="1696"/>
      <c r="S13" s="1697"/>
      <c r="T13" s="1696"/>
      <c r="U13" s="1697"/>
      <c r="V13" s="1696"/>
      <c r="W13" s="1697"/>
      <c r="X13" s="1696"/>
      <c r="Y13" s="1697"/>
      <c r="Z13" s="1696"/>
      <c r="AA13" s="1697"/>
      <c r="AB13" s="1696"/>
      <c r="AC13" s="1697"/>
      <c r="AD13" s="1696"/>
      <c r="AE13" s="1697"/>
      <c r="AF13" s="1696"/>
      <c r="AG13" s="1698"/>
      <c r="AH13" s="1699"/>
      <c r="AI13" s="1700"/>
      <c r="AJ13" s="1696"/>
      <c r="AK13" s="1700"/>
      <c r="AL13" s="32" t="str">
        <f>CA13&amp;CB13&amp;CC13&amp;CD13</f>
        <v/>
      </c>
      <c r="AM13" s="37"/>
      <c r="CA13" s="80" t="str">
        <f>IF(AND(D13&gt;0,OR(AH13=""))," * No olvide digitar la variable Pueblos Originarios Hombres. Digite Cero si no tiene.",IF(AH13&gt;D13," * La variable Pueblos Originarios Hombres no puede ser Mayor al Total Hombres.",""))</f>
        <v/>
      </c>
      <c r="CB13" s="80" t="str">
        <f>IF(AND(E13&gt;0,OR(AI13=""))," * No olvide digitar la variable Pueblos Originarios Mujeres. Digite Cero si no tiene.",IF(AI13&gt;E13," * La variable Pueblos Originarios Mujeres no puede ser Mayor al Total Mujeres.",""))</f>
        <v/>
      </c>
      <c r="CC13" s="80" t="str">
        <f>IF(AND($D13&gt;0,OR(AJ13=""))," * No olvide digitar la variable Migrantes Hombres. Digite Cero si no tiene.",IF(AJ13&gt;$D13," * La variable Migrantes Hombres no puede ser Mayor al Total Hombres.",""))</f>
        <v/>
      </c>
      <c r="CD13" s="80" t="str">
        <f>IF(AND(E13&gt;0,OR(AK13=""))," * No olvide digitar la variable Migrantes Mujeres. Digite Cero si no tiene.",IF(AK13&gt;E13," * La variable Migrantes Mujeres no puede ser Mayor al Total Mujeres.",""))</f>
        <v/>
      </c>
      <c r="DK13" s="287">
        <f t="shared" ref="DK13:DK23" si="2">IF(AND(D13&gt;0,OR(AH13="")),1,IF(AH13&gt;D13,1,0))</f>
        <v>0</v>
      </c>
      <c r="DL13" s="287">
        <f t="shared" ref="DL13:DL23" si="3">IF(AND(E13&gt;0,OR(AI13="")),1,IF(AI13&gt;E13,1,0))</f>
        <v>0</v>
      </c>
      <c r="DM13" s="287">
        <f t="shared" ref="DM13:DM23" si="4">IF(AND(D13&gt;0,OR(AJ13="")),1,IF(AJ13&gt;D13,1,0))</f>
        <v>0</v>
      </c>
      <c r="DN13" s="287">
        <f t="shared" ref="DN13:DN23" si="5">IF(AND(E13&gt;0,OR(AK13="")),1,IF(AK13&gt;E13,1,0))</f>
        <v>0</v>
      </c>
    </row>
    <row r="14" spans="1:118" ht="15" customHeight="1" x14ac:dyDescent="0.15">
      <c r="A14" s="2169"/>
      <c r="B14" s="43" t="s">
        <v>280</v>
      </c>
      <c r="C14" s="331">
        <f t="shared" si="1"/>
        <v>0</v>
      </c>
      <c r="D14" s="107">
        <f t="shared" ref="D14:E16" si="6">+F14+H14+J14+L14+N14+P14+R14+T14+V14+X14+Z14+AB14+AD14+AF14</f>
        <v>0</v>
      </c>
      <c r="E14" s="118">
        <f t="shared" si="6"/>
        <v>0</v>
      </c>
      <c r="F14" s="1701"/>
      <c r="G14" s="1702"/>
      <c r="H14" s="1701"/>
      <c r="I14" s="1702"/>
      <c r="J14" s="1701"/>
      <c r="K14" s="1702"/>
      <c r="L14" s="1701"/>
      <c r="M14" s="1702"/>
      <c r="N14" s="1701"/>
      <c r="O14" s="1702"/>
      <c r="P14" s="1701"/>
      <c r="Q14" s="1702"/>
      <c r="R14" s="1701"/>
      <c r="S14" s="1702"/>
      <c r="T14" s="1701"/>
      <c r="U14" s="1702"/>
      <c r="V14" s="1701"/>
      <c r="W14" s="1702"/>
      <c r="X14" s="1701"/>
      <c r="Y14" s="1702"/>
      <c r="Z14" s="1701"/>
      <c r="AA14" s="1702"/>
      <c r="AB14" s="1701"/>
      <c r="AC14" s="1702"/>
      <c r="AD14" s="1701"/>
      <c r="AE14" s="1702"/>
      <c r="AF14" s="1701"/>
      <c r="AG14" s="1703"/>
      <c r="AH14" s="1704"/>
      <c r="AI14" s="1705"/>
      <c r="AJ14" s="1706"/>
      <c r="AK14" s="1705"/>
      <c r="AL14" s="32" t="str">
        <f t="shared" ref="AL14:AL23" si="7">CA14&amp;CB14&amp;CC14&amp;CD14</f>
        <v/>
      </c>
      <c r="AM14" s="37"/>
      <c r="CA14" s="80" t="str">
        <f t="shared" ref="CA14:CA23" si="8">IF(AND(D14&gt;0,OR(AH14=""))," * No olvide digitar la variable Pueblos Originarios Hombres. Digite Cero si no tiene.",IF(AH14&gt;D14," * La variable Pueblos Originarios Hombres no puede ser Mayor al Total Hombres.",""))</f>
        <v/>
      </c>
      <c r="CB14" s="80" t="str">
        <f t="shared" ref="CB14:CB23" si="9">IF(AND(E14&gt;0,OR(AI14=""))," * No olvide digitar la variable Pueblos Originarios Mujeres. Digite Cero si no tiene.",IF(AI14&gt;E14," * La variable Pueblos Originarios Mujeres no puede ser Mayor al Total Mujeres.",""))</f>
        <v/>
      </c>
      <c r="CC14" s="80" t="str">
        <f t="shared" ref="CC14:CC23" si="10">IF(AND($D14&gt;0,OR(AJ14=""))," * No olvide digitar la variable Migrantes Hombres. Digite Cero si no tiene.",IF(AJ14&gt;$D14," * La variable Migrantes Hombres no puede ser Mayor al Total Hombres.",""))</f>
        <v/>
      </c>
      <c r="CD14" s="80" t="str">
        <f t="shared" ref="CD14:CD23" si="11">IF(AND(E14&gt;0,OR(AK14=""))," * No olvide digitar la variable Migrantes Mujeres. Digite Cero si no tiene.",IF(AK14&gt;E14," * La variable Migrantes Mujeres no puede ser Mayor al Total Mujeres.",""))</f>
        <v/>
      </c>
      <c r="DK14" s="287">
        <f t="shared" si="2"/>
        <v>0</v>
      </c>
      <c r="DL14" s="287">
        <f t="shared" si="3"/>
        <v>0</v>
      </c>
      <c r="DM14" s="287">
        <f t="shared" si="4"/>
        <v>0</v>
      </c>
      <c r="DN14" s="287">
        <f t="shared" si="5"/>
        <v>0</v>
      </c>
    </row>
    <row r="15" spans="1:118" ht="15" customHeight="1" x14ac:dyDescent="0.15">
      <c r="A15" s="2170"/>
      <c r="B15" s="238" t="s">
        <v>490</v>
      </c>
      <c r="C15" s="327">
        <f t="shared" si="1"/>
        <v>0</v>
      </c>
      <c r="D15" s="105">
        <f t="shared" si="6"/>
        <v>0</v>
      </c>
      <c r="E15" s="119">
        <f t="shared" si="6"/>
        <v>0</v>
      </c>
      <c r="F15" s="1707"/>
      <c r="G15" s="1708"/>
      <c r="H15" s="1707"/>
      <c r="I15" s="1708"/>
      <c r="J15" s="1707"/>
      <c r="K15" s="1708"/>
      <c r="L15" s="1707"/>
      <c r="M15" s="1708"/>
      <c r="N15" s="1707"/>
      <c r="O15" s="1708"/>
      <c r="P15" s="1707"/>
      <c r="Q15" s="1708"/>
      <c r="R15" s="1707"/>
      <c r="S15" s="1708"/>
      <c r="T15" s="1707"/>
      <c r="U15" s="1708"/>
      <c r="V15" s="1707"/>
      <c r="W15" s="1708"/>
      <c r="X15" s="1707"/>
      <c r="Y15" s="1708"/>
      <c r="Z15" s="1707"/>
      <c r="AA15" s="1708"/>
      <c r="AB15" s="1707"/>
      <c r="AC15" s="1708"/>
      <c r="AD15" s="1707"/>
      <c r="AE15" s="1708"/>
      <c r="AF15" s="1707"/>
      <c r="AG15" s="1709"/>
      <c r="AH15" s="1710"/>
      <c r="AI15" s="1711"/>
      <c r="AJ15" s="1712"/>
      <c r="AK15" s="1711"/>
      <c r="AL15" s="32" t="str">
        <f t="shared" si="7"/>
        <v/>
      </c>
      <c r="AM15" s="37"/>
      <c r="CA15" s="80" t="str">
        <f t="shared" si="8"/>
        <v/>
      </c>
      <c r="CB15" s="80" t="str">
        <f t="shared" si="9"/>
        <v/>
      </c>
      <c r="CC15" s="80" t="str">
        <f t="shared" si="10"/>
        <v/>
      </c>
      <c r="CD15" s="80" t="str">
        <f t="shared" si="11"/>
        <v/>
      </c>
      <c r="DK15" s="287">
        <f t="shared" si="2"/>
        <v>0</v>
      </c>
      <c r="DL15" s="287">
        <f t="shared" si="3"/>
        <v>0</v>
      </c>
      <c r="DM15" s="287">
        <f t="shared" si="4"/>
        <v>0</v>
      </c>
      <c r="DN15" s="287">
        <f t="shared" si="5"/>
        <v>0</v>
      </c>
    </row>
    <row r="16" spans="1:118" ht="15" customHeight="1" x14ac:dyDescent="0.15">
      <c r="A16" s="2151" t="s">
        <v>491</v>
      </c>
      <c r="B16" s="1765" t="s">
        <v>322</v>
      </c>
      <c r="C16" s="329">
        <f t="shared" si="1"/>
        <v>0</v>
      </c>
      <c r="D16" s="106">
        <f t="shared" si="6"/>
        <v>0</v>
      </c>
      <c r="E16" s="120">
        <f t="shared" si="6"/>
        <v>0</v>
      </c>
      <c r="F16" s="1696"/>
      <c r="G16" s="1697"/>
      <c r="H16" s="1696"/>
      <c r="I16" s="1697"/>
      <c r="J16" s="1696"/>
      <c r="K16" s="1697"/>
      <c r="L16" s="1696"/>
      <c r="M16" s="1697"/>
      <c r="N16" s="1696"/>
      <c r="O16" s="1697"/>
      <c r="P16" s="1696"/>
      <c r="Q16" s="1697"/>
      <c r="R16" s="1696"/>
      <c r="S16" s="1697"/>
      <c r="T16" s="1696"/>
      <c r="U16" s="1697"/>
      <c r="V16" s="1696"/>
      <c r="W16" s="1697"/>
      <c r="X16" s="1696"/>
      <c r="Y16" s="1697"/>
      <c r="Z16" s="1696"/>
      <c r="AA16" s="1697"/>
      <c r="AB16" s="1696"/>
      <c r="AC16" s="1697"/>
      <c r="AD16" s="1696"/>
      <c r="AE16" s="1697"/>
      <c r="AF16" s="1696"/>
      <c r="AG16" s="1698"/>
      <c r="AH16" s="1699"/>
      <c r="AI16" s="1700"/>
      <c r="AJ16" s="1696"/>
      <c r="AK16" s="1700"/>
      <c r="AL16" s="32" t="str">
        <f t="shared" si="7"/>
        <v/>
      </c>
      <c r="AM16" s="37"/>
      <c r="CA16" s="80" t="str">
        <f t="shared" si="8"/>
        <v/>
      </c>
      <c r="CB16" s="80" t="str">
        <f t="shared" si="9"/>
        <v/>
      </c>
      <c r="CC16" s="80" t="str">
        <f t="shared" si="10"/>
        <v/>
      </c>
      <c r="CD16" s="80" t="str">
        <f t="shared" si="11"/>
        <v/>
      </c>
      <c r="DK16" s="287">
        <f t="shared" si="2"/>
        <v>0</v>
      </c>
      <c r="DL16" s="287">
        <f t="shared" si="3"/>
        <v>0</v>
      </c>
      <c r="DM16" s="287">
        <f t="shared" si="4"/>
        <v>0</v>
      </c>
      <c r="DN16" s="287">
        <f t="shared" si="5"/>
        <v>0</v>
      </c>
    </row>
    <row r="17" spans="1:148" ht="15" customHeight="1" x14ac:dyDescent="0.15">
      <c r="A17" s="2153"/>
      <c r="B17" s="43" t="s">
        <v>492</v>
      </c>
      <c r="C17" s="331">
        <f t="shared" si="1"/>
        <v>0</v>
      </c>
      <c r="D17" s="107">
        <f t="shared" ref="D17:E18" si="12">+F17+H17+J17+L17+N17+P17+R17+T17+V17+X17+Z17+AB17+AD17+AF17</f>
        <v>0</v>
      </c>
      <c r="E17" s="121">
        <f t="shared" si="12"/>
        <v>0</v>
      </c>
      <c r="F17" s="1706"/>
      <c r="G17" s="1713"/>
      <c r="H17" s="1706"/>
      <c r="I17" s="1713"/>
      <c r="J17" s="1706"/>
      <c r="K17" s="1713"/>
      <c r="L17" s="1706"/>
      <c r="M17" s="1713"/>
      <c r="N17" s="1706"/>
      <c r="O17" s="1713"/>
      <c r="P17" s="1706"/>
      <c r="Q17" s="1713"/>
      <c r="R17" s="1706"/>
      <c r="S17" s="1713"/>
      <c r="T17" s="1706"/>
      <c r="U17" s="1713"/>
      <c r="V17" s="1706"/>
      <c r="W17" s="1713"/>
      <c r="X17" s="1706"/>
      <c r="Y17" s="1713"/>
      <c r="Z17" s="1706"/>
      <c r="AA17" s="1713"/>
      <c r="AB17" s="1706"/>
      <c r="AC17" s="1713"/>
      <c r="AD17" s="1706"/>
      <c r="AE17" s="1713"/>
      <c r="AF17" s="1706"/>
      <c r="AG17" s="1714"/>
      <c r="AH17" s="1704"/>
      <c r="AI17" s="1705"/>
      <c r="AJ17" s="1715"/>
      <c r="AK17" s="1705"/>
      <c r="AL17" s="32" t="str">
        <f t="shared" si="7"/>
        <v/>
      </c>
      <c r="AM17" s="37"/>
      <c r="CA17" s="80" t="str">
        <f t="shared" si="8"/>
        <v/>
      </c>
      <c r="CB17" s="80" t="str">
        <f t="shared" si="9"/>
        <v/>
      </c>
      <c r="CC17" s="80" t="str">
        <f t="shared" si="10"/>
        <v/>
      </c>
      <c r="CD17" s="80" t="str">
        <f t="shared" si="11"/>
        <v/>
      </c>
      <c r="DK17" s="287">
        <f t="shared" si="2"/>
        <v>0</v>
      </c>
      <c r="DL17" s="287">
        <f t="shared" si="3"/>
        <v>0</v>
      </c>
      <c r="DM17" s="287">
        <f t="shared" si="4"/>
        <v>0</v>
      </c>
      <c r="DN17" s="287">
        <f t="shared" si="5"/>
        <v>0</v>
      </c>
    </row>
    <row r="18" spans="1:148" ht="15" customHeight="1" x14ac:dyDescent="0.15">
      <c r="A18" s="2153"/>
      <c r="B18" s="43" t="s">
        <v>493</v>
      </c>
      <c r="C18" s="331">
        <f t="shared" si="1"/>
        <v>0</v>
      </c>
      <c r="D18" s="107">
        <f t="shared" si="12"/>
        <v>0</v>
      </c>
      <c r="E18" s="121">
        <f t="shared" si="12"/>
        <v>0</v>
      </c>
      <c r="F18" s="1706"/>
      <c r="G18" s="1713"/>
      <c r="H18" s="1706"/>
      <c r="I18" s="1713"/>
      <c r="J18" s="1706"/>
      <c r="K18" s="1713"/>
      <c r="L18" s="1706"/>
      <c r="M18" s="1713"/>
      <c r="N18" s="1706"/>
      <c r="O18" s="1713"/>
      <c r="P18" s="1706"/>
      <c r="Q18" s="1713"/>
      <c r="R18" s="1706"/>
      <c r="S18" s="1713"/>
      <c r="T18" s="1706"/>
      <c r="U18" s="1713"/>
      <c r="V18" s="1706"/>
      <c r="W18" s="1713"/>
      <c r="X18" s="1706"/>
      <c r="Y18" s="1713"/>
      <c r="Z18" s="1706"/>
      <c r="AA18" s="1713"/>
      <c r="AB18" s="1706"/>
      <c r="AC18" s="1713"/>
      <c r="AD18" s="1706"/>
      <c r="AE18" s="1713"/>
      <c r="AF18" s="1706"/>
      <c r="AG18" s="1714"/>
      <c r="AH18" s="1704"/>
      <c r="AI18" s="1705"/>
      <c r="AJ18" s="1706"/>
      <c r="AK18" s="1705"/>
      <c r="AL18" s="32" t="str">
        <f t="shared" si="7"/>
        <v/>
      </c>
      <c r="AM18" s="37"/>
      <c r="CA18" s="80" t="str">
        <f t="shared" si="8"/>
        <v/>
      </c>
      <c r="CB18" s="80" t="str">
        <f t="shared" si="9"/>
        <v/>
      </c>
      <c r="CC18" s="80" t="str">
        <f t="shared" si="10"/>
        <v/>
      </c>
      <c r="CD18" s="80" t="str">
        <f t="shared" si="11"/>
        <v/>
      </c>
      <c r="DK18" s="287">
        <f t="shared" si="2"/>
        <v>0</v>
      </c>
      <c r="DL18" s="287">
        <f t="shared" si="3"/>
        <v>0</v>
      </c>
      <c r="DM18" s="287">
        <f t="shared" si="4"/>
        <v>0</v>
      </c>
      <c r="DN18" s="287">
        <f t="shared" si="5"/>
        <v>0</v>
      </c>
    </row>
    <row r="19" spans="1:148" ht="15" customHeight="1" x14ac:dyDescent="0.15">
      <c r="A19" s="2153"/>
      <c r="B19" s="43" t="s">
        <v>494</v>
      </c>
      <c r="C19" s="331">
        <f t="shared" si="1"/>
        <v>0</v>
      </c>
      <c r="D19" s="107">
        <f>+V19+X19+Z19+AB19+AD19+AF19</f>
        <v>0</v>
      </c>
      <c r="E19" s="121">
        <f>+W19+Y19+AA19+AC19+AE19+AG19</f>
        <v>0</v>
      </c>
      <c r="F19" s="111"/>
      <c r="G19" s="187"/>
      <c r="H19" s="111"/>
      <c r="I19" s="187"/>
      <c r="J19" s="111"/>
      <c r="K19" s="187"/>
      <c r="L19" s="111"/>
      <c r="M19" s="187"/>
      <c r="N19" s="111"/>
      <c r="O19" s="187"/>
      <c r="P19" s="111"/>
      <c r="Q19" s="187"/>
      <c r="R19" s="111"/>
      <c r="S19" s="187"/>
      <c r="T19" s="111"/>
      <c r="U19" s="187"/>
      <c r="V19" s="1701"/>
      <c r="W19" s="1702"/>
      <c r="X19" s="1701"/>
      <c r="Y19" s="1702"/>
      <c r="Z19" s="1701"/>
      <c r="AA19" s="1702"/>
      <c r="AB19" s="1701"/>
      <c r="AC19" s="1702"/>
      <c r="AD19" s="1701"/>
      <c r="AE19" s="1702"/>
      <c r="AF19" s="1701"/>
      <c r="AG19" s="1703"/>
      <c r="AH19" s="1704"/>
      <c r="AI19" s="1705"/>
      <c r="AJ19" s="1715"/>
      <c r="AK19" s="1705"/>
      <c r="AL19" s="32" t="str">
        <f t="shared" si="7"/>
        <v/>
      </c>
      <c r="AM19" s="37"/>
      <c r="CA19" s="80" t="str">
        <f t="shared" si="8"/>
        <v/>
      </c>
      <c r="CB19" s="80" t="str">
        <f t="shared" si="9"/>
        <v/>
      </c>
      <c r="CC19" s="80" t="str">
        <f t="shared" si="10"/>
        <v/>
      </c>
      <c r="CD19" s="80" t="str">
        <f t="shared" si="11"/>
        <v/>
      </c>
      <c r="DK19" s="287">
        <f t="shared" si="2"/>
        <v>0</v>
      </c>
      <c r="DL19" s="287">
        <f t="shared" si="3"/>
        <v>0</v>
      </c>
      <c r="DM19" s="287">
        <f t="shared" si="4"/>
        <v>0</v>
      </c>
      <c r="DN19" s="287">
        <f t="shared" si="5"/>
        <v>0</v>
      </c>
    </row>
    <row r="20" spans="1:148" ht="15" customHeight="1" x14ac:dyDescent="0.15">
      <c r="A20" s="2153"/>
      <c r="B20" s="304" t="s">
        <v>495</v>
      </c>
      <c r="C20" s="330">
        <f>SUM(D20:E20)</f>
        <v>0</v>
      </c>
      <c r="D20" s="108">
        <f t="shared" ref="D20:E22" si="13">+F20+H20+J20+L20+N20+P20+R20+T20+V20+X20+Z20+AB20+AD20+AF20</f>
        <v>0</v>
      </c>
      <c r="E20" s="282">
        <f t="shared" si="13"/>
        <v>0</v>
      </c>
      <c r="F20" s="1706"/>
      <c r="G20" s="1713"/>
      <c r="H20" s="1706"/>
      <c r="I20" s="1713"/>
      <c r="J20" s="1706"/>
      <c r="K20" s="1713"/>
      <c r="L20" s="1706"/>
      <c r="M20" s="1713"/>
      <c r="N20" s="1706"/>
      <c r="O20" s="1713"/>
      <c r="P20" s="1706"/>
      <c r="Q20" s="1713"/>
      <c r="R20" s="1706"/>
      <c r="S20" s="1713"/>
      <c r="T20" s="1706"/>
      <c r="U20" s="1713"/>
      <c r="V20" s="1706"/>
      <c r="W20" s="1713"/>
      <c r="X20" s="1706"/>
      <c r="Y20" s="1713"/>
      <c r="Z20" s="1706"/>
      <c r="AA20" s="1713"/>
      <c r="AB20" s="1706"/>
      <c r="AC20" s="1713"/>
      <c r="AD20" s="1706"/>
      <c r="AE20" s="1713"/>
      <c r="AF20" s="1706"/>
      <c r="AG20" s="1714"/>
      <c r="AH20" s="1704"/>
      <c r="AI20" s="1705"/>
      <c r="AJ20" s="1706"/>
      <c r="AK20" s="1705"/>
      <c r="AL20" s="32" t="str">
        <f t="shared" si="7"/>
        <v/>
      </c>
      <c r="AM20" s="37"/>
      <c r="CA20" s="80" t="str">
        <f t="shared" si="8"/>
        <v/>
      </c>
      <c r="CB20" s="80" t="str">
        <f t="shared" si="9"/>
        <v/>
      </c>
      <c r="CC20" s="80" t="str">
        <f t="shared" si="10"/>
        <v/>
      </c>
      <c r="CD20" s="80" t="str">
        <f t="shared" si="11"/>
        <v/>
      </c>
      <c r="DK20" s="287">
        <f t="shared" ref="DK20:DL22" si="14">IF(AND(D20&gt;0,OR(AH20="")),1,IF(AH20&gt;D20,1,0))</f>
        <v>0</v>
      </c>
      <c r="DL20" s="287">
        <f t="shared" si="14"/>
        <v>0</v>
      </c>
      <c r="DM20" s="287">
        <f t="shared" ref="DM20:DN22" si="15">IF(AND(D20&gt;0,OR(AJ20="")),1,IF(AJ20&gt;D20,1,0))</f>
        <v>0</v>
      </c>
      <c r="DN20" s="287">
        <f t="shared" si="15"/>
        <v>0</v>
      </c>
    </row>
    <row r="21" spans="1:148" ht="15" customHeight="1" x14ac:dyDescent="0.15">
      <c r="A21" s="2153"/>
      <c r="B21" s="45" t="s">
        <v>496</v>
      </c>
      <c r="C21" s="118">
        <f>SUM(D21:E21)</f>
        <v>0</v>
      </c>
      <c r="D21" s="107">
        <f t="shared" si="13"/>
        <v>0</v>
      </c>
      <c r="E21" s="121">
        <f t="shared" si="13"/>
        <v>0</v>
      </c>
      <c r="F21" s="1706"/>
      <c r="G21" s="1713"/>
      <c r="H21" s="1706"/>
      <c r="I21" s="1713"/>
      <c r="J21" s="1706"/>
      <c r="K21" s="1713"/>
      <c r="L21" s="1706"/>
      <c r="M21" s="1713"/>
      <c r="N21" s="1706"/>
      <c r="O21" s="1713"/>
      <c r="P21" s="1706"/>
      <c r="Q21" s="1713"/>
      <c r="R21" s="1706"/>
      <c r="S21" s="1713"/>
      <c r="T21" s="1706"/>
      <c r="U21" s="1713"/>
      <c r="V21" s="1706"/>
      <c r="W21" s="1713"/>
      <c r="X21" s="1706"/>
      <c r="Y21" s="1713"/>
      <c r="Z21" s="1706"/>
      <c r="AA21" s="1713"/>
      <c r="AB21" s="1706"/>
      <c r="AC21" s="1713"/>
      <c r="AD21" s="1706"/>
      <c r="AE21" s="1713"/>
      <c r="AF21" s="1706"/>
      <c r="AG21" s="1714"/>
      <c r="AH21" s="1704"/>
      <c r="AI21" s="1705"/>
      <c r="AJ21" s="1706"/>
      <c r="AK21" s="1705"/>
      <c r="AL21" s="32" t="str">
        <f t="shared" si="7"/>
        <v/>
      </c>
      <c r="AM21" s="37"/>
      <c r="CA21" s="80" t="str">
        <f t="shared" si="8"/>
        <v/>
      </c>
      <c r="CB21" s="80" t="str">
        <f t="shared" si="9"/>
        <v/>
      </c>
      <c r="CC21" s="80" t="str">
        <f t="shared" si="10"/>
        <v/>
      </c>
      <c r="CD21" s="80" t="str">
        <f t="shared" si="11"/>
        <v/>
      </c>
      <c r="DK21" s="287">
        <f t="shared" si="14"/>
        <v>0</v>
      </c>
      <c r="DL21" s="287">
        <f t="shared" si="14"/>
        <v>0</v>
      </c>
      <c r="DM21" s="287">
        <f t="shared" si="15"/>
        <v>0</v>
      </c>
      <c r="DN21" s="287">
        <f t="shared" si="15"/>
        <v>0</v>
      </c>
    </row>
    <row r="22" spans="1:148" ht="22.5" customHeight="1" x14ac:dyDescent="0.15">
      <c r="A22" s="2153"/>
      <c r="B22" s="363" t="s">
        <v>497</v>
      </c>
      <c r="C22" s="1766">
        <f>SUM(D22:E22)</f>
        <v>0</v>
      </c>
      <c r="D22" s="108">
        <f t="shared" si="13"/>
        <v>0</v>
      </c>
      <c r="E22" s="282">
        <f t="shared" si="13"/>
        <v>0</v>
      </c>
      <c r="F22" s="1716"/>
      <c r="G22" s="1717"/>
      <c r="H22" s="1716"/>
      <c r="I22" s="1717"/>
      <c r="J22" s="1716"/>
      <c r="K22" s="1717"/>
      <c r="L22" s="1716"/>
      <c r="M22" s="1717"/>
      <c r="N22" s="1716"/>
      <c r="O22" s="1717"/>
      <c r="P22" s="1716"/>
      <c r="Q22" s="1717"/>
      <c r="R22" s="1716"/>
      <c r="S22" s="1717"/>
      <c r="T22" s="1716"/>
      <c r="U22" s="1717"/>
      <c r="V22" s="1716"/>
      <c r="W22" s="1717"/>
      <c r="X22" s="1716"/>
      <c r="Y22" s="1717"/>
      <c r="Z22" s="1716"/>
      <c r="AA22" s="1717"/>
      <c r="AB22" s="1716"/>
      <c r="AC22" s="1717"/>
      <c r="AD22" s="1716"/>
      <c r="AE22" s="1717"/>
      <c r="AF22" s="1716"/>
      <c r="AG22" s="1718"/>
      <c r="AH22" s="1719"/>
      <c r="AI22" s="1720"/>
      <c r="AJ22" s="1716"/>
      <c r="AK22" s="1720"/>
      <c r="AL22" s="32" t="str">
        <f t="shared" si="7"/>
        <v/>
      </c>
      <c r="AM22" s="37"/>
      <c r="CA22" s="80" t="str">
        <f t="shared" si="8"/>
        <v/>
      </c>
      <c r="CB22" s="80" t="str">
        <f t="shared" si="9"/>
        <v/>
      </c>
      <c r="CC22" s="80" t="str">
        <f t="shared" si="10"/>
        <v/>
      </c>
      <c r="CD22" s="80" t="str">
        <f t="shared" si="11"/>
        <v/>
      </c>
      <c r="DK22" s="287">
        <f t="shared" si="14"/>
        <v>0</v>
      </c>
      <c r="DL22" s="287">
        <f t="shared" si="14"/>
        <v>0</v>
      </c>
      <c r="DM22" s="287">
        <f t="shared" si="15"/>
        <v>0</v>
      </c>
      <c r="DN22" s="287">
        <f t="shared" si="15"/>
        <v>0</v>
      </c>
    </row>
    <row r="23" spans="1:148" ht="15" customHeight="1" x14ac:dyDescent="0.15">
      <c r="A23" s="2153"/>
      <c r="B23" s="45" t="s">
        <v>498</v>
      </c>
      <c r="C23" s="118">
        <f t="shared" ref="C23" si="16">SUM(D23:E23)</f>
        <v>0</v>
      </c>
      <c r="D23" s="107">
        <f>+F23+H23+J23+L23+N23+P23+R23+T23+V23+X23+Z23+AB23+AD23+AF23</f>
        <v>0</v>
      </c>
      <c r="E23" s="118">
        <f>+G23+I23+K23+M23+O23+Q23+S23+U23+W23+Y23+AA23+AC23+AE23+AG23</f>
        <v>0</v>
      </c>
      <c r="F23" s="1706"/>
      <c r="G23" s="1713"/>
      <c r="H23" s="1706"/>
      <c r="I23" s="1713"/>
      <c r="J23" s="1706"/>
      <c r="K23" s="1713"/>
      <c r="L23" s="1706"/>
      <c r="M23" s="1713"/>
      <c r="N23" s="1706"/>
      <c r="O23" s="1713"/>
      <c r="P23" s="1706"/>
      <c r="Q23" s="1713"/>
      <c r="R23" s="1706"/>
      <c r="S23" s="1713"/>
      <c r="T23" s="1706"/>
      <c r="U23" s="1713"/>
      <c r="V23" s="1706"/>
      <c r="W23" s="1713"/>
      <c r="X23" s="1706"/>
      <c r="Y23" s="1713"/>
      <c r="Z23" s="1706"/>
      <c r="AA23" s="1713"/>
      <c r="AB23" s="1706"/>
      <c r="AC23" s="1713"/>
      <c r="AD23" s="1706"/>
      <c r="AE23" s="1713"/>
      <c r="AF23" s="1706"/>
      <c r="AG23" s="1714"/>
      <c r="AH23" s="1704"/>
      <c r="AI23" s="1705"/>
      <c r="AJ23" s="1706"/>
      <c r="AK23" s="1705"/>
      <c r="AL23" s="32" t="str">
        <f t="shared" si="7"/>
        <v/>
      </c>
      <c r="AM23" s="37"/>
      <c r="CA23" s="80" t="str">
        <f t="shared" si="8"/>
        <v/>
      </c>
      <c r="CB23" s="80" t="str">
        <f t="shared" si="9"/>
        <v/>
      </c>
      <c r="CC23" s="80" t="str">
        <f t="shared" si="10"/>
        <v/>
      </c>
      <c r="CD23" s="80" t="str">
        <f t="shared" si="11"/>
        <v/>
      </c>
      <c r="DK23" s="287">
        <f t="shared" si="2"/>
        <v>0</v>
      </c>
      <c r="DL23" s="287">
        <f t="shared" si="3"/>
        <v>0</v>
      </c>
      <c r="DM23" s="287">
        <f t="shared" si="4"/>
        <v>0</v>
      </c>
      <c r="DN23" s="287">
        <f t="shared" si="5"/>
        <v>0</v>
      </c>
    </row>
    <row r="24" spans="1:148" ht="15" customHeight="1" x14ac:dyDescent="0.15">
      <c r="A24" s="2155"/>
      <c r="B24" s="1776" t="s">
        <v>920</v>
      </c>
      <c r="C24" s="327">
        <f>SUM(D24:E24)</f>
        <v>0</v>
      </c>
      <c r="D24" s="105">
        <f>+F24+H24+J24+L24+N24+P24+R24+T24+V24+X24+Z24+AB24+AD24+AF24</f>
        <v>0</v>
      </c>
      <c r="E24" s="119">
        <f>+G24+I24+K24+M24+O24+Q24+S24+U24+W24+Y24+AA24+AC24+AE24+AG24</f>
        <v>0</v>
      </c>
      <c r="F24" s="1712"/>
      <c r="G24" s="1721"/>
      <c r="H24" s="1712"/>
      <c r="I24" s="1721"/>
      <c r="J24" s="1712"/>
      <c r="K24" s="1721"/>
      <c r="L24" s="1712"/>
      <c r="M24" s="1721"/>
      <c r="N24" s="1712"/>
      <c r="O24" s="1721"/>
      <c r="P24" s="1712"/>
      <c r="Q24" s="1721"/>
      <c r="R24" s="1712"/>
      <c r="S24" s="1721"/>
      <c r="T24" s="1712"/>
      <c r="U24" s="1721"/>
      <c r="V24" s="1712"/>
      <c r="W24" s="1721"/>
      <c r="X24" s="1712"/>
      <c r="Y24" s="1721"/>
      <c r="Z24" s="1712"/>
      <c r="AA24" s="1721"/>
      <c r="AB24" s="1712"/>
      <c r="AC24" s="1721"/>
      <c r="AD24" s="1712"/>
      <c r="AE24" s="1721"/>
      <c r="AF24" s="1712"/>
      <c r="AG24" s="1722"/>
      <c r="AH24" s="1710"/>
      <c r="AI24" s="1711"/>
      <c r="AJ24" s="1712"/>
      <c r="AK24" s="1711"/>
      <c r="AL24" s="32"/>
      <c r="AM24" s="37"/>
      <c r="CA24" s="80"/>
      <c r="CB24" s="80"/>
      <c r="CC24" s="80"/>
      <c r="CD24" s="80"/>
      <c r="DK24" s="287"/>
      <c r="DL24" s="287"/>
      <c r="DM24" s="287"/>
      <c r="DN24" s="287"/>
    </row>
    <row r="25" spans="1:148" ht="17.100000000000001" customHeight="1" x14ac:dyDescent="0.15">
      <c r="A25" s="2210" t="s">
        <v>499</v>
      </c>
      <c r="B25" s="2210"/>
      <c r="C25" s="87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5"/>
      <c r="Q25" s="85"/>
      <c r="R25" s="85"/>
      <c r="S25" s="85"/>
      <c r="T25" s="86"/>
    </row>
    <row r="26" spans="1:148" ht="16.5" customHeight="1" x14ac:dyDescent="0.15">
      <c r="A26" s="2168" t="s">
        <v>435</v>
      </c>
      <c r="B26" s="2168"/>
      <c r="C26" s="2150" t="s">
        <v>486</v>
      </c>
      <c r="D26" s="2156"/>
      <c r="E26" s="2151"/>
      <c r="F26" s="2161" t="s">
        <v>370</v>
      </c>
      <c r="G26" s="2162"/>
      <c r="H26" s="2162"/>
      <c r="I26" s="2162"/>
      <c r="J26" s="2162"/>
      <c r="K26" s="2162"/>
      <c r="L26" s="2162"/>
      <c r="M26" s="2162"/>
      <c r="N26" s="2162"/>
      <c r="O26" s="2162"/>
      <c r="P26" s="2162"/>
      <c r="Q26" s="2162"/>
      <c r="R26" s="2162"/>
      <c r="S26" s="2162"/>
      <c r="T26" s="2162"/>
      <c r="U26" s="2162"/>
      <c r="V26" s="2162"/>
      <c r="W26" s="2162"/>
      <c r="X26" s="2162"/>
      <c r="Y26" s="2162"/>
      <c r="Z26" s="2162"/>
      <c r="AA26" s="2162"/>
      <c r="AB26" s="2162"/>
      <c r="AC26" s="2162"/>
      <c r="AD26" s="2162"/>
      <c r="AE26" s="2162"/>
      <c r="AF26" s="2162"/>
      <c r="AG26" s="2182"/>
      <c r="AH26" s="2176" t="s">
        <v>51</v>
      </c>
      <c r="AI26" s="2177"/>
      <c r="AJ26" s="2180" t="s">
        <v>52</v>
      </c>
      <c r="AK26" s="2177"/>
    </row>
    <row r="27" spans="1:148" ht="18" customHeight="1" x14ac:dyDescent="0.15">
      <c r="A27" s="2169"/>
      <c r="B27" s="2169"/>
      <c r="C27" s="2154"/>
      <c r="D27" s="2157"/>
      <c r="E27" s="2155"/>
      <c r="F27" s="2163" t="s">
        <v>57</v>
      </c>
      <c r="G27" s="2164"/>
      <c r="H27" s="2230" t="s">
        <v>58</v>
      </c>
      <c r="I27" s="2231"/>
      <c r="J27" s="2160" t="s">
        <v>59</v>
      </c>
      <c r="K27" s="2160"/>
      <c r="L27" s="2158" t="s">
        <v>60</v>
      </c>
      <c r="M27" s="2159"/>
      <c r="N27" s="2160" t="s">
        <v>61</v>
      </c>
      <c r="O27" s="2160"/>
      <c r="P27" s="2158" t="s">
        <v>62</v>
      </c>
      <c r="Q27" s="2159"/>
      <c r="R27" s="2160" t="s">
        <v>63</v>
      </c>
      <c r="S27" s="2160"/>
      <c r="T27" s="2158" t="s">
        <v>64</v>
      </c>
      <c r="U27" s="2159"/>
      <c r="V27" s="2160" t="s">
        <v>65</v>
      </c>
      <c r="W27" s="2160"/>
      <c r="X27" s="2158" t="s">
        <v>66</v>
      </c>
      <c r="Y27" s="2159"/>
      <c r="Z27" s="2165" t="s">
        <v>67</v>
      </c>
      <c r="AA27" s="2166"/>
      <c r="AB27" s="2165" t="s">
        <v>396</v>
      </c>
      <c r="AC27" s="2166"/>
      <c r="AD27" s="2165" t="s">
        <v>397</v>
      </c>
      <c r="AE27" s="2166"/>
      <c r="AF27" s="2165" t="s">
        <v>398</v>
      </c>
      <c r="AG27" s="2213"/>
      <c r="AH27" s="2178"/>
      <c r="AI27" s="2179"/>
      <c r="AJ27" s="2181"/>
      <c r="AK27" s="2179"/>
      <c r="CE27" s="288"/>
      <c r="CF27" s="288"/>
      <c r="CG27" s="289"/>
      <c r="CH27" s="289"/>
      <c r="CI27" s="288"/>
      <c r="CJ27" s="288"/>
      <c r="CK27" s="76"/>
      <c r="CL27" s="76"/>
      <c r="CM27" s="288"/>
      <c r="CN27" s="288"/>
      <c r="CO27" s="76"/>
      <c r="CP27" s="76"/>
      <c r="CQ27" s="288"/>
      <c r="CR27" s="288"/>
      <c r="CS27" s="76"/>
      <c r="CT27" s="76"/>
      <c r="CU27" s="288"/>
      <c r="CV27" s="288"/>
      <c r="CW27" s="76"/>
      <c r="CX27" s="76"/>
      <c r="CY27" s="270"/>
      <c r="CZ27" s="270"/>
      <c r="DA27" s="270"/>
      <c r="DB27" s="270"/>
      <c r="DC27" s="270"/>
      <c r="DD27" s="270"/>
      <c r="DE27" s="270"/>
      <c r="DF27" s="270"/>
      <c r="DO27" s="288"/>
      <c r="DP27" s="288"/>
      <c r="DQ27" s="289"/>
      <c r="DR27" s="289"/>
      <c r="DS27" s="288"/>
      <c r="DT27" s="288"/>
      <c r="DU27" s="76"/>
      <c r="DV27" s="76"/>
      <c r="DW27" s="288"/>
      <c r="DX27" s="288"/>
      <c r="DY27" s="76"/>
      <c r="DZ27" s="76"/>
      <c r="EA27" s="288"/>
      <c r="EB27" s="288"/>
      <c r="EC27" s="76"/>
      <c r="ED27" s="76"/>
      <c r="EE27" s="288"/>
      <c r="EF27" s="288"/>
      <c r="EG27" s="76"/>
      <c r="EH27" s="76"/>
      <c r="EI27" s="270"/>
      <c r="EJ27" s="270"/>
      <c r="EK27" s="270"/>
      <c r="EL27" s="270"/>
      <c r="EM27" s="270"/>
      <c r="EN27" s="270"/>
      <c r="EO27" s="270"/>
      <c r="EP27" s="270"/>
    </row>
    <row r="28" spans="1:148" ht="21.75" customHeight="1" x14ac:dyDescent="0.15">
      <c r="A28" s="2169"/>
      <c r="B28" s="2170"/>
      <c r="C28" s="400" t="s">
        <v>224</v>
      </c>
      <c r="D28" s="404" t="s">
        <v>86</v>
      </c>
      <c r="E28" s="405" t="s">
        <v>225</v>
      </c>
      <c r="F28" s="353" t="s">
        <v>86</v>
      </c>
      <c r="G28" s="405" t="s">
        <v>225</v>
      </c>
      <c r="H28" s="353" t="s">
        <v>86</v>
      </c>
      <c r="I28" s="405" t="s">
        <v>225</v>
      </c>
      <c r="J28" s="353" t="s">
        <v>86</v>
      </c>
      <c r="K28" s="405" t="s">
        <v>225</v>
      </c>
      <c r="L28" s="353" t="s">
        <v>86</v>
      </c>
      <c r="M28" s="405" t="s">
        <v>225</v>
      </c>
      <c r="N28" s="353" t="s">
        <v>86</v>
      </c>
      <c r="O28" s="405" t="s">
        <v>225</v>
      </c>
      <c r="P28" s="353" t="s">
        <v>86</v>
      </c>
      <c r="Q28" s="405" t="s">
        <v>225</v>
      </c>
      <c r="R28" s="353" t="s">
        <v>86</v>
      </c>
      <c r="S28" s="405" t="s">
        <v>225</v>
      </c>
      <c r="T28" s="353" t="s">
        <v>86</v>
      </c>
      <c r="U28" s="405" t="s">
        <v>225</v>
      </c>
      <c r="V28" s="353" t="s">
        <v>86</v>
      </c>
      <c r="W28" s="405" t="s">
        <v>225</v>
      </c>
      <c r="X28" s="353" t="s">
        <v>86</v>
      </c>
      <c r="Y28" s="405" t="s">
        <v>225</v>
      </c>
      <c r="Z28" s="353" t="s">
        <v>400</v>
      </c>
      <c r="AA28" s="405" t="s">
        <v>225</v>
      </c>
      <c r="AB28" s="353" t="s">
        <v>400</v>
      </c>
      <c r="AC28" s="405" t="s">
        <v>225</v>
      </c>
      <c r="AD28" s="353" t="s">
        <v>400</v>
      </c>
      <c r="AE28" s="405" t="s">
        <v>225</v>
      </c>
      <c r="AF28" s="352" t="s">
        <v>400</v>
      </c>
      <c r="AG28" s="38" t="s">
        <v>225</v>
      </c>
      <c r="AH28" s="261" t="s">
        <v>86</v>
      </c>
      <c r="AI28" s="260" t="s">
        <v>225</v>
      </c>
      <c r="AJ28" s="410" t="s">
        <v>86</v>
      </c>
      <c r="AK28" s="260" t="s">
        <v>225</v>
      </c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</row>
    <row r="29" spans="1:148" ht="15" customHeight="1" x14ac:dyDescent="0.15">
      <c r="A29" s="2204" t="s">
        <v>500</v>
      </c>
      <c r="B29" s="44" t="s">
        <v>501</v>
      </c>
      <c r="C29" s="329">
        <f>SUM(D29:E29)</f>
        <v>0</v>
      </c>
      <c r="D29" s="106">
        <f>+F29+H29+J29+L29+N29+P29+R29+T29+V29+X29+Z29+AB29+AD29</f>
        <v>0</v>
      </c>
      <c r="E29" s="262">
        <f>+G29+I29+K29+M29+O29+Q29+S29+U29+W29+Y29+AA29+AC29+AE29</f>
        <v>0</v>
      </c>
      <c r="F29" s="1696"/>
      <c r="G29" s="1697"/>
      <c r="H29" s="1696"/>
      <c r="I29" s="1697"/>
      <c r="J29" s="1696"/>
      <c r="K29" s="1700"/>
      <c r="L29" s="1696"/>
      <c r="M29" s="1697"/>
      <c r="N29" s="1696"/>
      <c r="O29" s="1697"/>
      <c r="P29" s="1696"/>
      <c r="Q29" s="1700"/>
      <c r="R29" s="1696"/>
      <c r="S29" s="1697"/>
      <c r="T29" s="1696"/>
      <c r="U29" s="1697"/>
      <c r="V29" s="1696"/>
      <c r="W29" s="1697"/>
      <c r="X29" s="1696"/>
      <c r="Y29" s="1697"/>
      <c r="Z29" s="1696"/>
      <c r="AA29" s="1697"/>
      <c r="AB29" s="1696"/>
      <c r="AC29" s="1697"/>
      <c r="AD29" s="1696"/>
      <c r="AE29" s="1697"/>
      <c r="AF29" s="1733"/>
      <c r="AG29" s="1734"/>
      <c r="AH29" s="1699"/>
      <c r="AI29" s="1697"/>
      <c r="AJ29" s="1723"/>
      <c r="AK29" s="1697"/>
      <c r="AL29" s="32" t="str">
        <f>CA29&amp;CB29&amp; CC29 &amp; CD29 &amp; CE29 &amp; CF29 &amp; CG29 &amp; CH29 &amp; CI29 &amp; CJ29 &amp; CK29 &amp; CL29 &amp; CM29 &amp; CN29 &amp; CO29 &amp; CP29 &amp; CQ29 &amp; CR29 &amp; CS29 &amp; CT29 &amp; CU29 &amp; CV29 &amp; CW29 &amp; CX29 &amp; CY29 &amp; CZ29 &amp; DA29 &amp; DB29 &amp; DC29 &amp; DE29 &amp; DF29 &amp;DD29</f>
        <v/>
      </c>
      <c r="CA29" s="80" t="str">
        <f>IF(AND(D29&gt;0,OR(AH29=""))," * No olvide digitar la variable Pueblos Originarios Hombres. Digite Cero si no tiene.",IF(AH29&gt;D29," * La variable Pueblos Originarios Hombres no puede ser Mayor al Total Hombres.",""))</f>
        <v/>
      </c>
      <c r="CB29" s="80" t="str">
        <f>IF(AND(E29&gt;0,OR(AI29=""))," * No olvide digitar la variable Pueblos Originarios Mujeres. Digite Cero si no tiene.",IF(AI29&gt;E29," * La variable Pueblos Originarios Mujeres no puede ser Mayor al Total Mujeres.",""))</f>
        <v/>
      </c>
      <c r="CC29" s="80" t="str">
        <f>IF(AND($D29&gt;0,OR(AJ29=""))," * No olvide digitar la variable Migrantes Hombres. Digite Cero si no tiene.",IF(AJ29&gt;$D29," * La variable Migrantes Hombres no puede ser Mayor al Total Hombres.",""))</f>
        <v/>
      </c>
      <c r="CD29" s="80" t="str">
        <f>IF(AND(E29&gt;0,OR(AK29=""))," * No olvide digitar la variable Migrantes Mujeres. Digite Cero si no tiene.",IF(AK29&gt;E29," * La variable Migrantes Mujeres no puede ser Mayor al Total Mujeres.",""))</f>
        <v/>
      </c>
      <c r="CE29" s="80" t="str">
        <f>IF($F$29&lt;=$F$16,"","* Pacientes 15 a 19 años (Hombres) con PA&lt;140/90 mmHg debe ser menor o igual a Hipertensos en Sección A. ")</f>
        <v/>
      </c>
      <c r="CF29" s="80" t="str">
        <f>IF($G$29&lt;=$G$16,"","* Pacientes 15 a 19 años (Mujeres) con PA&lt;140/90 mmHg debe ser menor o igual a Hipertensos en Sección A. ")</f>
        <v/>
      </c>
      <c r="CG29" s="80" t="str">
        <f>IF($H$29&lt;=$H$16,"","* Pacientes 20 a 24 años (Hombres) con PA&lt;140/90 mmHg debe ser menor o igual a Hipertensos en Sección A. ")</f>
        <v/>
      </c>
      <c r="CH29" s="80" t="str">
        <f>IF($I$29&lt;=$I$16,"","* Pacientes 20 a 24 años (Mujeres) con PA&lt;140/90 mmHg debe ser menor o igual a Hipertensos en Sección A. ")</f>
        <v/>
      </c>
      <c r="CI29" s="80" t="str">
        <f>IF($J$29&lt;=$J$16,"","* Pacientes 25 a 29 años (Hombres) con PA&lt;140/90 mmHg debe ser menor o igual a Hipertensos en Sección A. ")</f>
        <v/>
      </c>
      <c r="CJ29" s="80" t="str">
        <f>IF($K$29&lt;=$K$16,"","* Pacientes 25 a 29 años (Mujeres) con PA&lt;140/90 mmHg debe ser menor o igual a Hipertensos en Sección A. ")</f>
        <v/>
      </c>
      <c r="CK29" s="80" t="str">
        <f>IF($L$29&lt;=$L$16,"","* Pacientes 30 a 34 años (Hombres) con PA&lt;140/90 mmHg debe ser menor o igual a Hipertensos en Sección A. ")</f>
        <v/>
      </c>
      <c r="CL29" s="80" t="str">
        <f>IF($M$29&lt;=$M$16,"","* Pacientes 30 a 34 años (Mujeres) con PA&lt;140/90 mmHg debe ser menor o igual a Hipertensos en Sección A. ")</f>
        <v/>
      </c>
      <c r="CM29" s="80" t="str">
        <f>IF($N$29&lt;=$N$16,"","* Pacientes 35 a 39 años (Hombres) con PA&lt;140/90 mmHg debe ser menor o igual a Hipertensos en Sección A. ")</f>
        <v/>
      </c>
      <c r="CN29" s="80" t="str">
        <f>IF($O$29&lt;=$O$16,"","* Pacientes 35 a 39 años (Mujeres) con PA&lt;140/90 mmHg debe ser menor o igual a Hipertensos en Sección A. ")</f>
        <v/>
      </c>
      <c r="CO29" s="80" t="str">
        <f>IF($P$29&lt;=$P$16,"","* Pacientes 40 a 44 años (Hombres) con PA&lt;140/90 mmHg debe ser menor o igual a Hipertensos en Sección A. ")</f>
        <v/>
      </c>
      <c r="CP29" s="80" t="str">
        <f>IF($Q$29&lt;=$Q$16,"","* Pacientes 40 a 44 años (Mujeres) con PA&lt;140/90 mmHg debe ser menor o igual a Hipertensos en Sección A. ")</f>
        <v/>
      </c>
      <c r="CQ29" s="80" t="str">
        <f>IF($R$29&lt;=$R$16,"","* Pacientes 45 a 49 años (Hombres) con PA&lt;140/90 mmHg debe ser menor o igual a Hipertensos en Sección A. ")</f>
        <v/>
      </c>
      <c r="CR29" s="80" t="str">
        <f>IF($S$29&lt;=$S$16,"","* Pacientes 45 a 49 años (Mujeres) con PA&lt;140/90 mmHg debe ser menor o igual a Hipertensos en Sección A. ")</f>
        <v/>
      </c>
      <c r="CS29" s="80" t="str">
        <f>IF($T$29&lt;=$T$16,"","* Pacientes 50 a 54 años (Hombres) con PA&lt;140/90 mmHg debe ser menor o igual a Hipertensos en Sección A. ")</f>
        <v/>
      </c>
      <c r="CT29" s="80" t="str">
        <f>IF($U$29&lt;=$U$16,"","* Pacientes 50 a 54 años (Mujeres) con PA&lt;140/90 mmHg debe ser menor o igual a Hipertensos en Sección A. ")</f>
        <v/>
      </c>
      <c r="CU29" s="80" t="str">
        <f>IF($V$29&lt;=$V$16,"","* Pacientes 55 a 59 años (Hombres) con PA&lt;140/90 mmHg debe ser menor o igual a Hipertensos en Sección A. ")</f>
        <v/>
      </c>
      <c r="CV29" s="80" t="str">
        <f>IF($W$29&lt;=$W$16,"","* Pacientes 55 a 59 años (Mujeres) con PA&lt;140/90 mmHg debe ser menor o igual a Hipertensos en Sección A. ")</f>
        <v/>
      </c>
      <c r="CW29" s="80" t="str">
        <f>IF($X$29&lt;=$X$16,"","* Pacientes 60 a 64 años (Hombres) con PA&lt;140/90 mmHg debe ser menor o igual a Hipertensos en Sección A. ")</f>
        <v/>
      </c>
      <c r="CX29" s="80" t="str">
        <f>IF($Y$29&lt;=$Y$16,"","* Pacientes 60 a 64 años (Mujeres) con PA&lt;140/90 mmHg debe ser menor o igual a Hipertensos en Sección A. ")</f>
        <v/>
      </c>
      <c r="CY29" s="80" t="str">
        <f>IF($Z$29&lt;=$Z$16,"","* Pacientes 65 a 69 años (Hombres) con PA&lt;140/90 mmHg debe ser menor o igual a Hipertensos en Sección A. ")</f>
        <v/>
      </c>
      <c r="CZ29" s="80" t="str">
        <f>IF($AA$29&lt;=$AA$16,"","* Pacientes 65 a 69 años (Mujeres) con PA&lt;140/90 mmHg debe ser menor o igual a Hipertensos en Sección A. ")</f>
        <v/>
      </c>
      <c r="DA29" s="80" t="str">
        <f>IF($AB$29&lt;=$AB$16,"","* Pacientes 70 a 74 años (Hombres) con PA&lt;140/90 mmHg debe ser menor o igual a Hipertensos en Sección A. ")</f>
        <v/>
      </c>
      <c r="DB29" s="80" t="str">
        <f>IF($AC$29&lt;=$AC$16,"","* Pacientes 70 a 74 años (Mujeres) con PA&lt;140/90 mmHg debe ser menor o igual a Hipertensos en Sección A. ")</f>
        <v/>
      </c>
      <c r="DC29" s="80" t="str">
        <f>IF($AD$29&lt;=$AD$16,"","* Pacientes 75 a 79 años (Hombres) con PA&lt;140/90 mmHg debe ser menor o igual a Hipertensos en Sección A. ")</f>
        <v/>
      </c>
      <c r="DD29" s="80" t="str">
        <f>IF($AE$29&lt;=$AE$16,"","* Pacientes 75 a 79 años (Mujeres) con PA&lt;140/90 mmHg debe ser menor o igual a Hipertensos en Sección A. ")</f>
        <v/>
      </c>
      <c r="DE29" s="41"/>
      <c r="DF29" s="41"/>
      <c r="DK29" s="287">
        <f>IF(AND(D29&lt;&gt;0,AH29=""),1,IF(AND(E29&lt;&gt;0,AI29=""),1,0))</f>
        <v>0</v>
      </c>
      <c r="DL29" s="287">
        <f>IF(AND(D29&lt;&gt;0,AJ29=""),1,IF(AND(E29&lt;&gt;0,AK29=""),1,0))</f>
        <v>0</v>
      </c>
      <c r="DM29" s="287">
        <f>IF($D$29&gt;=$AH$29,0,1)</f>
        <v>0</v>
      </c>
      <c r="DN29" s="287">
        <f>IF(E$29&gt;=AI29,0,1)</f>
        <v>0</v>
      </c>
      <c r="DO29" s="287">
        <f t="shared" ref="DO29:DO43" si="17">IF($D29&gt;=$AJ29,0,1)</f>
        <v>0</v>
      </c>
      <c r="DP29" s="287">
        <f t="shared" ref="DP29:DP43" si="18">IF(E29&gt;=AK29,0,1)</f>
        <v>0</v>
      </c>
      <c r="DQ29" s="287">
        <f t="shared" ref="DQ29:EP29" si="19">IF(F$29&lt;=F$16,0,1)</f>
        <v>0</v>
      </c>
      <c r="DR29" s="287">
        <f t="shared" si="19"/>
        <v>0</v>
      </c>
      <c r="DS29" s="287">
        <f t="shared" si="19"/>
        <v>0</v>
      </c>
      <c r="DT29" s="287">
        <f t="shared" si="19"/>
        <v>0</v>
      </c>
      <c r="DU29" s="287">
        <f t="shared" si="19"/>
        <v>0</v>
      </c>
      <c r="DV29" s="287">
        <f t="shared" si="19"/>
        <v>0</v>
      </c>
      <c r="DW29" s="287">
        <f t="shared" si="19"/>
        <v>0</v>
      </c>
      <c r="DX29" s="287">
        <f t="shared" si="19"/>
        <v>0</v>
      </c>
      <c r="DY29" s="287">
        <f t="shared" si="19"/>
        <v>0</v>
      </c>
      <c r="DZ29" s="287">
        <f t="shared" si="19"/>
        <v>0</v>
      </c>
      <c r="EA29" s="287">
        <f t="shared" si="19"/>
        <v>0</v>
      </c>
      <c r="EB29" s="287">
        <f t="shared" si="19"/>
        <v>0</v>
      </c>
      <c r="EC29" s="287">
        <f t="shared" si="19"/>
        <v>0</v>
      </c>
      <c r="ED29" s="287">
        <f t="shared" si="19"/>
        <v>0</v>
      </c>
      <c r="EE29" s="287">
        <f t="shared" si="19"/>
        <v>0</v>
      </c>
      <c r="EF29" s="287">
        <f t="shared" si="19"/>
        <v>0</v>
      </c>
      <c r="EG29" s="287">
        <f t="shared" si="19"/>
        <v>0</v>
      </c>
      <c r="EH29" s="287">
        <f t="shared" si="19"/>
        <v>0</v>
      </c>
      <c r="EI29" s="287">
        <f t="shared" si="19"/>
        <v>0</v>
      </c>
      <c r="EJ29" s="287">
        <f t="shared" si="19"/>
        <v>0</v>
      </c>
      <c r="EK29" s="287">
        <f t="shared" si="19"/>
        <v>0</v>
      </c>
      <c r="EL29" s="287">
        <f t="shared" si="19"/>
        <v>0</v>
      </c>
      <c r="EM29" s="287">
        <f t="shared" si="19"/>
        <v>0</v>
      </c>
      <c r="EN29" s="287">
        <f t="shared" si="19"/>
        <v>0</v>
      </c>
      <c r="EO29" s="287">
        <f t="shared" si="19"/>
        <v>0</v>
      </c>
      <c r="EP29" s="287">
        <f t="shared" si="19"/>
        <v>0</v>
      </c>
    </row>
    <row r="30" spans="1:148" ht="15" customHeight="1" x14ac:dyDescent="0.15">
      <c r="A30" s="2205"/>
      <c r="B30" s="61" t="s">
        <v>502</v>
      </c>
      <c r="C30" s="328">
        <f t="shared" ref="C30:C35" si="20">SUM(D30:E30)</f>
        <v>0</v>
      </c>
      <c r="D30" s="185">
        <f>+AF30</f>
        <v>0</v>
      </c>
      <c r="E30" s="263">
        <f>+AG30</f>
        <v>0</v>
      </c>
      <c r="F30" s="114"/>
      <c r="G30" s="267"/>
      <c r="H30" s="114"/>
      <c r="I30" s="116"/>
      <c r="J30" s="114"/>
      <c r="K30" s="116"/>
      <c r="L30" s="114"/>
      <c r="M30" s="115"/>
      <c r="N30" s="114"/>
      <c r="O30" s="115"/>
      <c r="P30" s="114"/>
      <c r="Q30" s="116"/>
      <c r="R30" s="114"/>
      <c r="S30" s="115"/>
      <c r="T30" s="114"/>
      <c r="U30" s="115"/>
      <c r="V30" s="114"/>
      <c r="W30" s="115"/>
      <c r="X30" s="114"/>
      <c r="Y30" s="115"/>
      <c r="Z30" s="114"/>
      <c r="AA30" s="115"/>
      <c r="AB30" s="114"/>
      <c r="AC30" s="115"/>
      <c r="AD30" s="114"/>
      <c r="AE30" s="115"/>
      <c r="AF30" s="1727"/>
      <c r="AG30" s="1709"/>
      <c r="AH30" s="1710"/>
      <c r="AI30" s="1721"/>
      <c r="AJ30" s="1724"/>
      <c r="AK30" s="1721"/>
      <c r="AL30" s="32" t="str">
        <f t="shared" ref="AL30:AL42" si="21">CA30&amp;CB30&amp; CC30 &amp; CD30 &amp; CE30 &amp; CF30 &amp; CG30 &amp; CH30 &amp; CI30 &amp; CJ30 &amp; CK30 &amp; CL30 &amp; CM30 &amp; CN30 &amp; CO30 &amp; CP30 &amp; CQ30 &amp; CR30 &amp; CS30 &amp; CT30 &amp; CU30 &amp; CV30 &amp; CW30 &amp; CX30 &amp; CY30 &amp; CZ30 &amp; DA30 &amp; DB30 &amp; DC30 &amp; DE30 &amp; DF30 &amp;DD30</f>
        <v/>
      </c>
      <c r="CA30" s="80" t="str">
        <f t="shared" ref="CA30:CA43" si="22">IF(AND(D30&gt;0,OR(AH30=""))," * No olvide digitar la variable Pueblos Originarios Hombres. Digite Cero si no tiene.",IF(AH30&gt;D30," * La variable Pueblos Originarios Hombres no puede ser Mayor al Total Hombres.",""))</f>
        <v/>
      </c>
      <c r="CB30" s="80" t="str">
        <f t="shared" ref="CB30:CB43" si="23">IF(AND(E30&gt;0,OR(AI30=""))," * No olvide digitar la variable Pueblos Originarios Mujeres. Digite Cero si no tiene.",IF(AI30&gt;E30," * La variable Pueblos Originarios Mujeres no puede ser Mayor al Total Mujeres.",""))</f>
        <v/>
      </c>
      <c r="CC30" s="80" t="str">
        <f t="shared" ref="CC30:CC43" si="24">IF(AND($D30&gt;0,OR(AJ30=""))," * No olvide digitar la variable Migrantes Hombres. Digite Cero si no tiene.",IF(AJ30&gt;$D30," * La variable Migrantes Hombres no puede ser Mayor al Total Hombres.",""))</f>
        <v/>
      </c>
      <c r="CD30" s="80" t="str">
        <f t="shared" ref="CD30:CD42" si="25">IF(AND(E30&gt;0,OR(AK30=""))," * No olvide digitar la variable Migrantes Mujeres. Digite Cero si no tiene.",IF(AK30&gt;E30," * La variable Migrantes Mujeres no puede ser Mayor al Total Mujeres.",""))</f>
        <v/>
      </c>
      <c r="DK30" s="287">
        <f t="shared" ref="DK30:DK43" si="26">IF(AND(D30&lt;&gt;0,AH30=""),1,IF(AND(E30&lt;&gt;0,AI30=""),1,0))</f>
        <v>0</v>
      </c>
      <c r="DL30" s="287">
        <f t="shared" ref="DL30:DL43" si="27">IF(AND(D30&lt;&gt;0,AJ30=""),1,IF(AND(E30&lt;&gt;0,AK30=""),1,0))</f>
        <v>0</v>
      </c>
      <c r="DM30" s="287">
        <f>IF($D$30&gt;=$AH$30,0,1)</f>
        <v>0</v>
      </c>
      <c r="DN30" s="287">
        <f t="shared" ref="DN30:DN43" si="28">IF(E$29&gt;=AI30,0,1)</f>
        <v>0</v>
      </c>
      <c r="DO30" s="287">
        <f t="shared" si="17"/>
        <v>0</v>
      </c>
      <c r="DP30" s="287">
        <f t="shared" si="18"/>
        <v>0</v>
      </c>
    </row>
    <row r="31" spans="1:148" ht="15" customHeight="1" x14ac:dyDescent="0.15">
      <c r="A31" s="2168" t="s">
        <v>503</v>
      </c>
      <c r="B31" s="46" t="s">
        <v>504</v>
      </c>
      <c r="C31" s="329">
        <f t="shared" si="20"/>
        <v>0</v>
      </c>
      <c r="D31" s="106">
        <f>+F31+H31+J31+L31+N31+P31+R31+T31+V31+X31+Z31+AB31+AD31</f>
        <v>0</v>
      </c>
      <c r="E31" s="120">
        <f>+G31+I31+K31+M31+O31+Q31+S31+U31+W31+Y31+AA31+AC31+AE31</f>
        <v>0</v>
      </c>
      <c r="F31" s="1696"/>
      <c r="G31" s="1697"/>
      <c r="H31" s="1696"/>
      <c r="I31" s="1697"/>
      <c r="J31" s="1696"/>
      <c r="K31" s="1697"/>
      <c r="L31" s="1696"/>
      <c r="M31" s="1697"/>
      <c r="N31" s="1696"/>
      <c r="O31" s="1697"/>
      <c r="P31" s="1696"/>
      <c r="Q31" s="1697"/>
      <c r="R31" s="1696"/>
      <c r="S31" s="1697"/>
      <c r="T31" s="1696"/>
      <c r="U31" s="1697"/>
      <c r="V31" s="1696"/>
      <c r="W31" s="1697"/>
      <c r="X31" s="1696"/>
      <c r="Y31" s="1697"/>
      <c r="Z31" s="1696"/>
      <c r="AA31" s="1697"/>
      <c r="AB31" s="1696"/>
      <c r="AC31" s="1697"/>
      <c r="AD31" s="1696"/>
      <c r="AE31" s="1697"/>
      <c r="AF31" s="266"/>
      <c r="AG31" s="266"/>
      <c r="AH31" s="1699"/>
      <c r="AI31" s="1697"/>
      <c r="AJ31" s="1723"/>
      <c r="AK31" s="1697"/>
      <c r="AL31" s="32" t="str">
        <f>CA31&amp;CB31&amp; CC31 &amp; CD31 &amp; CE31 &amp; CF31 &amp; CG31 &amp; CH31 &amp; CI31 &amp; CJ31 &amp; CK31 &amp; CL31 &amp; CM31 &amp; CN31 &amp; CO31 &amp; CP31 &amp; CQ31 &amp; CR31 &amp; CS31 &amp; CT31 &amp; CU31 &amp; CV31 &amp; CW31 &amp; CX31 &amp; CY31 &amp; CZ31 &amp; DA31 &amp; DB31 &amp; DC31 &amp; DE31 &amp; DF31 &amp;DD31</f>
        <v/>
      </c>
      <c r="CA31" s="80" t="str">
        <f t="shared" si="22"/>
        <v/>
      </c>
      <c r="CB31" s="80" t="str">
        <f t="shared" si="23"/>
        <v/>
      </c>
      <c r="CC31" s="80" t="str">
        <f t="shared" si="24"/>
        <v/>
      </c>
      <c r="CD31" s="80" t="str">
        <f t="shared" si="25"/>
        <v/>
      </c>
      <c r="CE31" s="80" t="str">
        <f>IF($F$31&lt;=$F$17,"","* Pacientes 15 a 19 años (Hombres) con HbA1C&lt;7% debe ser menor o igual a Diabéticos en Sección A. ")</f>
        <v/>
      </c>
      <c r="CF31" s="80" t="str">
        <f>IF($G$31&lt;=$G$17,"","* Pacientes 15 a 19 años (Mujeres) con HbA1C&lt;7% debe ser menor o igual a Diabéticos en Sección A. ")</f>
        <v/>
      </c>
      <c r="CG31" s="80" t="str">
        <f>IF($H$31&lt;=$H$17,"","* Pacientes 20 a 24 años (Hombres) con HbA1C&lt;7% debe ser menor o igual a Diabéticos en Sección A. ")</f>
        <v/>
      </c>
      <c r="CH31" s="80" t="str">
        <f>IF($I$31&lt;=$I$17,"","* Pacientes 20 a 24 años (Mujeres) con HbA1C&lt;7% debe ser menor o igual a Diabéticos en Sección A. ")</f>
        <v/>
      </c>
      <c r="CI31" s="80" t="str">
        <f>IF($J$31&lt;=$J$17,"","* Pacientes 25 a 29 años (Hombres) con HbA1C&lt;7% debe ser menor o igual a Diabéticos en Sección A. ")</f>
        <v/>
      </c>
      <c r="CJ31" s="80" t="str">
        <f>IF($K$31&lt;=$K$17,"","* Pacientes 25 a 29 años (Mujeres) con HbA1C&lt;7% debe ser menor o igual a Diabéticos en Sección A. ")</f>
        <v/>
      </c>
      <c r="CK31" s="80" t="str">
        <f>IF($L$31&lt;=$L$17,"","* Pacientes 30 a 34 años (Hombres) con HbA1C&lt;7% debe ser menor o igual a Diabéticos en Sección A. ")</f>
        <v/>
      </c>
      <c r="CL31" s="80" t="str">
        <f>IF($M$31&lt;=$M$17,"","* Pacientes 30 a 34 años (Mujeres) con HbA1C&lt;7% debe ser menor o igual a Diabéticos en Sección A. ")</f>
        <v/>
      </c>
      <c r="CM31" s="80" t="str">
        <f>IF($N$31&lt;=$N$17,"","* Pacientes 35 a 39 años (Hombres) con HbA1C&lt;7% debe ser menor o igual a Diabéticos en Sección A. ")</f>
        <v/>
      </c>
      <c r="CN31" s="80" t="str">
        <f>IF($O$31&lt;=$O$17,"","* Pacientes 35 a 39 años (Mujeres) con HbA1C&lt;7% debe ser menor o igual a Diabéticos en Sección A. ")</f>
        <v/>
      </c>
      <c r="CO31" s="80" t="str">
        <f>IF($P$31&lt;=$P$17,"","* Pacientes 40 a 44 años (Hombres) con HbA1C&lt;7% debe ser menor o igual a Diabéticos en Sección A. ")</f>
        <v/>
      </c>
      <c r="CP31" s="80" t="str">
        <f>IF($Q$31&lt;=$Q$17,"","* Pacientes 40 a 44 años (Mujeres) con HbA1C&lt;7% debe ser menor o igual a Diabéticos en Sección A. ")</f>
        <v/>
      </c>
      <c r="CQ31" s="80" t="str">
        <f>IF($R$31&lt;=$R$17,"","* Pacientes 45 a 49 años (Hombres) con HbA1C&lt;7% debe ser menor o igual a Diabéticos en Sección A. ")</f>
        <v/>
      </c>
      <c r="CR31" s="80" t="str">
        <f>IF($S$31&lt;=$S$17,"","* Pacientes 45 a 49 años (Mujeres) con HbA1C&lt;7% debe ser menor o igual a Diabéticos en Sección A. ")</f>
        <v/>
      </c>
      <c r="CS31" s="80" t="str">
        <f>IF($T$31&lt;=$T$17,"","* Pacientes 50 a 54 años (Hombres) con HbA1C&lt;7% debe ser menor o igual a Diabéticos en Sección A. ")</f>
        <v/>
      </c>
      <c r="CT31" s="80" t="str">
        <f>IF($U$31&lt;=$U$17,"","* Pacientes 50 a 54 años (Mujeres) con HbA1C&lt;7% debe ser menor o igual a Diabéticos en Sección A. ")</f>
        <v/>
      </c>
      <c r="CU31" s="80" t="str">
        <f>IF($V$31&lt;=$V$17,"","* Pacientes 55 a 59 años (Hombres) con HbA1C&lt;7% debe ser menor o igual a Diabéticos en Sección A. ")</f>
        <v/>
      </c>
      <c r="CV31" s="80" t="str">
        <f>IF($W$31&lt;=$W$17,"","* Pacientes 55 a 59 años (Mujeres) con HbA1C&lt;7% debe ser menor o igual a Diabéticos en Sección A. ")</f>
        <v/>
      </c>
      <c r="CW31" s="80" t="str">
        <f>IF($X$31&lt;=$X$17,"","* Pacientes 60 a 64 años (Hombres) con HbA1C&lt;7% debe ser menor o igual a Diabéticos en Sección A. ")</f>
        <v/>
      </c>
      <c r="CX31" s="80" t="str">
        <f>IF($Y$31&lt;=$Y$17,"","* Pacientes 60 a 64 años (Mujeres) con HbA1C&lt;7% debe ser menor o igual a Diabéticos en Sección A. ")</f>
        <v/>
      </c>
      <c r="CY31" s="80" t="str">
        <f>IF($Z$31&lt;=$Z$17,"","* Pacientes 65 a 69 años (Hombres) con HbA1C&lt;7% debe ser menor o igual a Diabéticos en Sección A. ")</f>
        <v/>
      </c>
      <c r="CZ31" s="80" t="str">
        <f>IF($AA$31&lt;=$AA$17,"","* Pacientes 65 a 69 años (Mujeres) con HbA1C&lt;7% debe ser menor o igual a Diabéticos en Sección A. ")</f>
        <v/>
      </c>
      <c r="DA31" s="80" t="str">
        <f>IF($AB$31&lt;=$AB$17,"","* Pacientes 70 a 74 años (Hombres) con HbA1C&lt;7% debe ser menor o igual a Diabéticos en Sección A. ")</f>
        <v/>
      </c>
      <c r="DB31" s="80" t="str">
        <f>IF($AC$31&lt;=$AC$17,"","* Pacientes 70 a 74 años (Mujeres) con HbA1C&lt;7% debe ser menor o igual a Diabéticos en Sección A. ")</f>
        <v/>
      </c>
      <c r="DC31" s="80" t="str">
        <f>IF($AD$31&lt;=$AD$17,"","* Pacientes 75 a 79 años (Hombres) con HbA1C&lt;7% debe ser menor o igual a Diabéticos en Sección A. ")</f>
        <v/>
      </c>
      <c r="DD31" s="80" t="str">
        <f>IF($AE$31&lt;=$AE$17,"","* Pacientes 75 a 79 años (Mujeres) con HbA1C&lt;7% debe ser menor o igual a Diabéticos en Sección A. ")</f>
        <v/>
      </c>
      <c r="DE31" s="80" t="str">
        <f>IF($AF$31&lt;=$AF$17,"","* Pacientes 80 y más años (Hombres) con HbA1C&lt;7% debe ser menor o igual a Diabéticos en Sección A. ")</f>
        <v/>
      </c>
      <c r="DF31" s="80"/>
      <c r="DK31" s="287">
        <f t="shared" si="26"/>
        <v>0</v>
      </c>
      <c r="DL31" s="287">
        <f t="shared" si="27"/>
        <v>0</v>
      </c>
      <c r="DM31" s="287">
        <f>IF($D$31&gt;=$AH$31,0,1)</f>
        <v>0</v>
      </c>
      <c r="DN31" s="287">
        <f t="shared" si="28"/>
        <v>0</v>
      </c>
      <c r="DO31" s="287">
        <f t="shared" si="17"/>
        <v>0</v>
      </c>
      <c r="DP31" s="287">
        <f t="shared" si="18"/>
        <v>0</v>
      </c>
      <c r="DQ31" s="287">
        <f t="shared" ref="DQ31:ER31" si="29">IF(F$31&lt;=F$17,0,1)</f>
        <v>0</v>
      </c>
      <c r="DR31" s="287">
        <f t="shared" si="29"/>
        <v>0</v>
      </c>
      <c r="DS31" s="287">
        <f t="shared" si="29"/>
        <v>0</v>
      </c>
      <c r="DT31" s="287">
        <f t="shared" si="29"/>
        <v>0</v>
      </c>
      <c r="DU31" s="287">
        <f t="shared" si="29"/>
        <v>0</v>
      </c>
      <c r="DV31" s="287">
        <f t="shared" si="29"/>
        <v>0</v>
      </c>
      <c r="DW31" s="287">
        <f t="shared" si="29"/>
        <v>0</v>
      </c>
      <c r="DX31" s="287">
        <f t="shared" si="29"/>
        <v>0</v>
      </c>
      <c r="DY31" s="287">
        <f t="shared" si="29"/>
        <v>0</v>
      </c>
      <c r="DZ31" s="287">
        <f t="shared" si="29"/>
        <v>0</v>
      </c>
      <c r="EA31" s="287">
        <f t="shared" si="29"/>
        <v>0</v>
      </c>
      <c r="EB31" s="287">
        <f t="shared" si="29"/>
        <v>0</v>
      </c>
      <c r="EC31" s="287">
        <f t="shared" si="29"/>
        <v>0</v>
      </c>
      <c r="ED31" s="287">
        <f t="shared" si="29"/>
        <v>0</v>
      </c>
      <c r="EE31" s="287">
        <f t="shared" si="29"/>
        <v>0</v>
      </c>
      <c r="EF31" s="287">
        <f t="shared" si="29"/>
        <v>0</v>
      </c>
      <c r="EG31" s="287">
        <f t="shared" si="29"/>
        <v>0</v>
      </c>
      <c r="EH31" s="287">
        <f t="shared" si="29"/>
        <v>0</v>
      </c>
      <c r="EI31" s="287">
        <f t="shared" si="29"/>
        <v>0</v>
      </c>
      <c r="EJ31" s="287">
        <f t="shared" si="29"/>
        <v>0</v>
      </c>
      <c r="EK31" s="287">
        <f t="shared" si="29"/>
        <v>0</v>
      </c>
      <c r="EL31" s="287">
        <f t="shared" si="29"/>
        <v>0</v>
      </c>
      <c r="EM31" s="287">
        <f t="shared" si="29"/>
        <v>0</v>
      </c>
      <c r="EN31" s="287">
        <f t="shared" si="29"/>
        <v>0</v>
      </c>
      <c r="EO31" s="287">
        <f t="shared" si="29"/>
        <v>0</v>
      </c>
      <c r="EP31" s="287">
        <f t="shared" si="29"/>
        <v>0</v>
      </c>
      <c r="EQ31" s="287">
        <f t="shared" si="29"/>
        <v>0</v>
      </c>
      <c r="ER31" s="287">
        <f t="shared" si="29"/>
        <v>0</v>
      </c>
    </row>
    <row r="32" spans="1:148" ht="14.45" customHeight="1" x14ac:dyDescent="0.15">
      <c r="A32" s="2169"/>
      <c r="B32" s="62" t="s">
        <v>505</v>
      </c>
      <c r="C32" s="375">
        <f t="shared" si="20"/>
        <v>0</v>
      </c>
      <c r="D32" s="104">
        <f>+AF32</f>
        <v>0</v>
      </c>
      <c r="E32" s="254">
        <f>+AG32</f>
        <v>0</v>
      </c>
      <c r="F32" s="111"/>
      <c r="G32" s="183"/>
      <c r="H32" s="111"/>
      <c r="I32" s="113"/>
      <c r="J32" s="111"/>
      <c r="K32" s="113"/>
      <c r="L32" s="111"/>
      <c r="M32" s="112"/>
      <c r="N32" s="111"/>
      <c r="O32" s="112"/>
      <c r="P32" s="111"/>
      <c r="Q32" s="113"/>
      <c r="R32" s="111"/>
      <c r="S32" s="112"/>
      <c r="T32" s="111"/>
      <c r="U32" s="112"/>
      <c r="V32" s="111"/>
      <c r="W32" s="112"/>
      <c r="X32" s="111"/>
      <c r="Y32" s="112"/>
      <c r="Z32" s="111"/>
      <c r="AA32" s="112"/>
      <c r="AB32" s="111"/>
      <c r="AC32" s="112"/>
      <c r="AD32" s="111"/>
      <c r="AE32" s="112"/>
      <c r="AF32" s="1725"/>
      <c r="AG32" s="1714"/>
      <c r="AH32" s="1704"/>
      <c r="AI32" s="1713"/>
      <c r="AJ32" s="1725"/>
      <c r="AK32" s="1713"/>
      <c r="AL32" s="32" t="str">
        <f t="shared" si="21"/>
        <v/>
      </c>
      <c r="CA32" s="80" t="str">
        <f t="shared" si="22"/>
        <v/>
      </c>
      <c r="CB32" s="80" t="str">
        <f t="shared" si="23"/>
        <v/>
      </c>
      <c r="CC32" s="80" t="str">
        <f t="shared" si="24"/>
        <v/>
      </c>
      <c r="CD32" s="80" t="str">
        <f t="shared" si="25"/>
        <v/>
      </c>
      <c r="DK32" s="287">
        <f t="shared" si="26"/>
        <v>0</v>
      </c>
      <c r="DL32" s="287">
        <f t="shared" si="27"/>
        <v>0</v>
      </c>
      <c r="DM32" s="287">
        <f>IF($D$32&gt;=$AH$32,0,1)</f>
        <v>0</v>
      </c>
      <c r="DN32" s="287">
        <f t="shared" si="28"/>
        <v>0</v>
      </c>
      <c r="DO32" s="287">
        <f>IF($D32&gt;=$AJ32,0,1)</f>
        <v>0</v>
      </c>
      <c r="DP32" s="287">
        <f t="shared" si="18"/>
        <v>0</v>
      </c>
    </row>
    <row r="33" spans="1:148" ht="15" customHeight="1" x14ac:dyDescent="0.15">
      <c r="A33" s="2170"/>
      <c r="B33" s="464" t="s">
        <v>892</v>
      </c>
      <c r="C33" s="327">
        <f t="shared" si="20"/>
        <v>0</v>
      </c>
      <c r="D33" s="105">
        <f>+F33+H33+J33+L33+N33+P33+R33+T33+V33+X33+Z33+AB33+AD33+AF33</f>
        <v>0</v>
      </c>
      <c r="E33" s="123">
        <f>+G33+I33+K33+M33+O33+Q33+S33+U33+W33+Y33+AA33+AC33+AE33+AG33</f>
        <v>0</v>
      </c>
      <c r="F33" s="1712"/>
      <c r="G33" s="1721"/>
      <c r="H33" s="1712"/>
      <c r="I33" s="1721"/>
      <c r="J33" s="1712"/>
      <c r="K33" s="1721"/>
      <c r="L33" s="1712"/>
      <c r="M33" s="1721"/>
      <c r="N33" s="1712"/>
      <c r="O33" s="1721"/>
      <c r="P33" s="1712"/>
      <c r="Q33" s="1721"/>
      <c r="R33" s="1712"/>
      <c r="S33" s="1721"/>
      <c r="T33" s="1712"/>
      <c r="U33" s="1721"/>
      <c r="V33" s="1712"/>
      <c r="W33" s="1721"/>
      <c r="X33" s="1712"/>
      <c r="Y33" s="1721"/>
      <c r="Z33" s="1712"/>
      <c r="AA33" s="1721"/>
      <c r="AB33" s="1712"/>
      <c r="AC33" s="1721"/>
      <c r="AD33" s="1712"/>
      <c r="AE33" s="1721"/>
      <c r="AF33" s="1724"/>
      <c r="AG33" s="1729"/>
      <c r="AH33" s="1710"/>
      <c r="AI33" s="1721"/>
      <c r="AJ33" s="1724"/>
      <c r="AK33" s="1721"/>
      <c r="AL33" s="32" t="str">
        <f t="shared" si="21"/>
        <v/>
      </c>
      <c r="CA33" s="80" t="str">
        <f t="shared" si="22"/>
        <v/>
      </c>
      <c r="CB33" s="80" t="str">
        <f t="shared" si="23"/>
        <v/>
      </c>
      <c r="CC33" s="80" t="str">
        <f t="shared" si="24"/>
        <v/>
      </c>
      <c r="CD33" s="80" t="str">
        <f t="shared" si="25"/>
        <v/>
      </c>
      <c r="CE33" s="80" t="str">
        <f>IF($F$33&lt;=$F$31,"","* Pacientes 15 a 19 años (Hombres) con HbA1C&lt;7% - PA&lt;140/90mmHg debe ser menor o igual a los con HbA1C&lt;7%. ")</f>
        <v/>
      </c>
      <c r="CF33" s="80" t="str">
        <f>IF($G$33&lt;=$G$31,"","* Pacientes 15 a 19 años (Mujeres) con HbA1C&lt;7% - PA&lt;140/90mmHg debe ser menor o igual a los con HbA1C&lt;7%. ")</f>
        <v/>
      </c>
      <c r="CG33" s="80" t="str">
        <f>IF($H$33&lt;=$H$31,"","* Pacientes 20 a 24 años (Hombres) con HbA1C&lt;7% - PA&lt;140/90mmHg debe ser menor o igual a los con HbA1C&lt;7%. ")</f>
        <v/>
      </c>
      <c r="CH33" s="80" t="str">
        <f>IF($I$33&lt;=$I$31,"","* Pacientes 20 a 24 años (Mujeres) con HbA1C&lt;7% - PA&lt;140/90mmHg debe ser menor o igual a los con HbA1C&lt;7%. ")</f>
        <v/>
      </c>
      <c r="CI33" s="80" t="str">
        <f>IF($J$33&lt;=$J$31,"","* Pacientes 25 a 29 años (Hombres) con HbA1C&lt;7% - PA&lt;140/90mmHg debe ser menor o igual a los con HbA1C&lt;7%. ")</f>
        <v/>
      </c>
      <c r="CJ33" s="80" t="str">
        <f>IF($K$33&lt;=$K$31,"","* Pacientes 25 a 29 años (Mujeres) con HbA1C&lt;7% - PA&lt;140/90mmHg debe ser menor o igual a los con HbA1C&lt;7%. ")</f>
        <v/>
      </c>
      <c r="CK33" s="80" t="str">
        <f>IF($L$33&lt;=$L$31,"","* Pacientes 30 a 34 años (Hombres) con HbA1C&lt;7% - PA&lt;140/90mmHg debe ser menor o igual a los con HbA1C&lt;7%. ")</f>
        <v/>
      </c>
      <c r="CL33" s="80" t="str">
        <f>IF($M$33&lt;=$M$31,"","* Pacientes 30 a 34 años (Mujeres) con HbA1C&lt;7% - PA&lt;140/90mmHg debe ser menor o igual a los con HbA1C&lt;7%. ")</f>
        <v/>
      </c>
      <c r="CM33" s="80" t="str">
        <f>IF($N$33&lt;=$N$31,"","* Pacientes 35 a 39 años (Hombres) con HbA1C&lt;7% - PA&lt;140/90mmHg debe ser menor o igual a los con HbA1C&lt;7%. ")</f>
        <v/>
      </c>
      <c r="CN33" s="80" t="str">
        <f>IF($O$33&lt;=$O$31,"","* Pacientes 35 a 39 años (Mujeres) con HbA1C&lt;7% - PA&lt;140/90mmHg debe ser menor o igual a los con HbA1C&lt;7%. ")</f>
        <v/>
      </c>
      <c r="CO33" s="80" t="str">
        <f>IF($P$33&lt;=$P$31,"","* Pacientes 40 a 44 años (Hombres) con HbA1C&lt;7% - PA&lt;140/90mmHg debe ser menor o igual a los con HbA1C&lt;7%. ")</f>
        <v/>
      </c>
      <c r="CP33" s="80" t="str">
        <f>IF($Q$33&lt;=$Q$31,"","* Pacientes 40 a 44 años (Mujeres) con HbA1C&lt;7% - PA&lt;140/90mmHg debe ser menor o igual a los con HbA1C&lt;7%. ")</f>
        <v/>
      </c>
      <c r="CQ33" s="80" t="str">
        <f>IF($R$33&lt;=$R$31,"","* Pacientes 45 a 49 años (Hombres) con HbA1C&lt;7% - PA&lt;140/90mmHg debe ser menor o igual a los con HbA1C&lt;7%. ")</f>
        <v/>
      </c>
      <c r="CR33" s="80" t="str">
        <f>IF($S$33&lt;=$S$31,"","* Pacientes 45 a 49 años (Mujeres) con HbA1C&lt;7% - PA&lt;140/90mmHg debe ser menor o igual a los con HbA1C&lt;7%. ")</f>
        <v/>
      </c>
      <c r="CS33" s="80" t="str">
        <f>IF($T$33&lt;=$T$31,"","* Pacientes 50 a 54 años (Hombres) con HbA1C&lt;7% - PA&lt;140/90mmHg debe ser menor o igual a los con HbA1C&lt;7%. ")</f>
        <v/>
      </c>
      <c r="CT33" s="80" t="str">
        <f>IF($U$33&lt;=$U$31,"","* Pacientes 50 a 54 años (Mujeres) con HbA1C&lt;7% - PA&lt;140/90mmHg debe ser menor o igual a los con HbA1C&lt;7%. ")</f>
        <v/>
      </c>
      <c r="CU33" s="80" t="str">
        <f>IF($V$33&lt;=$V$31,"","* Pacientes 55 a 59 años (Hombres) con HbA1C&lt;7% - PA&lt;140/90mmHg debe ser menor o igual a los con HbA1C&lt;7%. ")</f>
        <v/>
      </c>
      <c r="CV33" s="80" t="str">
        <f>IF($W$33&lt;=$W$31,"","* Pacientes 55 a 59 años (Mujeres) con HbA1C&lt;7% - PA&lt;140/90mmHg debe ser menor o igual a los con HbA1C&lt;7%. ")</f>
        <v/>
      </c>
      <c r="CW33" s="80" t="str">
        <f>IF($X$33&lt;=$X$31,"","* Pacientes 60 a 64 años (Hombres) con HbA1C&lt;7% - PA&lt;140/90mmHg debe ser menor o igual a los con HbA1C&lt;7%. ")</f>
        <v/>
      </c>
      <c r="CX33" s="80" t="str">
        <f>IF($Y$33&lt;=$Y$31,"","* Pacientes 60 a 64 años (Mujeres) con HbA1C&lt;7% - PA&lt;140/90mmHg debe ser menor o igual a los con HbA1C&lt;7%. ")</f>
        <v/>
      </c>
      <c r="CY33" s="80" t="str">
        <f>IF($Z$33&lt;=$Z$31,"","* Pacientes 65 a 69 años (Hombres) con HbA1C&lt;7% - PA&lt;140/90mmHg debe ser menor o igual a los con HbA1C&lt;7%. ")</f>
        <v/>
      </c>
      <c r="CZ33" s="80" t="str">
        <f>IF($AA$33&lt;=$AA$31,"","* Pacientes 65 a 69 años (Mujeres) con HbA1C&lt;7% - PA&lt;140/90mmHg debe ser menor o igual a los con HbA1C&lt;7%. ")</f>
        <v/>
      </c>
      <c r="DA33" s="80" t="str">
        <f>IF($AB$33&lt;=$AB$31,"","* Pacientes 70 a 74 años (Hombres) con HbA1C&lt;7% - PA&lt;140/90mmHg debe ser menor o igual a los con HbA1C&lt;7%. ")</f>
        <v/>
      </c>
      <c r="DB33" s="80" t="str">
        <f>IF($AC$33&lt;=$AC$31,"","* Pacientes 70 a 74 años (Mujeres) con HbA1C&lt;7% - PA&lt;140/90mmHg debe ser menor o igual a los con HbA1C&lt;7%. ")</f>
        <v/>
      </c>
      <c r="DC33" s="80" t="str">
        <f>IF($AD$33&lt;=$AD$31,"","* Pacientes 75 a 79 años (Hombres) con HbA1C&lt;7% - PA&lt;140/90mmHg debe ser menor o igual a los con HbA1C&lt;7%. ")</f>
        <v/>
      </c>
      <c r="DD33" s="80" t="str">
        <f>IF($AE$33&lt;=$AE$31,"","* Pacientes 75 a 79 años (Mujeres) con HbA1C&lt;7% - PA&lt;140/70mmHg debe ser menor o igual a los con HbA1C&lt;7%. ")</f>
        <v/>
      </c>
      <c r="DK33" s="287">
        <f t="shared" si="26"/>
        <v>0</v>
      </c>
      <c r="DL33" s="287">
        <f t="shared" si="27"/>
        <v>0</v>
      </c>
      <c r="DM33" s="287">
        <f>IF($D$33&gt;=$AH$33,0,1)</f>
        <v>0</v>
      </c>
      <c r="DN33" s="287">
        <f t="shared" si="28"/>
        <v>0</v>
      </c>
      <c r="DO33" s="287">
        <f t="shared" si="17"/>
        <v>0</v>
      </c>
      <c r="DP33" s="287">
        <f t="shared" si="18"/>
        <v>0</v>
      </c>
      <c r="DQ33" s="287">
        <f t="shared" ref="DQ33:EP33" si="30">IF(F$33&lt;=F$31,0,1)</f>
        <v>0</v>
      </c>
      <c r="DR33" s="287">
        <f t="shared" si="30"/>
        <v>0</v>
      </c>
      <c r="DS33" s="287">
        <f t="shared" si="30"/>
        <v>0</v>
      </c>
      <c r="DT33" s="287">
        <f t="shared" si="30"/>
        <v>0</v>
      </c>
      <c r="DU33" s="287">
        <f t="shared" si="30"/>
        <v>0</v>
      </c>
      <c r="DV33" s="287">
        <f t="shared" si="30"/>
        <v>0</v>
      </c>
      <c r="DW33" s="287">
        <f t="shared" si="30"/>
        <v>0</v>
      </c>
      <c r="DX33" s="287">
        <f t="shared" si="30"/>
        <v>0</v>
      </c>
      <c r="DY33" s="287">
        <f t="shared" si="30"/>
        <v>0</v>
      </c>
      <c r="DZ33" s="287">
        <f t="shared" si="30"/>
        <v>0</v>
      </c>
      <c r="EA33" s="287">
        <f t="shared" si="30"/>
        <v>0</v>
      </c>
      <c r="EB33" s="287">
        <f t="shared" si="30"/>
        <v>0</v>
      </c>
      <c r="EC33" s="287">
        <f t="shared" si="30"/>
        <v>0</v>
      </c>
      <c r="ED33" s="287">
        <f t="shared" si="30"/>
        <v>0</v>
      </c>
      <c r="EE33" s="287">
        <f t="shared" si="30"/>
        <v>0</v>
      </c>
      <c r="EF33" s="287">
        <f t="shared" si="30"/>
        <v>0</v>
      </c>
      <c r="EG33" s="287">
        <f t="shared" si="30"/>
        <v>0</v>
      </c>
      <c r="EH33" s="287">
        <f t="shared" si="30"/>
        <v>0</v>
      </c>
      <c r="EI33" s="287">
        <f t="shared" si="30"/>
        <v>0</v>
      </c>
      <c r="EJ33" s="287">
        <f t="shared" si="30"/>
        <v>0</v>
      </c>
      <c r="EK33" s="287">
        <f t="shared" si="30"/>
        <v>0</v>
      </c>
      <c r="EL33" s="287">
        <f t="shared" si="30"/>
        <v>0</v>
      </c>
      <c r="EM33" s="287">
        <f t="shared" si="30"/>
        <v>0</v>
      </c>
      <c r="EN33" s="287">
        <f t="shared" si="30"/>
        <v>0</v>
      </c>
      <c r="EO33" s="287">
        <f t="shared" si="30"/>
        <v>0</v>
      </c>
      <c r="EP33" s="287">
        <f t="shared" si="30"/>
        <v>0</v>
      </c>
    </row>
    <row r="34" spans="1:148" ht="15" customHeight="1" x14ac:dyDescent="0.15">
      <c r="A34" s="411" t="s">
        <v>506</v>
      </c>
      <c r="B34" s="360" t="s">
        <v>507</v>
      </c>
      <c r="C34" s="328">
        <f t="shared" si="20"/>
        <v>0</v>
      </c>
      <c r="D34" s="185">
        <f t="shared" ref="D34:E35" si="31">+F34+H34+J34+L34+N34+P34+R34+T34+V34+X34+Z34+AB34+AD34+AF34</f>
        <v>0</v>
      </c>
      <c r="E34" s="264">
        <f t="shared" si="31"/>
        <v>0</v>
      </c>
      <c r="F34" s="1707"/>
      <c r="G34" s="1708"/>
      <c r="H34" s="1707"/>
      <c r="I34" s="1708"/>
      <c r="J34" s="1707"/>
      <c r="K34" s="1708"/>
      <c r="L34" s="1707"/>
      <c r="M34" s="1708"/>
      <c r="N34" s="1707"/>
      <c r="O34" s="1708"/>
      <c r="P34" s="1707"/>
      <c r="Q34" s="1708"/>
      <c r="R34" s="1707"/>
      <c r="S34" s="1708"/>
      <c r="T34" s="1707"/>
      <c r="U34" s="1708"/>
      <c r="V34" s="1707"/>
      <c r="W34" s="1708"/>
      <c r="X34" s="1707"/>
      <c r="Y34" s="1708"/>
      <c r="Z34" s="1707"/>
      <c r="AA34" s="1708"/>
      <c r="AB34" s="1707"/>
      <c r="AC34" s="1708"/>
      <c r="AD34" s="1707"/>
      <c r="AE34" s="1708"/>
      <c r="AF34" s="1727"/>
      <c r="AG34" s="1709"/>
      <c r="AH34" s="1726"/>
      <c r="AI34" s="1708"/>
      <c r="AJ34" s="1727"/>
      <c r="AK34" s="1708"/>
      <c r="AL34" s="32" t="str">
        <f t="shared" si="21"/>
        <v/>
      </c>
      <c r="CA34" s="80" t="str">
        <f t="shared" si="22"/>
        <v/>
      </c>
      <c r="CB34" s="80" t="str">
        <f t="shared" si="23"/>
        <v/>
      </c>
      <c r="CC34" s="80" t="str">
        <f t="shared" si="24"/>
        <v/>
      </c>
      <c r="CD34" s="80" t="str">
        <f t="shared" si="25"/>
        <v/>
      </c>
      <c r="CE34" s="80" t="str">
        <f>IF($F$34&lt;=$F$15,"","* Pacientes 15 a 19 años (Hombres) con RCV Alto con Colesterol LDL &lt;70 mg/dl no debe ser mayor al Total RCV Alto de Sección A. ")</f>
        <v/>
      </c>
      <c r="CF34" s="80" t="str">
        <f>IF($G$34&lt;=$G$15,"","* Pacientes 15 a 19 años (Mujeres) con RCV Alto con Colesterol LDL &lt;70 mg/dl no debe ser mayor al Total RCV Alto de Sección A. ")</f>
        <v/>
      </c>
      <c r="CG34" s="80" t="str">
        <f>IF($H$34&lt;=+$H$15,"","* Pacientes 20 a 24 años (Hombres) con RCV Alto con Colesterol LDL &lt;70 mg/dl no debe ser mayor al Total RCV Alto de Sección A. ")</f>
        <v/>
      </c>
      <c r="CH34" s="80" t="str">
        <f>IF($I$34&lt;=+$I$15,"","* Pacientes 20 a 24 años (Mujeres) con RCV Alto con Colesterol LDL &lt;70 mg/dl no debe ser mayor al Total RCV Alto de Sección A. ")</f>
        <v/>
      </c>
      <c r="CI34" s="80" t="str">
        <f>IF($J$34&lt;=+$J$15,"","* Pacientes 25 a 29 años (Hombres) con RCV Alto con Colesterol LDL &lt;70 mg/dl no debe ser mayor al Total RCV Alto de Sección A. ")</f>
        <v/>
      </c>
      <c r="CJ34" s="80" t="str">
        <f>IF($K$34&lt;=+$K$15,"","* Pacientes 25 a 29 años (Mujeres) con RCV Alto con Colesterol LDL &lt;70 mg/dl no debe ser mayor al Total RCV Alto de Sección A. ")</f>
        <v/>
      </c>
      <c r="CK34" s="80" t="str">
        <f>IF($L$34&lt;=+$L$15,"","* Pacientes 30 a 34 años (Hombres) con RCV Alto con Colesterol LDL &lt;70 mg/dl no debe ser mayor al Total RCV Alto de Sección A. ")</f>
        <v/>
      </c>
      <c r="CL34" s="80" t="str">
        <f>IF($M$34&lt;=+$M$15,"","* Pacientes 30 a 34 años (Mujeres) con RCV Alto con Colesterol LDL &lt;70 mg/dl no debe ser mayor al Total RCV Alto de Sección A. ")</f>
        <v/>
      </c>
      <c r="CM34" s="80" t="str">
        <f>IF($N$34&lt;=+$N$15,"","* Pacientes 35 a 39 años (Hombres) con RCV Alto con Colesterol LDL &lt;70 mg/dl no debe ser mayor al Total RCV Alto de Sección A. ")</f>
        <v/>
      </c>
      <c r="CN34" s="80" t="str">
        <f>IF($O$34&lt;=+$O$15,"","* Pacientes 35 a 39 años (Mujeres) con RCV Alto con Colesterol LDL &lt;70 mg/dl no debe ser mayor al Total RCV Alto de Sección A. ")</f>
        <v/>
      </c>
      <c r="CO34" s="80" t="str">
        <f>IF($P$34&lt;=+$P$15,"","* Pacientes 40 a 44 años (Hombres) con RCV Alto con Colesterol LDL &lt;70 mg/dl no debe ser mayor al Total RCV Alto de Sección A. ")</f>
        <v/>
      </c>
      <c r="CP34" s="80" t="str">
        <f>IF($Q$34&lt;=+$Q$15,"","* Pacientes 40 a 44 años (Mujeres) con RCV Alto con Colesterol LDL &lt;70 mg/dl no debe ser mayor al Total RCV Alto de Sección A. ")</f>
        <v/>
      </c>
      <c r="CQ34" s="80" t="str">
        <f>IF($R$34&lt;=+$R$15,"","* Pacientes 45 a 49 años (Hombres) con RCV Alto con Colesterol LDL &lt;70 mg/dl no debe ser mayor al Total RCV Alto de Sección A. ")</f>
        <v/>
      </c>
      <c r="CR34" s="80" t="str">
        <f>IF($S$34&lt;=+$S$15,"","* Pacientes 45 a 49 años (Mujeres) con RCV Alto con Colesterol LDL &lt;70 mg/dl no debe ser mayor al Total RCV Alto de Sección A. ")</f>
        <v/>
      </c>
      <c r="CS34" s="80" t="str">
        <f>IF($T$34&lt;=+$T$15,"","* Pacientes 50 a 54 años (Hombres) con RCV Alto con Colesterol LDL &lt;70 mg/dl no debe ser mayor al Total RCV Alto de Sección A. ")</f>
        <v/>
      </c>
      <c r="CT34" s="80" t="str">
        <f>IF($U$34&lt;=+$U$15,"","* Pacientes 50 a 54 años (Mujeres) con RCV Alto con Colesterol LDL &lt;70 mg/dl no debe ser mayor al Total RCV Alto de Sección A. ")</f>
        <v/>
      </c>
      <c r="CU34" s="80" t="str">
        <f>IF($V$34&lt;=+$V$15,"","* Pacientes 55 a 59 años (Hombres) con RCV Alto con Colesterol LDL &lt;70 mg/dl no debe ser mayor al Total RCV Alto de Sección A. ")</f>
        <v/>
      </c>
      <c r="CV34" s="80" t="str">
        <f>IF($W$34&lt;=+$W$15,"","* Pacientes 55 a 59 años (Mujeres) con RCV Alto con Colesterol LDL &lt;70 mg/dl no debe ser mayor al Total RCV Alto de Sección A. ")</f>
        <v/>
      </c>
      <c r="CW34" s="80" t="str">
        <f>IF($X$34&lt;=+$X$15,"","* Pacientes 60 a 64 años (Hombres) con RCV Alto con Colesterol LDL &lt;70 mg/dl no debe ser mayor al Total RCV Alto de Sección A. ")</f>
        <v/>
      </c>
      <c r="CX34" s="80" t="str">
        <f>IF($Y$34&lt;=+$Y$15,"","* Pacientes 60 a 64 años (Mujeres) con RCV Alto con Colesterol LDL &lt;70 mg/dl no debe ser mayor al Total RCV Alto de Sección A. ")</f>
        <v/>
      </c>
      <c r="CY34" s="80" t="str">
        <f>IF($Z$34&lt;=+$Z$15,"","* Pacientes 65 a 69 años (Hombres) con RCV Alto con Colesterol LDL &lt;70 mg/dl no debe ser mayor al Total RCV Alto de Sección A. ")</f>
        <v/>
      </c>
      <c r="CZ34" s="80" t="str">
        <f>IF($AA$34&lt;=+$AA$15,"","* Pacientes 65 a 69 años (Mujeres) con RCV Alto con Colesterol LDL &lt;70 mg/dl no debe ser mayor al Total RCV Alto de Sección A. ")</f>
        <v/>
      </c>
      <c r="DA34" s="80" t="str">
        <f>IF($AB$34&lt;=+$AB$15,"","* Pacientes 70 a 74 años (Hombres) con RCV Alto con Colesterol LDL &lt;70 mg/dl no debe ser mayor al Total RCV Alto de Sección A. ")</f>
        <v/>
      </c>
      <c r="DB34" s="80" t="str">
        <f>IF($AC$34&lt;=+$AC$15,"","* Pacientes 70 a 74 años (Mujeres) con RCV Alto con Colesterol LDL &lt;70 mg/dl no debe ser mayor al Total RCV Alto de Sección A. ")</f>
        <v/>
      </c>
      <c r="DC34" s="80" t="str">
        <f>IF($AD$34&lt;=+$AD$15,"","* Pacientes 75 a 79 años (Hombres) con RCV Alto con Colesterol LDL &lt;70 mg/dl no debe ser mayor al Total RCV Alto de Sección A. ")</f>
        <v/>
      </c>
      <c r="DD34" s="80" t="str">
        <f>IF($AE$34&lt;=+$AE$15,"","* Pacientes 75 a 79 años (Mujeres) con RCV Alto con Colesterol LDL &lt;70 mg/dl no debe ser mayor al Total RCV Alto de Sección A. ")</f>
        <v/>
      </c>
      <c r="DE34" s="80" t="str">
        <f>IF($AF$34&lt;=+$AF$15,"","* Pacientes 80 y más años (Hombres) con RCV Alto con Colesterol LDL &lt;70 mg/dl no debe ser mayor al Total RCV Alto de Sección A. ")</f>
        <v/>
      </c>
      <c r="DF34" s="80" t="str">
        <f>IF($AG$34&lt;=+$AG$15,"","* Pacientes 80 y más años (Mujeres) con RCV Alto con Colesterol LDL &lt;70 mg/dl no debe ser mayor al Total RCV Alto de Sección A. ")</f>
        <v/>
      </c>
      <c r="DK34" s="287">
        <f t="shared" si="26"/>
        <v>0</v>
      </c>
      <c r="DL34" s="287">
        <f t="shared" si="27"/>
        <v>0</v>
      </c>
      <c r="DM34" s="287">
        <f>IF($D$34&gt;=$AH$34,0,1)</f>
        <v>0</v>
      </c>
      <c r="DN34" s="287">
        <f t="shared" si="28"/>
        <v>0</v>
      </c>
      <c r="DO34" s="287">
        <f t="shared" si="17"/>
        <v>0</v>
      </c>
      <c r="DP34" s="287">
        <f t="shared" si="18"/>
        <v>0</v>
      </c>
      <c r="DQ34" s="287">
        <f t="shared" ref="DQ34:ER34" si="32">IF(F$34&lt;=+F$15,0,1)</f>
        <v>0</v>
      </c>
      <c r="DR34" s="287">
        <f t="shared" si="32"/>
        <v>0</v>
      </c>
      <c r="DS34" s="287">
        <f t="shared" si="32"/>
        <v>0</v>
      </c>
      <c r="DT34" s="287">
        <f t="shared" si="32"/>
        <v>0</v>
      </c>
      <c r="DU34" s="287">
        <f t="shared" si="32"/>
        <v>0</v>
      </c>
      <c r="DV34" s="287">
        <f t="shared" si="32"/>
        <v>0</v>
      </c>
      <c r="DW34" s="287">
        <f t="shared" si="32"/>
        <v>0</v>
      </c>
      <c r="DX34" s="287">
        <f t="shared" si="32"/>
        <v>0</v>
      </c>
      <c r="DY34" s="287">
        <f t="shared" si="32"/>
        <v>0</v>
      </c>
      <c r="DZ34" s="287">
        <f t="shared" si="32"/>
        <v>0</v>
      </c>
      <c r="EA34" s="287">
        <f t="shared" si="32"/>
        <v>0</v>
      </c>
      <c r="EB34" s="287">
        <f t="shared" si="32"/>
        <v>0</v>
      </c>
      <c r="EC34" s="287">
        <f t="shared" si="32"/>
        <v>0</v>
      </c>
      <c r="ED34" s="287">
        <f t="shared" si="32"/>
        <v>0</v>
      </c>
      <c r="EE34" s="287">
        <f t="shared" si="32"/>
        <v>0</v>
      </c>
      <c r="EF34" s="287">
        <f t="shared" si="32"/>
        <v>0</v>
      </c>
      <c r="EG34" s="287">
        <f t="shared" si="32"/>
        <v>0</v>
      </c>
      <c r="EH34" s="287">
        <f t="shared" si="32"/>
        <v>0</v>
      </c>
      <c r="EI34" s="287">
        <f t="shared" si="32"/>
        <v>0</v>
      </c>
      <c r="EJ34" s="287">
        <f t="shared" si="32"/>
        <v>0</v>
      </c>
      <c r="EK34" s="287">
        <f t="shared" si="32"/>
        <v>0</v>
      </c>
      <c r="EL34" s="287">
        <f t="shared" si="32"/>
        <v>0</v>
      </c>
      <c r="EM34" s="287">
        <f t="shared" si="32"/>
        <v>0</v>
      </c>
      <c r="EN34" s="287">
        <f t="shared" si="32"/>
        <v>0</v>
      </c>
      <c r="EO34" s="287">
        <f t="shared" si="32"/>
        <v>0</v>
      </c>
      <c r="EP34" s="287">
        <f t="shared" si="32"/>
        <v>0</v>
      </c>
      <c r="EQ34" s="287">
        <f t="shared" si="32"/>
        <v>0</v>
      </c>
      <c r="ER34" s="287">
        <f t="shared" si="32"/>
        <v>0</v>
      </c>
    </row>
    <row r="35" spans="1:148" ht="15" customHeight="1" x14ac:dyDescent="0.15">
      <c r="A35" s="2214" t="s">
        <v>508</v>
      </c>
      <c r="B35" s="235" t="s">
        <v>509</v>
      </c>
      <c r="C35" s="326">
        <f t="shared" si="20"/>
        <v>0</v>
      </c>
      <c r="D35" s="103">
        <f t="shared" si="31"/>
        <v>0</v>
      </c>
      <c r="E35" s="122">
        <f t="shared" si="31"/>
        <v>0</v>
      </c>
      <c r="F35" s="1701"/>
      <c r="G35" s="1702"/>
      <c r="H35" s="1701"/>
      <c r="I35" s="1702"/>
      <c r="J35" s="1701"/>
      <c r="K35" s="1702"/>
      <c r="L35" s="1701"/>
      <c r="M35" s="1702"/>
      <c r="N35" s="1701"/>
      <c r="O35" s="1702"/>
      <c r="P35" s="1701"/>
      <c r="Q35" s="1702"/>
      <c r="R35" s="1701"/>
      <c r="S35" s="1702"/>
      <c r="T35" s="1701"/>
      <c r="U35" s="1702"/>
      <c r="V35" s="1701"/>
      <c r="W35" s="1702"/>
      <c r="X35" s="1701"/>
      <c r="Y35" s="1702"/>
      <c r="Z35" s="1701"/>
      <c r="AA35" s="1702"/>
      <c r="AB35" s="1701"/>
      <c r="AC35" s="1702"/>
      <c r="AD35" s="1701"/>
      <c r="AE35" s="1702"/>
      <c r="AF35" s="1730"/>
      <c r="AG35" s="1731"/>
      <c r="AH35" s="1699"/>
      <c r="AI35" s="1697"/>
      <c r="AJ35" s="1723"/>
      <c r="AK35" s="1697"/>
      <c r="AL35" s="32" t="str">
        <f t="shared" si="21"/>
        <v/>
      </c>
      <c r="CA35" s="80" t="str">
        <f>IF(AND(D35&gt;0,OR(AH35=""))," * No olvide digitar la variable Pueblos Originarios Hombres. Digite Cero si no tiene.",IF(AH35&gt;D35," * La variable Pueblos Originarios Hombres no puede ser Mayor al Total Hombres.",""))</f>
        <v/>
      </c>
      <c r="CB35" s="80" t="str">
        <f t="shared" si="23"/>
        <v/>
      </c>
      <c r="CC35" s="80" t="str">
        <f t="shared" si="24"/>
        <v/>
      </c>
      <c r="CD35" s="80" t="str">
        <f t="shared" si="25"/>
        <v/>
      </c>
      <c r="CE35" s="80" t="str">
        <f>IF($F$35&lt;=$F$22,"","* Pacientes 15 a 19 años (Hombres) con antecedentes de ECV en Tratamiento con Antiagregante plaquetario no debe ser mayor a la suma de Personas con Antecedentes de ECV de Sección A. ")</f>
        <v/>
      </c>
      <c r="CF35" s="80" t="str">
        <f>IF($G$35&lt;=$G$22,"","* Pacientes 15 a 19 años (Mujeres) con antecedentes ECV en Tratamiento con Antiagregante plaquetario no debe ser mayor a la suma de Personas con Antecedentes de ECV de Sección A. ")</f>
        <v/>
      </c>
      <c r="CG35" s="80" t="str">
        <f>IF($H$35&lt;=$H$22,"","* Pacientes 20 a 24 años (Hombres) con antecedentes ECV en Tratamiento con Antiagregante plaquetario no debe ser mayor a la suma de Personas con Antecedentes de ECV de Sección A. ")</f>
        <v/>
      </c>
      <c r="CH35" s="80" t="str">
        <f>IF($I$35&lt;=$I$22,"","* Pacientes 20 a 24 años (Mujeres) con antecedentes ECV en Tratamiento con Antiagregante plaquetario no debe ser mayor a la suma de Personas con Antecedentes de ECV de Sección A. ")</f>
        <v/>
      </c>
      <c r="CI35" s="80" t="str">
        <f>IF($J$35&lt;=$J$22,"","* Pacientes 25 a 29 años (Hombres) con antecedentes ECV en Tratamiento con Antiagregante plaquetario no debe ser mayor a la suma de Personas con Antecedentes de ECV de Sección A. ")</f>
        <v/>
      </c>
      <c r="CJ35" s="80" t="str">
        <f>IF($K$35&lt;=$K$22,"","* Pacientes 25 a 29 años (Mujeres) con antecedentes ECV en Tratamiento con Antiagregante plaquetario no debe ser mayor a la suma de Personas con Antecedentes de ECV de Sección A. ")</f>
        <v/>
      </c>
      <c r="CK35" s="80" t="str">
        <f>IF($L$35&lt;=$L$22,"","* Pacientes 30 a 34 años (Hombres) con antecedentes ECV en Tratamiento con Antiagregante plaquetario no debe ser mayor a la suma de Personas con Antecedentes de ECV de Sección A. ")</f>
        <v/>
      </c>
      <c r="CL35" s="80" t="str">
        <f>IF($M$35&lt;=$M$22,"","* Pacientes 30 a 34 años (Mujeres) con antecedentes ECV en Tratamiento con Antiagregante plaquetario no debe ser mayor a la suma de Personas con Antecedentes de ECV de Sección A. ")</f>
        <v/>
      </c>
      <c r="CM35" s="80" t="str">
        <f>IF($N$35&lt;=$N$22,"","* Pacientes 35 a 39 años (Hombres) con antecedentes ECV en Tratamiento con Antiagregante plaquetario no debe ser mayor a la suma de Personas con Antecedentes de ECV de Sección A. ")</f>
        <v/>
      </c>
      <c r="CN35" s="80" t="str">
        <f>IF($O$35&lt;=$O$22,"","* Pacientes 35 a 39 años (Mujeres) con antecedentes ECV en Tratamiento con Antiagregante plaquetario no debe ser mayor a la suma de Personas con Antecedentes de ECV de Sección A. ")</f>
        <v/>
      </c>
      <c r="CO35" s="80" t="str">
        <f>IF($P$35&lt;=$P$22,"","* Pacientes 40 a 44 años (Hombres) con antecedentes ECV en Tratamiento conAntiagregante plaquetario no debe ser mayor a la suma de Personas con Antecedentes de ECV de Sección A. ")</f>
        <v/>
      </c>
      <c r="CP35" s="80" t="str">
        <f>IF($Q$35&lt;=$Q$22,"","* Pacientes 40 a 44 años (Mujeres) con antecedentes ECV en Tratamiento con Antiagregante plaquetario no debe ser mayor a la suma de Personas con Antecedentes de ECV de Sección A. ")</f>
        <v/>
      </c>
      <c r="CQ35" s="80" t="str">
        <f>IF($R$35&lt;=$R$22,"","* Pacientes 45 a 49 años (Hombres) con antecedentes ECV en Tratamiento con Antiagregante plaquetario no debe ser mayor a la suma de Personas con Antecedentes de ECV de Sección A. ")</f>
        <v/>
      </c>
      <c r="CR35" s="80" t="str">
        <f>IF($S$35&lt;=$S$22,"","* Pacientes 45 a 49 años (Mujeres) con antecedentes ECV en Tratamiento con Antiagregante plaquetario no debe ser mayor a la suma de Personas con Antecedentes de ECV de Sección A. ")</f>
        <v/>
      </c>
      <c r="CS35" s="80" t="str">
        <f>IF($T$35&lt;=$T$22,"","* Pacientes 50 a 54 años (Hombres) con antecedentes ECV en Tratamiento con Antiagregante plaquetario no debe ser mayor a la suma de Personas con Antecedentes de ECV de Sección A.")</f>
        <v/>
      </c>
      <c r="CT35" s="80" t="str">
        <f>IF($U$35&lt;=$U$22,"","* Pacientes 50 a 54 años (Mujeres) con antecedentes ECV en Tratamiento con Antiagregante plaquetario no debe ser mayor a la suma de Personas con Antecedentes de ECV de Sección A. ")</f>
        <v/>
      </c>
      <c r="CU35" s="80" t="str">
        <f>IF($V$35&lt;=$V$22,"","* Pacientes 55 a 59 años (Hombres) con antecedentes ECV en Tratamiento con Antiagregante plaquetario no debe ser mayor a la suma de Personas con Antecedentes de ECV de Sección A. ")</f>
        <v/>
      </c>
      <c r="CV35" s="80" t="str">
        <f>IF($W$35&lt;=$W$22,"","* Pacientes 55 a 59 años (Mujeres) con antecedentes ECV en Tratamiento con Antiagregante plaquetario no debe ser mayor a la suma de Personas con Antecedentes de ECV de Sección A. ")</f>
        <v/>
      </c>
      <c r="CW35" s="80" t="str">
        <f>IF($X$35&lt;=$X$22,"","* Pacientes 60 a 64 años (Hombres) con antecedentes ECV en Tratamiento con Antiagregante plaquetario no debe ser mayor a la suma de Personas con Antecedentes de ECV de Sección A. ")</f>
        <v/>
      </c>
      <c r="CX35" s="80" t="str">
        <f>IF($Y$35&lt;=$Y$22,"","* Pacientes 60 a 64 años (Mujeres) con antecedentes ECV en Tratamiento con Antiagregante plaquetario no debe ser mayor a la suma de Personas con Antecedentes de ECV de Sección A. ")</f>
        <v/>
      </c>
      <c r="CY35" s="80" t="str">
        <f>IF($Z$35&lt;=$Z$22,"","* Pacientes 65 a 69 años (Hombres) con antecedentes ECV en Tratamiento con Antiagregante plaquetario no debe ser mayor a la suma de Personas con Antecedentes de ECV de Sección A. ")</f>
        <v/>
      </c>
      <c r="CZ35" s="80" t="str">
        <f>IF($AA$35&lt;=$AA$22,"","* Pacientes 65 a 69 años (Mujeres) con antecedentes ECV en Tratamiento con Antiagregante plaquetario no debe ser mayor a la suma de Personas con Antecedentes de ECV de Sección A. ")</f>
        <v/>
      </c>
      <c r="DA35" s="80" t="str">
        <f>IF($AB$35&lt;=$AB$22,"","* Pacientes 70 a 74 años (Hombres) con antecedentes ECV en Tratamiento con Antiagregante plaquetario no debe ser mayor a la suma de Personas con Antecedentes de ECV de Sección A. ")</f>
        <v/>
      </c>
      <c r="DB35" s="80" t="str">
        <f>IF($AC$35&lt;=$AC$22,"","* Pacientes 70 a 74 años (Mujeres) con antecedentes ECV en Tratamiento con Antiagregante plaquetario no debe ser mayor a la suma de Personas con Antecedentes de ECV de Sección A. ")</f>
        <v/>
      </c>
      <c r="DC35" s="80" t="str">
        <f>IF($AD$35&lt;=$AD$22,"","* Pacientes 75 a 79 años (Hombres) con antecedentes ECV en Tratamiento con Antiagregante plaquetario no debe ser mayor a la suma de Personas con Antecedentes de ECV de Sección A. ")</f>
        <v/>
      </c>
      <c r="DD35" s="80" t="str">
        <f>IF($AE$35&lt;=$AE$22,"","* Pacientes 75 a 79 años (Mujeres) con antecedentes ECV en Tratamiento con Antiagregante plaquetario no debe ser mayor a la suma de Personas con Antecedentes de ECV de Sección A. ")</f>
        <v/>
      </c>
      <c r="DE35" s="80" t="str">
        <f>IF($AF$35&lt;=$AF$22,"","* Pacientes 80 y más años (Hombres) con antecedentes ECV en Tratamiento con Antiagregante plaquetario no debe ser mayor a la suma de Personas con Antecedentes de ECV de Sección A. ")</f>
        <v/>
      </c>
      <c r="DF35" s="80" t="str">
        <f>IF($AG$35&lt;=$AG$22,"","* Pacientes 80 y más años (Mujeres) con antecedentes ECV en Tratamiento con Antiagregante plaquetario no debe ser mayor a la suma de Personas con Antecedentes de ECV de Sección A. ")</f>
        <v/>
      </c>
      <c r="DK35" s="287">
        <f t="shared" si="26"/>
        <v>0</v>
      </c>
      <c r="DL35" s="287">
        <f t="shared" si="27"/>
        <v>0</v>
      </c>
      <c r="DM35" s="287">
        <f>IF($D$35&gt;=$AH$35,0,1)</f>
        <v>0</v>
      </c>
      <c r="DN35" s="287">
        <f t="shared" si="28"/>
        <v>0</v>
      </c>
      <c r="DO35" s="287">
        <f t="shared" si="17"/>
        <v>0</v>
      </c>
      <c r="DP35" s="287">
        <f t="shared" si="18"/>
        <v>0</v>
      </c>
      <c r="DQ35" s="287">
        <f t="shared" ref="DQ35:DZ36" si="33">IF(F35&lt;=F$22,0,1)</f>
        <v>0</v>
      </c>
      <c r="DR35" s="287">
        <f t="shared" si="33"/>
        <v>0</v>
      </c>
      <c r="DS35" s="287">
        <f t="shared" si="33"/>
        <v>0</v>
      </c>
      <c r="DT35" s="287">
        <f t="shared" si="33"/>
        <v>0</v>
      </c>
      <c r="DU35" s="287">
        <f t="shared" si="33"/>
        <v>0</v>
      </c>
      <c r="DV35" s="287">
        <f t="shared" si="33"/>
        <v>0</v>
      </c>
      <c r="DW35" s="287">
        <f t="shared" si="33"/>
        <v>0</v>
      </c>
      <c r="DX35" s="287">
        <f t="shared" si="33"/>
        <v>0</v>
      </c>
      <c r="DY35" s="287">
        <f t="shared" si="33"/>
        <v>0</v>
      </c>
      <c r="DZ35" s="287">
        <f t="shared" si="33"/>
        <v>0</v>
      </c>
      <c r="EA35" s="287">
        <f t="shared" ref="EA35:EJ36" si="34">IF(P35&lt;=P$22,0,1)</f>
        <v>0</v>
      </c>
      <c r="EB35" s="287">
        <f t="shared" si="34"/>
        <v>0</v>
      </c>
      <c r="EC35" s="287">
        <f t="shared" si="34"/>
        <v>0</v>
      </c>
      <c r="ED35" s="287">
        <f t="shared" si="34"/>
        <v>0</v>
      </c>
      <c r="EE35" s="287">
        <f t="shared" si="34"/>
        <v>0</v>
      </c>
      <c r="EF35" s="287">
        <f t="shared" si="34"/>
        <v>0</v>
      </c>
      <c r="EG35" s="287">
        <f t="shared" si="34"/>
        <v>0</v>
      </c>
      <c r="EH35" s="287">
        <f t="shared" si="34"/>
        <v>0</v>
      </c>
      <c r="EI35" s="287">
        <f t="shared" si="34"/>
        <v>0</v>
      </c>
      <c r="EJ35" s="287">
        <f t="shared" si="34"/>
        <v>0</v>
      </c>
      <c r="EK35" s="287">
        <f t="shared" ref="EK35:ER36" si="35">IF(Z35&lt;=Z$22,0,1)</f>
        <v>0</v>
      </c>
      <c r="EL35" s="287">
        <f t="shared" si="35"/>
        <v>0</v>
      </c>
      <c r="EM35" s="287">
        <f t="shared" si="35"/>
        <v>0</v>
      </c>
      <c r="EN35" s="287">
        <f t="shared" si="35"/>
        <v>0</v>
      </c>
      <c r="EO35" s="287">
        <f t="shared" si="35"/>
        <v>0</v>
      </c>
      <c r="EP35" s="287">
        <f t="shared" si="35"/>
        <v>0</v>
      </c>
      <c r="EQ35" s="287">
        <f t="shared" si="35"/>
        <v>0</v>
      </c>
      <c r="ER35" s="287">
        <f t="shared" si="35"/>
        <v>0</v>
      </c>
    </row>
    <row r="36" spans="1:148" ht="15" customHeight="1" x14ac:dyDescent="0.15">
      <c r="A36" s="2215"/>
      <c r="B36" s="235" t="s">
        <v>510</v>
      </c>
      <c r="C36" s="375">
        <f>SUM(D36:E36)</f>
        <v>0</v>
      </c>
      <c r="D36" s="104">
        <f t="shared" ref="D36" si="36">+F36+H36+J36+L36+N36+P36+R36+T36+V36+X36+Z36+AB36+AD36+AF36</f>
        <v>0</v>
      </c>
      <c r="E36" s="254">
        <f t="shared" ref="E36" si="37">+G36+I36+K36+M36+O36+Q36+S36+U36+W36+Y36+AA36+AC36+AE36+AG36</f>
        <v>0</v>
      </c>
      <c r="F36" s="1716"/>
      <c r="G36" s="1717"/>
      <c r="H36" s="1716"/>
      <c r="I36" s="1717"/>
      <c r="J36" s="1716"/>
      <c r="K36" s="1717"/>
      <c r="L36" s="1716"/>
      <c r="M36" s="1717"/>
      <c r="N36" s="1716"/>
      <c r="O36" s="1717"/>
      <c r="P36" s="1716"/>
      <c r="Q36" s="1717"/>
      <c r="R36" s="1716"/>
      <c r="S36" s="1717"/>
      <c r="T36" s="1716"/>
      <c r="U36" s="1717"/>
      <c r="V36" s="1716"/>
      <c r="W36" s="1717"/>
      <c r="X36" s="1716"/>
      <c r="Y36" s="1717"/>
      <c r="Z36" s="1716"/>
      <c r="AA36" s="1717"/>
      <c r="AB36" s="1716"/>
      <c r="AC36" s="1717"/>
      <c r="AD36" s="1716"/>
      <c r="AE36" s="1717"/>
      <c r="AF36" s="1728"/>
      <c r="AG36" s="1732"/>
      <c r="AH36" s="1719"/>
      <c r="AI36" s="1717"/>
      <c r="AJ36" s="1728"/>
      <c r="AK36" s="1717"/>
      <c r="AL36" s="32" t="str">
        <f t="shared" si="21"/>
        <v/>
      </c>
      <c r="CA36" s="80" t="str">
        <f t="shared" si="22"/>
        <v/>
      </c>
      <c r="CB36" s="80" t="str">
        <f t="shared" si="23"/>
        <v/>
      </c>
      <c r="CC36" s="80" t="str">
        <f t="shared" si="24"/>
        <v/>
      </c>
      <c r="CD36" s="80" t="str">
        <f t="shared" si="25"/>
        <v/>
      </c>
      <c r="CE36" s="80" t="str">
        <f>IF($F36&lt;=$F$22,"","* Pacientes 15 a 19 años (Hombres) con con antecedentes ECV con Estatina no debe ser mayor a la suma de Personas con Antecedentes de ECV de Sección A. ")</f>
        <v/>
      </c>
      <c r="CF36" s="80" t="str">
        <f>IF($G36&lt;=$G$22,"","* Pacientes 15 a 19 años (Mujeres) con  antecedentes ECV en Tratamiento con Estatina no debe ser mayor a la suma de Personas con Antecedentes de ECV de Sección A. ")</f>
        <v/>
      </c>
      <c r="CG36" s="80" t="str">
        <f>IF($H36&lt;=$H$22,"","* Pacientes 20 a 24 años (Hombres) con  antecedentes ECV en Tratamiento con Estatina no debe ser mayor a la suma de Personas con Antecedentes de ECV de Sección A. ")</f>
        <v/>
      </c>
      <c r="CH36" s="80" t="str">
        <f>IF($I36&lt;=$I$22,"","* Pacientes 20 a 24 años (Mujeres) con antecedentes ECV en Tratamiento con Estatina no debe ser mayor a la suma de Personas con Antecedentes de ECV de Sección A. ")</f>
        <v/>
      </c>
      <c r="CI36" s="80" t="str">
        <f>IF($J36&lt;=$J$22,"","* Pacientes 25 a 29 años (Hombres) con  antecedentes ECV en Tratamiento con Estatina no debe ser mayor a la suma de Personas con Antecedentes de ECV de Sección A. ")</f>
        <v/>
      </c>
      <c r="CJ36" s="80" t="str">
        <f>IF($K36&lt;=$K$22,"","* Pacientes 25 a 29 años (Mujeres) con antecedentes ECV en Tratamiento con Estatina no debe ser mayor a la suma de Personas con Antecedentes de ECV de Sección A. ")</f>
        <v/>
      </c>
      <c r="CK36" s="80" t="str">
        <f>IF($L36&lt;=$L$22,"","* Pacientes 30 a 34 años (Hombres) con antecedentes ECV en Tratamiento con Estatina no debe ser mayor a la suma de Personas con Antecedentes de ECV de Sección A. ")</f>
        <v/>
      </c>
      <c r="CL36" s="80" t="str">
        <f>IF($M36&lt;=$M$22,"","* Pacientes 30 a 34 años (Mujeres) con antecedentes ECV en Tratamiento con Estatina no debe ser mayor a la suma de Personas con Antecedentes de ECV de Sección A. ")</f>
        <v/>
      </c>
      <c r="CM36" s="80" t="str">
        <f>IF($N36&lt;=$N$22,"","* Pacientes 35 a 39 años (Hombres) con antecedentes ECV en Tratamiento con Estatina no debe ser mayor a la suma de Personas con Antecedentes de ECV de Sección A. ")</f>
        <v/>
      </c>
      <c r="CN36" s="80" t="str">
        <f>IF($O36&lt;=$O$22,"","* Pacientes 35 a 39 años (Mujeres) con  antecedentes ECV en Tratamiento con Estatina no debe ser mayor a la suma de Personas con Antecedentes de ECV de Sección A. ")</f>
        <v/>
      </c>
      <c r="CO36" s="80" t="str">
        <f>IF($P36&lt;=$P$22,"","* Pacientes 40 a 44 años (Hombres) con antecedentes ECV en Tratamiento con Estatina no debe ser mayor a la suma de Personas con Antecedentes de ECV de Sección A. ")</f>
        <v/>
      </c>
      <c r="CP36" s="80" t="str">
        <f>IF($Q36&lt;=$Q$22,"","* Pacientes 40 a 44 años (Mujeres) con antecedentes ECV en Tratamiento con Estatina no debe ser mayor a la suma de Personas con Antecedentes de ECV de Sección A. ")</f>
        <v/>
      </c>
      <c r="CQ36" s="80" t="str">
        <f>IF($R36&lt;=$R$22,"","* Pacientes 45 a 49 años (Hombres) con antecedentes ECV en Tratamiento con Estatina no debe ser mayor a la suma de Personas con Antecedentes de ECV de Sección A. ")</f>
        <v/>
      </c>
      <c r="CR36" s="80" t="str">
        <f>IF($S36&lt;=$S$22,"","* Pacientes 45 a 49 años (Mujeres) con  antecedentes ECV en Tratamiento con Estatina no debe ser mayor a la suma de Personas con Antecedentes de ECV de Sección A. ")</f>
        <v/>
      </c>
      <c r="CS36" s="80" t="str">
        <f>IF($T36&lt;=$T$22,"","* Pacientes 50 a 54 años (Hombres) con  antecedentes ECV en Tratamiento con Estatina no debe ser mayor a la suma de Personas con Antecedentes de IAM, ACV, ECV de Sección A. ")</f>
        <v/>
      </c>
      <c r="CT36" s="80" t="str">
        <f>IF($U36&lt;=$U$22,"","* Pacientes 50 a 54 años (Mujeres) con antecedentes ECV en Tratamiento con Estatina no debe ser mayor a la suma de Personas con Antecedentes de ECV de Sección A. ")</f>
        <v/>
      </c>
      <c r="CU36" s="80" t="str">
        <f>IF($V36&lt;=$V$22,"","* Pacientes 55 a 59 años (Hombres) con  antecedentes ECV en Tratamiento con Estatina no debe ser mayor a la suma de Personas con Antecedentes de ECV de Sección A. ")</f>
        <v/>
      </c>
      <c r="CV36" s="80" t="str">
        <f>IF($W36&lt;=$W$22,"","* Pacientes 55 a 59 años (Mujeres) con antecedentes ECV en Tratamiento con Estatina no debe ser mayor a la suma de Personas con Antecedentes de ECV de Sección A. ")</f>
        <v/>
      </c>
      <c r="CW36" s="80" t="str">
        <f>IF($X36&lt;=$X$22,"","* Pacientes 60 a 64 años (Hombres) con antecedentes ECV en Tratamiento con Estatina no debe ser mayor a la suma de Personas con Antecedentes de ECV de Sección A. ")</f>
        <v/>
      </c>
      <c r="CX36" s="80" t="str">
        <f>IF($Y36&lt;=$Y$22,"","* Pacientes 60 a 64 años (Mujeres) con  antecedentes ECV en Tratamiento con Estatina no debe ser mayor a la suma de Personas con Antecedentes de ECV de Sección A. ")</f>
        <v/>
      </c>
      <c r="CY36" s="80" t="str">
        <f>IF($Z36&lt;=$Z$22,"","* Pacientes 65 a 69 años (Hombres) con antecedentes ECV en Tratamiento con Estatina no debe ser mayor a la suma de Personas con Antecedentes de ECV de Sección A. ")</f>
        <v/>
      </c>
      <c r="CZ36" s="80" t="str">
        <f>IF($AA36&lt;=$AA$22,"","* Pacientes 65 a 69 años (Mujeres) con antecedentes ECV en Tratamiento con Estatina no debe ser mayor a la suma de Personas con Antecedentes de ECV de Sección A. ")</f>
        <v/>
      </c>
      <c r="DA36" s="80" t="str">
        <f>IF($AB36&lt;=$AB$22,"","* Pacientes 70 a 74 años (Hombres) con antecedentes ECV en Tratamiento con Estatina no debe ser mayor a la suma de Personas con Antecedentes de ECV de Sección A. ")</f>
        <v/>
      </c>
      <c r="DB36" s="80" t="str">
        <f>IF($AC36&lt;=$AC$22,"","* Pacientes 70 a 74 años (Mujeres) con  antecedentes ECV en Tratamiento con Estatina no debe ser mayor a la suma de Personas con Antecedentes de ECV de Sección A. ")</f>
        <v/>
      </c>
      <c r="DC36" s="80" t="str">
        <f>IF($AD36&lt;=$AD$22,"","* Pacientes 75 a 79 años (Hombres) con  antecedentes ECV en Tratamiento con Estatina no debe ser mayor a la suma de Personas con Antecedentes de ECV de Sección A. ")</f>
        <v/>
      </c>
      <c r="DD36" s="80" t="str">
        <f>IF($AE36&lt;=$AE$22,"","* Pacientes 75 a 79 años (Mujeres) con con antecedentes ECV en Tratamiento con Estatina no debe ser mayor a la suma de Personas con Antecedentes de ECV de Sección A. ")</f>
        <v/>
      </c>
      <c r="DE36" s="80" t="str">
        <f>IF($AF36&lt;=$AF$22,"","* Pacientes 80 y más años (Hombres) con antecedentes ECV en Tratamiento con Estatina no debe ser mayor a la suma de Personas con Antecedentes de ECV de Sección A. ")</f>
        <v/>
      </c>
      <c r="DF36" s="80" t="str">
        <f>IF($AG36&lt;=AG$22,"","* Pacientes 80 y más años (Mujeres) con antecedentes ECV en Tratamiento con Estatina no debe ser mayor a la suma de Personas con Antecedentes de ECV de Sección A. ")</f>
        <v/>
      </c>
      <c r="DK36" s="287">
        <f t="shared" si="26"/>
        <v>0</v>
      </c>
      <c r="DL36" s="287">
        <f t="shared" si="27"/>
        <v>0</v>
      </c>
      <c r="DM36" s="287">
        <f>IF($D$37&gt;=$AH$37,0,1)</f>
        <v>0</v>
      </c>
      <c r="DN36" s="287">
        <f t="shared" si="28"/>
        <v>0</v>
      </c>
      <c r="DO36" s="287">
        <f t="shared" si="17"/>
        <v>0</v>
      </c>
      <c r="DP36" s="287">
        <f t="shared" si="18"/>
        <v>0</v>
      </c>
      <c r="DQ36" s="287">
        <f t="shared" si="33"/>
        <v>0</v>
      </c>
      <c r="DR36" s="287">
        <f t="shared" si="33"/>
        <v>0</v>
      </c>
      <c r="DS36" s="287">
        <f t="shared" si="33"/>
        <v>0</v>
      </c>
      <c r="DT36" s="287">
        <f t="shared" si="33"/>
        <v>0</v>
      </c>
      <c r="DU36" s="287">
        <f t="shared" si="33"/>
        <v>0</v>
      </c>
      <c r="DV36" s="287">
        <f t="shared" si="33"/>
        <v>0</v>
      </c>
      <c r="DW36" s="287">
        <f t="shared" si="33"/>
        <v>0</v>
      </c>
      <c r="DX36" s="287">
        <f t="shared" si="33"/>
        <v>0</v>
      </c>
      <c r="DY36" s="287">
        <f t="shared" si="33"/>
        <v>0</v>
      </c>
      <c r="DZ36" s="287">
        <f t="shared" si="33"/>
        <v>0</v>
      </c>
      <c r="EA36" s="287">
        <f t="shared" si="34"/>
        <v>0</v>
      </c>
      <c r="EB36" s="287">
        <f t="shared" si="34"/>
        <v>0</v>
      </c>
      <c r="EC36" s="287">
        <f t="shared" si="34"/>
        <v>0</v>
      </c>
      <c r="ED36" s="287">
        <f t="shared" si="34"/>
        <v>0</v>
      </c>
      <c r="EE36" s="287">
        <f t="shared" si="34"/>
        <v>0</v>
      </c>
      <c r="EF36" s="287">
        <f t="shared" si="34"/>
        <v>0</v>
      </c>
      <c r="EG36" s="287">
        <f t="shared" si="34"/>
        <v>0</v>
      </c>
      <c r="EH36" s="287">
        <f t="shared" si="34"/>
        <v>0</v>
      </c>
      <c r="EI36" s="287">
        <f t="shared" si="34"/>
        <v>0</v>
      </c>
      <c r="EJ36" s="287">
        <f t="shared" si="34"/>
        <v>0</v>
      </c>
      <c r="EK36" s="287">
        <f t="shared" si="35"/>
        <v>0</v>
      </c>
      <c r="EL36" s="287">
        <f t="shared" si="35"/>
        <v>0</v>
      </c>
      <c r="EM36" s="287">
        <f t="shared" si="35"/>
        <v>0</v>
      </c>
      <c r="EN36" s="287">
        <f t="shared" si="35"/>
        <v>0</v>
      </c>
      <c r="EO36" s="287">
        <f t="shared" si="35"/>
        <v>0</v>
      </c>
      <c r="EP36" s="287">
        <f t="shared" si="35"/>
        <v>0</v>
      </c>
      <c r="EQ36" s="287">
        <f t="shared" si="35"/>
        <v>0</v>
      </c>
      <c r="ER36" s="287">
        <f t="shared" si="35"/>
        <v>0</v>
      </c>
    </row>
    <row r="37" spans="1:148" ht="15" customHeight="1" x14ac:dyDescent="0.15">
      <c r="A37" s="2216"/>
      <c r="B37" s="239" t="s">
        <v>511</v>
      </c>
      <c r="C37" s="327">
        <f>SUM(D37:E37)</f>
        <v>0</v>
      </c>
      <c r="D37" s="105">
        <f>+F37+H37+J37+L37+N37+P37+R37+T37+V37+X37+Z37+AB37+AD37+AF37</f>
        <v>0</v>
      </c>
      <c r="E37" s="123">
        <f>+G37+I37+K37+M37+O37+Q37+S37+U37+W37+Y37+AA37+AC37+AE37+AG37</f>
        <v>0</v>
      </c>
      <c r="F37" s="1712"/>
      <c r="G37" s="1721"/>
      <c r="H37" s="1712"/>
      <c r="I37" s="1721"/>
      <c r="J37" s="1712"/>
      <c r="K37" s="1721"/>
      <c r="L37" s="1712"/>
      <c r="M37" s="1721"/>
      <c r="N37" s="1712"/>
      <c r="O37" s="1721"/>
      <c r="P37" s="1712"/>
      <c r="Q37" s="1721"/>
      <c r="R37" s="1712"/>
      <c r="S37" s="1721"/>
      <c r="T37" s="1712"/>
      <c r="U37" s="1721"/>
      <c r="V37" s="1712"/>
      <c r="W37" s="1721"/>
      <c r="X37" s="1712"/>
      <c r="Y37" s="1721"/>
      <c r="Z37" s="1712"/>
      <c r="AA37" s="1721"/>
      <c r="AB37" s="1712"/>
      <c r="AC37" s="1721"/>
      <c r="AD37" s="1712"/>
      <c r="AE37" s="1721"/>
      <c r="AF37" s="1724"/>
      <c r="AG37" s="1729"/>
      <c r="AH37" s="1710"/>
      <c r="AI37" s="1721"/>
      <c r="AJ37" s="1724"/>
      <c r="AK37" s="1721"/>
      <c r="AL37" s="32" t="str">
        <f>CA37&amp;CB37&amp; CC37 &amp; CD37 &amp; CE37 &amp; CF37 &amp; CG37 &amp; CH37 &amp; CI37 &amp; CJ37 &amp; CK37 &amp; CL37 &amp; CM37 &amp; CN37 &amp; CO37 &amp; CP37 &amp; CQ37 &amp; CR37 &amp; CS37 &amp; CT37 &amp; CU37 &amp; CV37 &amp; CW37 &amp; CX37 &amp; CY37 &amp; CZ37 &amp; DA37 &amp; DB37 &amp; DC37 &amp; DE37 &amp; DF37 &amp;DD37</f>
        <v/>
      </c>
      <c r="CA37" s="80" t="str">
        <f t="shared" si="22"/>
        <v/>
      </c>
      <c r="CB37" s="80" t="str">
        <f t="shared" si="23"/>
        <v/>
      </c>
      <c r="CC37" s="80" t="str">
        <f t="shared" si="24"/>
        <v/>
      </c>
      <c r="CD37" s="80" t="str">
        <f t="shared" si="25"/>
        <v/>
      </c>
      <c r="DK37" s="287">
        <f t="shared" si="26"/>
        <v>0</v>
      </c>
      <c r="DL37" s="287">
        <f t="shared" si="27"/>
        <v>0</v>
      </c>
      <c r="DM37" s="287">
        <f>IF($D$37&gt;=$AH$37,0,1)</f>
        <v>0</v>
      </c>
      <c r="DN37" s="287">
        <f t="shared" si="28"/>
        <v>0</v>
      </c>
      <c r="DO37" s="287">
        <f t="shared" si="17"/>
        <v>0</v>
      </c>
      <c r="DP37" s="287">
        <f t="shared" si="18"/>
        <v>0</v>
      </c>
    </row>
    <row r="38" spans="1:148" ht="15" customHeight="1" x14ac:dyDescent="0.15">
      <c r="A38" s="2232" t="s">
        <v>512</v>
      </c>
      <c r="B38" s="361" t="s">
        <v>509</v>
      </c>
      <c r="C38" s="326">
        <f t="shared" ref="C38" si="38">SUM(D38:E38)</f>
        <v>0</v>
      </c>
      <c r="D38" s="103">
        <f>+F38+H38+J38+L38+N38+P38+R38+T38+V38+X38+Z38+AB38+AD38+AF38</f>
        <v>0</v>
      </c>
      <c r="E38" s="122">
        <f t="shared" ref="E38:E39" si="39">+G38+I38+K38+M38+O38+Q38+S38+U38+W38+Y38+AA38+AC38+AE38+AG38</f>
        <v>0</v>
      </c>
      <c r="F38" s="1701"/>
      <c r="G38" s="1702"/>
      <c r="H38" s="1701"/>
      <c r="I38" s="1702"/>
      <c r="J38" s="1701"/>
      <c r="K38" s="1702"/>
      <c r="L38" s="1701"/>
      <c r="M38" s="1702"/>
      <c r="N38" s="1701"/>
      <c r="O38" s="1702"/>
      <c r="P38" s="1701"/>
      <c r="Q38" s="1702"/>
      <c r="R38" s="1701"/>
      <c r="S38" s="1702"/>
      <c r="T38" s="1701"/>
      <c r="U38" s="1702"/>
      <c r="V38" s="1701"/>
      <c r="W38" s="1702"/>
      <c r="X38" s="1701"/>
      <c r="Y38" s="1702"/>
      <c r="Z38" s="1701"/>
      <c r="AA38" s="1702"/>
      <c r="AB38" s="1701"/>
      <c r="AC38" s="1702"/>
      <c r="AD38" s="1701"/>
      <c r="AE38" s="1702"/>
      <c r="AF38" s="1730"/>
      <c r="AG38" s="1731"/>
      <c r="AH38" s="1699"/>
      <c r="AI38" s="1697"/>
      <c r="AJ38" s="1723"/>
      <c r="AK38" s="1697"/>
      <c r="AL38" s="32" t="str">
        <f t="shared" si="21"/>
        <v/>
      </c>
      <c r="CA38" s="80" t="str">
        <f t="shared" si="22"/>
        <v/>
      </c>
      <c r="CB38" s="80" t="str">
        <f t="shared" si="23"/>
        <v/>
      </c>
      <c r="CC38" s="80" t="str">
        <f t="shared" si="24"/>
        <v/>
      </c>
      <c r="CD38" s="80" t="str">
        <f t="shared" si="25"/>
        <v/>
      </c>
      <c r="CE38" s="80" t="str">
        <f>IF($F$38&lt;=$F$20,"","* Personas de 15 a 19 años Hombres, con antecedentes IAM En Tratamiento con Antiagregante plaquetario no debe ser mayor a Personas mismo grupo de edad con Antecedentes de IAM de Sección A. ")</f>
        <v/>
      </c>
      <c r="CF38" s="80" t="str">
        <f>IF($G$38&lt;=$G$20,"","* Personas de 15 a 19 años Mujeres, con con antecedentes IAM En Tratamiento con Antiagregante plaquetario no debe ser mayor a Personas mismo grupo de edad con Antecedentes de IAM y ECV de Sección A. ")</f>
        <v/>
      </c>
      <c r="CG38" s="80" t="str">
        <f>IF($H$38&lt;=$H$20,"","* Personas de 20 a 24 años Hombres, con antecedentes IAM En Tratamiento con Antiagregante plaquetario no debe ser mayor a Personas mismo grupo de edad con Antecedentes de IAM de Sección A. ")</f>
        <v/>
      </c>
      <c r="CH38" s="80" t="str">
        <f>IF($I$38&lt;=$I$20,"","* Personas de 20 a 24 años Mujeres, con antecedentes IAM En Tratamiento con Antiagregante plaquetario no debe ser mayor a Personas mismo grupo de edad con Antecedentes de IAM de Sección A. ")</f>
        <v/>
      </c>
      <c r="CI38" s="80" t="str">
        <f>IF($J$38&lt;=$J$20,"","* Personas de 25 a 29 años Hombres, con antecedentes IAM En Tratamiento con Antiagregante plaquetario no debe ser mayor a Personas mismo grupo de edad con Antecedentes de IAM de Sección A. ")</f>
        <v/>
      </c>
      <c r="CJ38" s="80" t="str">
        <f>IF($K$38&lt;=$K$20,"","* Personas de 25 a 29 años Mujeres, con antecedentes IAM En Tratamiento con Antiagregante plaquetario no debe ser mayor a Personas mismo grupo de edad con Antecedentes de IAM de Sección A. ")</f>
        <v/>
      </c>
      <c r="CK38" s="80" t="str">
        <f>IF($L$38&lt;=$L$20,"","* Personas de 30 a 34 años Hombres, con antecedentes IAM En Tratamiento con Antiagregante plaquetario no debe ser mayor a Personas mismo grupo de edad con Antecedentes de IAM de Sección A. ")</f>
        <v/>
      </c>
      <c r="CL38" s="80" t="str">
        <f>IF($M$38&lt;=$M$20,"","* Personas de 30 a 34 años Mujeres, con antecedentes IAM En Tratamiento con Antiagregante plaquetario no debe ser mayor a Personas mismo grupo de edad con Antecedentes de IAM de Sección A. ")</f>
        <v/>
      </c>
      <c r="CM38" s="80" t="str">
        <f>IF($N$38&lt;=$N$20,"","* Personas de 35 a 39 años Hombres, con antecedentes IAM En Tratamiento con Antiagregante plaquetario no debe ser mayor a Personas mismo grupo de edad con Antecedentes de IAM de Sección A. ")</f>
        <v/>
      </c>
      <c r="CN38" s="80" t="str">
        <f>IF($O$38&lt;=$O$20,"","* Personas de 35 a 39 años Mujeres, con antecedentes IAM En Tratamiento con Antiagregante plaquetario no debe ser mayor a Personas mismo grupo de edad con Antecedentes de IAM de Sección A. ")</f>
        <v/>
      </c>
      <c r="CO38" s="80" t="str">
        <f>IF($P$38&lt;=$P$20,"","* Personas de 40 a 44 años Hombres, con antecedentes IAM En Tratamiento con Antiagregante plaquetario no debe ser mayor a Personas mismo grupo de edad con Antecedentes de IAM de Sección A. ")</f>
        <v/>
      </c>
      <c r="CP38" s="80" t="str">
        <f>IF($Q$38&lt;=$Q$20,"","* Personas de 40 a 44 años Mujeres, con antecedentes IAM En Tratamiento con Antiagregante plaquetario no debe ser mayor a Personas mismo grupo de edad con Antecedentes de IAM de Sección A. ")</f>
        <v/>
      </c>
      <c r="CQ38" s="80" t="str">
        <f>IF($R$38&lt;=$R$20,"","* Personas de 45 a 49 años Hombres, con antecedentes IAM En Tratamiento con Antiagregante plaquetario no debe ser mayor a Personas mismo grupo de edad con Antecedentes de IAM de Sección A. ")</f>
        <v/>
      </c>
      <c r="CR38" s="80" t="str">
        <f>IF($S$38&lt;=$S$20,"","* Personas de 45 a 49 años Mujeres, con antecedentes IAM En Tratamiento con Antiagregante plaquetario no debe ser mayor a Personas mismo grupo de edad con Antecedentes de IAM de Sección A. ")</f>
        <v/>
      </c>
      <c r="CS38" s="80" t="str">
        <f>IF($T$38&lt;=$T$20,"","* Personas de 50 a 54 años Hombres, con antecedentes IAM En Tratamiento con Antiagregante plaquetario no debe ser mayor a Personas mismo grupo de edad con Antecedentes de IAM de Sección A. ")</f>
        <v/>
      </c>
      <c r="CT38" s="80" t="str">
        <f>IF($U$38&lt;=$U$20,"","* Personas de 50 a 54 años Mujeres, con antecedentes IAM En Tratamiento con Antiagregante plaquetario no debe ser mayor a Personas mismo grupo de edad con Antecedentes de IAM de Sección A. ")</f>
        <v/>
      </c>
      <c r="CU38" s="80" t="str">
        <f>IF($V$38&lt;=$V$20,"","* Personas de 55 a 59 años Hombres, con antecedentes IAM En Tratamiento con Antiagregante plaquetario no debe ser mayor a Personas mismo grupo de edad con Antecedentes de IAM de Sección A. ")</f>
        <v/>
      </c>
      <c r="CV38" s="80" t="str">
        <f>IF($W$38&lt;=$W$20,"","* Personas de 55 a 59 años Mujeres, con antecedentes IAM En Tratamiento con Antiagregante plaquetario no debe ser mayor a Personas mismo grupo de edad con Antecedentes de IAM de Sección A. ")</f>
        <v/>
      </c>
      <c r="CW38" s="80" t="str">
        <f>IF($X$38&lt;=$X$20,"","* Personas de 60 a 64 años Hombres, con antecedentes IAM En Tratamiento con Antiagregante plaquetario no debe ser mayor a Personas mismo grupo de edad con Antecedentes de IAM de Sección A. ")</f>
        <v/>
      </c>
      <c r="CX38" s="80" t="str">
        <f>IF($Y$38&lt;=$Y$20,"","* Personas de 60 a 64 años Mujeres, con antecedentes IAM En Tratamiento con Antiagregante plaquetario no debe ser mayor a Personas mismo grupo de edad con Antecedentes de IAM de Sección A. ")</f>
        <v/>
      </c>
      <c r="CY38" s="80" t="str">
        <f>IF($Z$38&lt;=$Z$20,"","* Personas de 65 a 69 años Hombres, con antecedentes IAM En Tratamiento con Antiagregante plaquetario no debe ser mayor a Personas mismo grupo de edad con Antecedentes de IAM de Sección A. ")</f>
        <v/>
      </c>
      <c r="CZ38" s="80" t="str">
        <f>IF($AA$38&lt;=$AA$20,"","* Personas de 65 a 69 años Mujeres, con antecedentes IAM En Tratamiento con Antiagregante plaquetario no debe ser mayor a Personas mismo grupo de edad con Antecedentes de IAM de Sección A. ")</f>
        <v/>
      </c>
      <c r="DA38" s="80" t="str">
        <f>IF($AB$38&lt;=$AB$20,"","* Perdonas de 70 a 74 años Hombres, con antecedentes IAM En Tratamiento con Antiagregante plaquetario no debe ser mayor a Personas mismo grupo de edad con Antecedentes de IAM  de Sección A. ")</f>
        <v/>
      </c>
      <c r="DB38" s="80" t="str">
        <f>IF($AC$38&lt;=$AC$20,"","* Personas de 70 a 74 años Mujeres, con antecedentes IAM En Tratamiento con Antiagregante plaquetario no debe ser mayor a Personas mismo grupo de edad con Antecedentes de IAM de Sección A. ")</f>
        <v/>
      </c>
      <c r="DC38" s="80" t="str">
        <f>IF($AD$38&lt;=$AD$20,"","* Personas de 75 a 79 años Hombres, con antecedentes IAM En Tratamiento con Antiagregante plaquetario no debe ser mayor a Personas mismo grupo de edad con Antecedentes de IAM de Sección A. ")</f>
        <v/>
      </c>
      <c r="DD38" s="80" t="str">
        <f>IF($AE$38&lt;=$AE$20,"","* Personas de 75 a 79 años Mujeres, con antecedentes IAM En Tratamiento con Antiagregante plaquetario no debe ser mayor a Personas mismo grupo de edad con Antecedentes de IAM de Sección A. ")</f>
        <v/>
      </c>
      <c r="DE38" s="80" t="str">
        <f>IF($AF$38&lt;=$AF$20,"","* Personas de 80 y más años Hombres, con antecedentes IAM En Tratamiento con Antiagregante plaquetario no debe ser mayor a Personas mismo grupo de edad con Antecedentes de IAM de Sección A. ")</f>
        <v/>
      </c>
      <c r="DF38" s="80" t="str">
        <f>IF($AG$38&lt;=$AG$20,"","* Personas de 80 y más años Mujeres, con antecedentes IAM En Tratamiento con Antiagregante plaquetario no debe ser mayor a Personas mismo grupo de edad con Antecedentes de IAM de Sección A. ")</f>
        <v/>
      </c>
      <c r="DK38" s="287">
        <f t="shared" si="26"/>
        <v>0</v>
      </c>
      <c r="DL38" s="287">
        <f t="shared" si="27"/>
        <v>0</v>
      </c>
      <c r="DM38" s="287">
        <f>IF($D$35&gt;=$AH$35,0,1)</f>
        <v>0</v>
      </c>
      <c r="DN38" s="287">
        <f t="shared" si="28"/>
        <v>0</v>
      </c>
      <c r="DO38" s="287">
        <f t="shared" si="17"/>
        <v>0</v>
      </c>
      <c r="DP38" s="287">
        <f t="shared" si="18"/>
        <v>0</v>
      </c>
      <c r="DQ38" s="287">
        <f>IF(F38&lt;=F$20,0,1)</f>
        <v>0</v>
      </c>
      <c r="DR38" s="287">
        <f t="shared" ref="DR38:ER39" si="40">IF(G38&lt;=G$20,0,1)</f>
        <v>0</v>
      </c>
      <c r="DS38" s="287">
        <f t="shared" si="40"/>
        <v>0</v>
      </c>
      <c r="DT38" s="287">
        <f t="shared" si="40"/>
        <v>0</v>
      </c>
      <c r="DU38" s="287">
        <f t="shared" si="40"/>
        <v>0</v>
      </c>
      <c r="DV38" s="287">
        <f t="shared" si="40"/>
        <v>0</v>
      </c>
      <c r="DW38" s="287">
        <f t="shared" si="40"/>
        <v>0</v>
      </c>
      <c r="DX38" s="287">
        <f t="shared" si="40"/>
        <v>0</v>
      </c>
      <c r="DY38" s="287">
        <f t="shared" si="40"/>
        <v>0</v>
      </c>
      <c r="DZ38" s="287">
        <f t="shared" si="40"/>
        <v>0</v>
      </c>
      <c r="EA38" s="287">
        <f t="shared" si="40"/>
        <v>0</v>
      </c>
      <c r="EB38" s="287">
        <f t="shared" si="40"/>
        <v>0</v>
      </c>
      <c r="EC38" s="287">
        <f t="shared" si="40"/>
        <v>0</v>
      </c>
      <c r="ED38" s="287">
        <f t="shared" si="40"/>
        <v>0</v>
      </c>
      <c r="EE38" s="287">
        <f t="shared" si="40"/>
        <v>0</v>
      </c>
      <c r="EF38" s="287">
        <f t="shared" si="40"/>
        <v>0</v>
      </c>
      <c r="EG38" s="287">
        <f t="shared" si="40"/>
        <v>0</v>
      </c>
      <c r="EH38" s="287">
        <f t="shared" si="40"/>
        <v>0</v>
      </c>
      <c r="EI38" s="287">
        <f t="shared" si="40"/>
        <v>0</v>
      </c>
      <c r="EJ38" s="287">
        <f t="shared" si="40"/>
        <v>0</v>
      </c>
      <c r="EK38" s="287">
        <f t="shared" si="40"/>
        <v>0</v>
      </c>
      <c r="EL38" s="287">
        <f t="shared" si="40"/>
        <v>0</v>
      </c>
      <c r="EM38" s="287">
        <f t="shared" si="40"/>
        <v>0</v>
      </c>
      <c r="EN38" s="287">
        <f t="shared" si="40"/>
        <v>0</v>
      </c>
      <c r="EO38" s="287">
        <f t="shared" si="40"/>
        <v>0</v>
      </c>
      <c r="EP38" s="287">
        <f t="shared" si="40"/>
        <v>0</v>
      </c>
      <c r="EQ38" s="287">
        <f>IF(AF38&lt;=AF$20,0,1)</f>
        <v>0</v>
      </c>
      <c r="ER38" s="287">
        <f t="shared" si="40"/>
        <v>0</v>
      </c>
    </row>
    <row r="39" spans="1:148" ht="15" customHeight="1" x14ac:dyDescent="0.15">
      <c r="A39" s="2233"/>
      <c r="B39" s="361" t="s">
        <v>510</v>
      </c>
      <c r="C39" s="375">
        <f>SUM(D39:E39)</f>
        <v>0</v>
      </c>
      <c r="D39" s="104">
        <f t="shared" ref="D39" si="41">+F39+H39+J39+L39+N39+P39+R39+T39+V39+X39+Z39+AB39+AD39+AF39</f>
        <v>0</v>
      </c>
      <c r="E39" s="254">
        <f t="shared" si="39"/>
        <v>0</v>
      </c>
      <c r="F39" s="1716"/>
      <c r="G39" s="1717"/>
      <c r="H39" s="1716"/>
      <c r="I39" s="1717"/>
      <c r="J39" s="1716"/>
      <c r="K39" s="1717"/>
      <c r="L39" s="1716"/>
      <c r="M39" s="1717"/>
      <c r="N39" s="1716"/>
      <c r="O39" s="1717"/>
      <c r="P39" s="1716"/>
      <c r="Q39" s="1717"/>
      <c r="R39" s="1716"/>
      <c r="S39" s="1717"/>
      <c r="T39" s="1716"/>
      <c r="U39" s="1717"/>
      <c r="V39" s="1716"/>
      <c r="W39" s="1717"/>
      <c r="X39" s="1716"/>
      <c r="Y39" s="1717"/>
      <c r="Z39" s="1716"/>
      <c r="AA39" s="1717"/>
      <c r="AB39" s="1716"/>
      <c r="AC39" s="1717"/>
      <c r="AD39" s="1716"/>
      <c r="AE39" s="1717"/>
      <c r="AF39" s="1728"/>
      <c r="AG39" s="1732"/>
      <c r="AH39" s="1719"/>
      <c r="AI39" s="1717"/>
      <c r="AJ39" s="1728"/>
      <c r="AK39" s="1717"/>
      <c r="AL39" s="32" t="str">
        <f t="shared" si="21"/>
        <v/>
      </c>
      <c r="CA39" s="80" t="str">
        <f t="shared" si="22"/>
        <v/>
      </c>
      <c r="CB39" s="80" t="str">
        <f t="shared" si="23"/>
        <v/>
      </c>
      <c r="CC39" s="80" t="str">
        <f t="shared" si="24"/>
        <v/>
      </c>
      <c r="CD39" s="80" t="str">
        <f t="shared" si="25"/>
        <v/>
      </c>
      <c r="CE39" s="80" t="str">
        <f>IF($F39&lt;=$F$20,"","* Personas de 15 a 19 años Hombres, con antecedentes IAM En tratamiento con Estatina no debe ser mayor a Personas mismo grupo de edad con Antecedentes de IAM de Sección A. ")</f>
        <v/>
      </c>
      <c r="CF39" s="80" t="str">
        <f>IF($G39&lt;=$G$20,"","* Personas de 15 a 19 años Mujeres, con antecedentes IAM En Tratamiento con Estatina no debe ser mayor a Personas mismo grupo de edad con Antecedentes de IAM y ECV de Sección A. ")</f>
        <v/>
      </c>
      <c r="CG39" s="80" t="str">
        <f>IF($H39&lt;=$H$20,"","* Personas de 20 a 24 años Hombres, con con antecedentes IAM En Tratamiento con Estatina no debe ser mayor a Personas mismo grupo de edad con Antecedentes de IAM de Sección A. ")</f>
        <v/>
      </c>
      <c r="CH39" s="80" t="str">
        <f>IF($I39&lt;=$I$20,"","* Personas de 20 a 24 años Mujeres, con antecedentes IAM En Tratamiento con Estatina no debe ser mayor a Personas mismo grupo de edad con Antecedentes de IAM de Sección A. ")</f>
        <v/>
      </c>
      <c r="CI39" s="80" t="str">
        <f>IF($J39&lt;=$J$20,"","* Personas de 25 a 29 años Hombres, con antecedentes IAM En Tratamiento con Estatina no debe ser mayor a Personas mismo grupo de edad con Antecedentes de IAM de Sección A. ")</f>
        <v/>
      </c>
      <c r="CJ39" s="80" t="str">
        <f>IF($K39&lt;=$K$20,"","* Personas de 25 a 29 años Mujeres, con antecedentes IAM En Tratamiento con Estatina no debe ser mayor a Personas mismo grupo de edad con Antecedentes de IAM de Sección A. ")</f>
        <v/>
      </c>
      <c r="CK39" s="80" t="str">
        <f>IF($L39&lt;=$L$20,"","* Personas de 30 a 34 años Hombres, con antecedentes IAM En Tratamiento con Estatina no debe ser mayor a Personas mismo grupo de edad con Antecedentes de IAM de Sección A. ")</f>
        <v/>
      </c>
      <c r="CL39" s="80" t="str">
        <f>IF($M39&lt;=$M$20,"","* Personas de 30 a 34 años Mujeres, con antecedentes IAM En Tratamiento con Estatina no debe ser mayor a Personas mismo grupo de edad con Antecedentes de IAM de Sección A. ")</f>
        <v/>
      </c>
      <c r="CM39" s="80" t="str">
        <f>IF($N39&lt;=$N$20,"","* Personas de 35 a 39 años Hombres, con antecedentes IAM En Tratamiento con Estatina no debe ser mayor a Personas mismo grupo de edad con Antecedentes de IAM de Sección A. ")</f>
        <v/>
      </c>
      <c r="CN39" s="80" t="str">
        <f>IF($O39&lt;=$O$20,"","* Persona de 35 a 39 años Mujeres, con antecedentes IAM En Tratamiento con Estatina no debe ser mayor a Personas mismo grupo de edad con Antecedentes de IAM de Sección A. ")</f>
        <v/>
      </c>
      <c r="CO39" s="80" t="str">
        <f>IF($P39&lt;=$P$20,"","* Personas de 40 a 44 años Hombres, con antecedentes IAM En Tratamiento con Estatina no debe ser mayor a Personas mismo grupo de edad con Antecedentes de IAM de Sección A. ")</f>
        <v/>
      </c>
      <c r="CP39" s="80" t="str">
        <f>IF($Q39&lt;=$Q$20,"","* Personas de 40 a 44 años Mujeres, con antecedentes IAM En Tratamiento con Estatina no debe ser mayor a Personas mismo grupo de edad con Antecedentes de IAM de Sección A. ")</f>
        <v/>
      </c>
      <c r="CQ39" s="80" t="str">
        <f>IF($R39&lt;=$R$20,"","* Personas de 45 a 49 años Hombres, con antecedentes IAM En Tratamiento con Estatina no debe ser mayor a Personas mismo grupo de edad con Antecedentes de IAM de Sección A. ")</f>
        <v/>
      </c>
      <c r="CR39" s="80" t="str">
        <f>IF($S39&lt;=$S$20,"","* Personas de 45 a 49 años Mujeres, con antecedentes IAM En Tratamiento con Estatina no debe ser mayor a Personas mismo grupo de edad con Antecedentes de IAM de Sección A. ")</f>
        <v/>
      </c>
      <c r="CS39" s="80" t="str">
        <f>IF($T39&lt;=$T$20,"","* Personas de 50 a 54 años Hombres, con antecedentes IAM En Tratamiento con Estatina no debe ser mayor a Personas mismo grupo de edad con Antecedentes de IAM de Sección A. ")</f>
        <v/>
      </c>
      <c r="CT39" s="80" t="str">
        <f>IF($U39&lt;=$U$20,"","* Personas de 50 a 54 años Mujeres, con antecedentes IAM En Tratamiento con Estatina no debe ser mayor a Personas mismo grupo de edad con Antecedentes de IAM de Sección A. ")</f>
        <v/>
      </c>
      <c r="CU39" s="80" t="str">
        <f>IF($V39&lt;=$V$20,"","* Personas de 55 a 59 años Hombres, con antecedentes IAM En Tratamiento con Estatina no debe ser mayor a Personas mismo grupo de edad con Antecedentes de IAM de Sección A. ")</f>
        <v/>
      </c>
      <c r="CV39" s="80" t="str">
        <f>IF($W39&lt;=$W$20,"","* Personas de 55 a 59 años Mujeres, con antecedentes IAM En Tratamiento con Estatina no debe ser mayor a Personas mismo grupo de edad con Antecedentes de IAM de Sección A. ")</f>
        <v/>
      </c>
      <c r="CW39" s="80" t="str">
        <f>IF($X39&lt;=$X$20,"","* Personas de 60 a 64 años Hombres, con antecedentes IAM En Tratamiento con Estatina no debe ser mayor a Personas mismo grupo de edad con Antecedentes de IAM de Sección A. ")</f>
        <v/>
      </c>
      <c r="CX39" s="80" t="str">
        <f>IF($Y39&lt;=$Y$20,"","* Personas de 60 a 64 años Mujeres, con antecedentes IAM En Tratamiento con Estatina no debe ser mayor a Personas mismo grupo de edad con Antecedentes de IAM de Sección A. ")</f>
        <v/>
      </c>
      <c r="CY39" s="80" t="str">
        <f>IF($Z39&lt;=$Z$20,"","* Personas de 65 a 69 años Hombres, con antecedentes IAM En Tratamiento con Estatina no debe ser mayor a Personas mismo grupo de edad con Antecedentes de IAM de Sección A. ")</f>
        <v/>
      </c>
      <c r="CZ39" s="80" t="str">
        <f>IF($AA39&lt;=$AA$20,"","* Personas de 65 a 69 años Mujeres, con antecedentes IAM En Tratamiento con Estatina no debe ser mayor a Personas mismo grupo de edad con Antecedentes de IAM de Sección A. ")</f>
        <v/>
      </c>
      <c r="DA39" s="80" t="str">
        <f>IF($AB39&lt;=$AB$20,"","* Personas de 70 a 74 años Hombres, con antecedentes IAM En Tratamiento con Estatina no debe ser mayor a Personas mismo grupo de edad con Antecedentes de IAM de Sección A. ")</f>
        <v/>
      </c>
      <c r="DB39" s="80" t="str">
        <f>IF($AC39&lt;=$AC$20,"","* Personas de 70 a 74 años Mujeres, con antecedentes IAM En Tratamiento con Estatina no debe ser mayor a Personas mismo grupo de edad con Antecedentes de IAM de Sección A. ")</f>
        <v/>
      </c>
      <c r="DC39" s="80" t="str">
        <f>IF($AD39&lt;=$AD$20,"","* personas de 75 a 79 años Hombres, con antecedentes IAM En Tratamiento con Estatina no debe ser mayor a Personas mismo grupo de edad con Antecedentes de IAM de Sección A. ")</f>
        <v/>
      </c>
      <c r="DD39" s="80" t="str">
        <f>IF($AE39&lt;=$AE$20,"","* Personas de 75 a 79 años Mujeres, con antecedentes IAM En Tratamiento con Estatina no debe ser mayor a Personas mismo grupo de edad con Antecedentes de IAM de Sección A. ")</f>
        <v/>
      </c>
      <c r="DE39" s="80" t="str">
        <f>IF($AF39&lt;=$AF$20,"","* Personas de 80 y más años Hombres, con antecedentes IAM En Tratamiento con Estatina no debe ser mayor a Personas mismo grupo de edad con Antecedentes de IAM de Sección A. ")</f>
        <v/>
      </c>
      <c r="DF39" s="80" t="str">
        <f>IF($AG39&lt;=$AG$20,"","* Personas de 80 y más años Mujeres, con antecedentes IAM En Tratamiento con Estatina no debe ser mayor a Personas mismo grupo de edad con Antecedentes de IAM de Sección A. ")</f>
        <v/>
      </c>
      <c r="DK39" s="287">
        <f t="shared" si="26"/>
        <v>0</v>
      </c>
      <c r="DL39" s="287">
        <f t="shared" si="27"/>
        <v>0</v>
      </c>
      <c r="DM39" s="287">
        <f>IF($D$37&gt;=$AH$37,0,1)</f>
        <v>0</v>
      </c>
      <c r="DN39" s="287">
        <f t="shared" si="28"/>
        <v>0</v>
      </c>
      <c r="DO39" s="287">
        <f t="shared" si="17"/>
        <v>0</v>
      </c>
      <c r="DP39" s="287">
        <f t="shared" si="18"/>
        <v>0</v>
      </c>
      <c r="DQ39" s="287">
        <f>IF(F39&lt;=F$20,0,1)</f>
        <v>0</v>
      </c>
      <c r="DR39" s="287">
        <f t="shared" si="40"/>
        <v>0</v>
      </c>
      <c r="DS39" s="287">
        <f t="shared" si="40"/>
        <v>0</v>
      </c>
      <c r="DT39" s="287">
        <f t="shared" si="40"/>
        <v>0</v>
      </c>
      <c r="DU39" s="287">
        <f t="shared" si="40"/>
        <v>0</v>
      </c>
      <c r="DV39" s="287">
        <f t="shared" si="40"/>
        <v>0</v>
      </c>
      <c r="DW39" s="287">
        <f t="shared" si="40"/>
        <v>0</v>
      </c>
      <c r="DX39" s="287">
        <f t="shared" si="40"/>
        <v>0</v>
      </c>
      <c r="DY39" s="287">
        <f t="shared" si="40"/>
        <v>0</v>
      </c>
      <c r="DZ39" s="287">
        <f t="shared" si="40"/>
        <v>0</v>
      </c>
      <c r="EA39" s="287">
        <f t="shared" si="40"/>
        <v>0</v>
      </c>
      <c r="EB39" s="287">
        <f t="shared" si="40"/>
        <v>0</v>
      </c>
      <c r="EC39" s="287">
        <f t="shared" si="40"/>
        <v>0</v>
      </c>
      <c r="ED39" s="287">
        <f t="shared" si="40"/>
        <v>0</v>
      </c>
      <c r="EE39" s="287">
        <f t="shared" si="40"/>
        <v>0</v>
      </c>
      <c r="EF39" s="287">
        <f t="shared" si="40"/>
        <v>0</v>
      </c>
      <c r="EG39" s="287">
        <f t="shared" si="40"/>
        <v>0</v>
      </c>
      <c r="EH39" s="287">
        <f t="shared" si="40"/>
        <v>0</v>
      </c>
      <c r="EI39" s="287">
        <f t="shared" si="40"/>
        <v>0</v>
      </c>
      <c r="EJ39" s="287">
        <f t="shared" si="40"/>
        <v>0</v>
      </c>
      <c r="EK39" s="287">
        <f t="shared" si="40"/>
        <v>0</v>
      </c>
      <c r="EL39" s="287">
        <f t="shared" si="40"/>
        <v>0</v>
      </c>
      <c r="EM39" s="287">
        <f t="shared" si="40"/>
        <v>0</v>
      </c>
      <c r="EN39" s="287">
        <f t="shared" si="40"/>
        <v>0</v>
      </c>
      <c r="EO39" s="287">
        <f t="shared" si="40"/>
        <v>0</v>
      </c>
      <c r="EP39" s="287">
        <f t="shared" si="40"/>
        <v>0</v>
      </c>
      <c r="EQ39" s="287">
        <f t="shared" si="40"/>
        <v>0</v>
      </c>
      <c r="ER39" s="287">
        <f t="shared" si="40"/>
        <v>0</v>
      </c>
    </row>
    <row r="40" spans="1:148" ht="15" customHeight="1" x14ac:dyDescent="0.15">
      <c r="A40" s="2234"/>
      <c r="B40" s="362" t="s">
        <v>511</v>
      </c>
      <c r="C40" s="327">
        <f>SUM(D40:E40)</f>
        <v>0</v>
      </c>
      <c r="D40" s="105">
        <f>+F40+H40+J40+L40+N40+P40+R40+T40+V40+X40+Z40+AB40+AD40+AF40</f>
        <v>0</v>
      </c>
      <c r="E40" s="123">
        <f>+G40+I40+K40+M40+O40+Q40+S40+U40+W40+Y40+AA40+AC40+AE40+AG40</f>
        <v>0</v>
      </c>
      <c r="F40" s="1712"/>
      <c r="G40" s="1721"/>
      <c r="H40" s="1712"/>
      <c r="I40" s="1721"/>
      <c r="J40" s="1712"/>
      <c r="K40" s="1721"/>
      <c r="L40" s="1712"/>
      <c r="M40" s="1721"/>
      <c r="N40" s="1712"/>
      <c r="O40" s="1721"/>
      <c r="P40" s="1712"/>
      <c r="Q40" s="1721"/>
      <c r="R40" s="1712"/>
      <c r="S40" s="1721"/>
      <c r="T40" s="1712"/>
      <c r="U40" s="1721"/>
      <c r="V40" s="1712"/>
      <c r="W40" s="1721"/>
      <c r="X40" s="1712"/>
      <c r="Y40" s="1721"/>
      <c r="Z40" s="1712"/>
      <c r="AA40" s="1721"/>
      <c r="AB40" s="1712"/>
      <c r="AC40" s="1721"/>
      <c r="AD40" s="1712"/>
      <c r="AE40" s="1721"/>
      <c r="AF40" s="1724"/>
      <c r="AG40" s="1729"/>
      <c r="AH40" s="1710"/>
      <c r="AI40" s="1721"/>
      <c r="AJ40" s="1724"/>
      <c r="AK40" s="1721"/>
      <c r="AL40" s="32" t="str">
        <f t="shared" si="21"/>
        <v/>
      </c>
      <c r="CA40" s="80" t="str">
        <f t="shared" si="22"/>
        <v/>
      </c>
      <c r="CB40" s="80" t="str">
        <f t="shared" si="23"/>
        <v/>
      </c>
      <c r="CC40" s="80" t="str">
        <f t="shared" si="24"/>
        <v/>
      </c>
      <c r="CD40" s="80" t="str">
        <f t="shared" si="25"/>
        <v/>
      </c>
      <c r="DK40" s="287">
        <f t="shared" si="26"/>
        <v>0</v>
      </c>
      <c r="DL40" s="287">
        <f t="shared" si="27"/>
        <v>0</v>
      </c>
      <c r="DM40" s="287">
        <f>IF($D$37&gt;=$AH$37,0,1)</f>
        <v>0</v>
      </c>
      <c r="DN40" s="287">
        <f t="shared" si="28"/>
        <v>0</v>
      </c>
      <c r="DO40" s="287">
        <f t="shared" si="17"/>
        <v>0</v>
      </c>
      <c r="DP40" s="287">
        <f t="shared" si="18"/>
        <v>0</v>
      </c>
    </row>
    <row r="41" spans="1:148" ht="15" customHeight="1" x14ac:dyDescent="0.15">
      <c r="A41" s="2232" t="s">
        <v>513</v>
      </c>
      <c r="B41" s="361" t="s">
        <v>509</v>
      </c>
      <c r="C41" s="326">
        <f t="shared" ref="C41" si="42">SUM(D41:E41)</f>
        <v>0</v>
      </c>
      <c r="D41" s="103">
        <f t="shared" ref="D41:D42" si="43">+F41+H41+J41+L41+N41+P41+R41+T41+V41+X41+Z41+AB41+AD41+AF41</f>
        <v>0</v>
      </c>
      <c r="E41" s="122">
        <f t="shared" ref="E41:E42" si="44">+G41+I41+K41+M41+O41+Q41+S41+U41+W41+Y41+AA41+AC41+AE41+AG41</f>
        <v>0</v>
      </c>
      <c r="F41" s="1701"/>
      <c r="G41" s="1702"/>
      <c r="H41" s="1701"/>
      <c r="I41" s="1702"/>
      <c r="J41" s="1701"/>
      <c r="K41" s="1702"/>
      <c r="L41" s="1701"/>
      <c r="M41" s="1702"/>
      <c r="N41" s="1701"/>
      <c r="O41" s="1702"/>
      <c r="P41" s="1701"/>
      <c r="Q41" s="1702"/>
      <c r="R41" s="1701"/>
      <c r="S41" s="1702"/>
      <c r="T41" s="1701"/>
      <c r="U41" s="1702"/>
      <c r="V41" s="1701"/>
      <c r="W41" s="1702"/>
      <c r="X41" s="1701"/>
      <c r="Y41" s="1702"/>
      <c r="Z41" s="1701"/>
      <c r="AA41" s="1702"/>
      <c r="AB41" s="1701"/>
      <c r="AC41" s="1702"/>
      <c r="AD41" s="1701"/>
      <c r="AE41" s="1702"/>
      <c r="AF41" s="1730"/>
      <c r="AG41" s="1731"/>
      <c r="AH41" s="1699"/>
      <c r="AI41" s="1697"/>
      <c r="AJ41" s="1723"/>
      <c r="AK41" s="1697"/>
      <c r="AL41" s="32" t="str">
        <f t="shared" si="21"/>
        <v/>
      </c>
      <c r="CA41" s="80" t="str">
        <f t="shared" si="22"/>
        <v/>
      </c>
      <c r="CB41" s="80" t="str">
        <f t="shared" si="23"/>
        <v/>
      </c>
      <c r="CC41" s="80" t="str">
        <f t="shared" si="24"/>
        <v/>
      </c>
      <c r="CD41" s="80" t="str">
        <f t="shared" si="25"/>
        <v/>
      </c>
      <c r="CE41" s="80" t="str">
        <f>IF(F$41&lt;=F$21,"","* Personas de 15 a 19 años Hombres, con antecedentes ACV En Tratamiento con Antiagregante plaquetario no debe ser mayor a la suma de Personas con Antecedentes de ACV de Sección A. ")</f>
        <v/>
      </c>
      <c r="CF41" s="80" t="str">
        <f>IF(G$41&lt;=G$21,"","* Personas de 15 a 19 años Mujeres, con antecedentes ACV En Tratamiento con Antiagregante plaquetario no debe ser mayor a la suma de Personas con Antecedentes de ACV de Sección A. ")</f>
        <v/>
      </c>
      <c r="CG41" s="80" t="str">
        <f>IF(H$41&lt;=H$21,"","* Personas de 20 a 24 años Hombres, con antecedentes ACV En Tratamiento con Antiagregante plaquetario no debe ser mayor a la suma de Personas con Antecedentes de ACV de Sección A. ")</f>
        <v/>
      </c>
      <c r="CH41" s="80" t="str">
        <f>IF(I$41&lt;=I$21,"","* Personas de 20 a 24 años Mujeres, con antecedentes ACV En Tratamiento con Antiagregante plaquetario no debe ser mayor a la suma de Personas con Antecedentes de ACV de Sección A. ")</f>
        <v/>
      </c>
      <c r="CI41" s="80" t="str">
        <f>IF(J$41&lt;=J$21,"","* Personas de 25 a 29 años Hombres, con antecedentes ACV En Tratamiento con Antiagregante plaquetario no debe ser mayor a la suma de Personas con Antecedentes de ACV de Sección A. ")</f>
        <v/>
      </c>
      <c r="CJ41" s="80" t="str">
        <f>IF(K$41&lt;=K$21,"","* Personas de 25 a 29 años Mujeres, con antecedentes ACV En Tratamiento con Antiagregante plaquetario no debe ser mayor a la suma de Personas con Antecedentes de ACV de Sección A. ")</f>
        <v/>
      </c>
      <c r="CK41" s="80" t="str">
        <f>IF(L$41&lt;=L$21,"","* Personas de 30 a 34 años Hombres, con antecedentes ACV En Tratamiento con Antiagregante plaquetario no debe ser mayor a la suma de Personas con Antecedentes de ACV de Sección A. ")</f>
        <v/>
      </c>
      <c r="CL41" s="80" t="str">
        <f>IF(M$41&lt;=M$21,"","* Personas de 30 a 34 años Mujeres, con antecedentes ACV En Tratamiento con Antiagregante plaquetario no debe ser mayor a la suma de Personas con Antecedentes de ACV de Sección A. ")</f>
        <v/>
      </c>
      <c r="CM41" s="80" t="str">
        <f>IF(N$41&lt;=N$21,"","* Personas de 35 a 39 años Hombres, con antecedentes ACV En Tratamiento con Antiagregante plaquetario no debe ser mayor a la suma de Personas con Antecedentes de ACV de Sección A. ")</f>
        <v/>
      </c>
      <c r="CN41" s="80" t="str">
        <f>IF(O$41&lt;=O$21,"","* Personas de 35 a 39 años Mujeres, con antecedentes ACV En Tratamiento con Antiagregante plaquetario no debe ser mayor a la suma de Personas con Antecedentes de ACV de Sección A. ")</f>
        <v/>
      </c>
      <c r="CO41" s="80" t="str">
        <f>IF(P$41&lt;=P$21,"","* Personas de 40 a 44 años Hombres, con antecedentes ACV En Tratamiento con Antiagregante plaquetario no debe ser mayor a la suma de Personas con Antecedentes de ACV de Sección A. ")</f>
        <v/>
      </c>
      <c r="CP41" s="80" t="str">
        <f>IF(Q$41&lt;=Q$21,"","* Personas de 40 a 44 años Mujeres, con antecedentes ACV En Tratamiento con Antiagregante plaquetario no debe ser mayor a la suma de Personas con Antecedentes de ACV de Sección A. ")</f>
        <v/>
      </c>
      <c r="CQ41" s="80" t="str">
        <f>IF(R$41&lt;=R$21,"","* Personas de 45 a 49 años Hombres, con antecedentes ACV En Tratamiento con Antiagregante plaquetario no debe ser mayor a la suma de Personas con Antecedentes de ACV de Sección A. ")</f>
        <v/>
      </c>
      <c r="CR41" s="80" t="str">
        <f>IF(S$41&lt;=S$21,"","* Personas de 45 a 49 años Mujeres, con antecedentes ACV En Tratamiento con Antiagregante plaquetario no debe ser mayor a la suma de Personas con Antecedentes de ACV de Sección A. ")</f>
        <v/>
      </c>
      <c r="CS41" s="80" t="str">
        <f>IF(T$41&lt;=T$21,"","* Personas de 50 a 54 años Hombres, con antecedentes ACV En Tratamiento con Antiagregante plaquetario no debe ser mayor a la suma de Personas con Antecedentes de ACV de Sección A. ")</f>
        <v/>
      </c>
      <c r="CT41" s="80" t="str">
        <f>IF(U$41&lt;=U$21,"","* Personas de 50 a 54 años Mujeres, con antecedentes ACV En Tratamiento con Antiagregante plaquetario no debe ser mayor a la suma de Personas con Antecedentes de ACV de Sección A. ")</f>
        <v/>
      </c>
      <c r="CU41" s="80" t="str">
        <f>IF(V$41&lt;=V$21,"","* Personas de 55 a 59 años Hombres, con antecedentes ACV En Tratamiento con Antiagregante plaquetario no debe ser mayor a la suma de Personas con Antecedentes de ACV de Sección A. ")</f>
        <v/>
      </c>
      <c r="CV41" s="80" t="str">
        <f>IF(W$41&lt;=W$21,"","* Personas de 55 a 59 años Mujeres, con antecedentes ACV En Tratamiento con Antiagregante plaquetario no debe ser mayor a la suma de Personas con Antecedentes de ACV de Sección A. ")</f>
        <v/>
      </c>
      <c r="CW41" s="80" t="str">
        <f>IF(X$41&lt;=X$21,"","* Personas de 60 a 64 años Hombres, con antecedentes ACV En Tratamiento con Antiagregante plaquetario no debe ser mayor a la suma de Personas con Antecedentes de ACV de Sección A. ")</f>
        <v/>
      </c>
      <c r="CX41" s="80" t="str">
        <f>IF(Y$41&lt;=Y$21,"","* Personas de 60 a 64 años Mujeres, con antecedentes ACV En Tratamiento con Antiagregante plaquetario no debe ser mayor a la suma de Personas con Antecedentes de ACV de Sección A. ")</f>
        <v/>
      </c>
      <c r="CY41" s="80" t="str">
        <f>IF(Z$41&lt;=Z$21,"","* Personas de 65 a 69 años Hombres, con antecedentes ACV En Tratamiento con Antiagregante plaquetario no debe ser mayor a la suma de Personas con Antecedentes de ACV de Sección A. ")</f>
        <v/>
      </c>
      <c r="CZ41" s="80" t="str">
        <f>IF(AA$41&lt;=AA$21,"","* Personas de 65 a 69 años Mujeres, con antecedentes ACV En Tratamiento con Antiagregante plaquetario no debe ser mayor a la suma de Personas con Antecedentes de ACV de Sección A. ")</f>
        <v/>
      </c>
      <c r="DA41" s="80" t="str">
        <f>IF(AB$41&lt;=AB$21,"","* Personas de 70 a 74 años Hombres, con antecedentes ACV En Tratamiento con Antiagregante plaquetario no debe ser mayor a la suma de Personas con Antecedentes de ACV de Sección A. ")</f>
        <v/>
      </c>
      <c r="DB41" s="80" t="str">
        <f>IF(AC$41&lt;=AC$21,"","* Personas de 70 a 74 años Mujeres, con antecedentes ACV En Tratamiento con Antiagregante plaquetario no debe ser mayor a la suma de Personas con Antecedentes de ACV de Sección A. ")</f>
        <v/>
      </c>
      <c r="DC41" s="80" t="str">
        <f>IF(AD$41&lt;=AD$21,"","* Personas de 75 a 79 años Hombres, con antecedentes ACV En Tratamiento con Antiagregante plaquetario no debe ser mayor a la suma de Personas con Antecedentes de ACV de Sección A. ")</f>
        <v/>
      </c>
      <c r="DD41" s="80" t="str">
        <f>IF(AE$41&lt;=AE$21,"","* Personas de 75 a 79 años Mujeres, con antecedentes ACV En Tratamiento con Antiagregante plaquetario no debe ser mayor a la suma de Personas con Antecedentes de ACV de Sección A. ")</f>
        <v/>
      </c>
      <c r="DE41" s="80" t="str">
        <f>IF(AF$41&lt;=AF$21,"","* Personas de 80 y más años Hombres, con antecedentes ACV En Tratamiento con Antiagregante plaquetario no debe ser mayor a la suma de Personas con Antecedentes de ACV de Sección A. ")</f>
        <v/>
      </c>
      <c r="DF41" s="80" t="str">
        <f>IF(AG$41&lt;=AG$21,"","* Personas de 80 y más años Mujeres, con antecedentes ACV En Tratamiento con Antiagregante plaquetario no debe ser mayor a la suma de Personas con Antecedentes de ACV de Sección A. ")</f>
        <v/>
      </c>
      <c r="DK41" s="287">
        <f t="shared" si="26"/>
        <v>0</v>
      </c>
      <c r="DL41" s="287">
        <f t="shared" si="27"/>
        <v>0</v>
      </c>
      <c r="DM41" s="287">
        <f>IF($D$35&gt;=$AH$35,0,1)</f>
        <v>0</v>
      </c>
      <c r="DN41" s="287">
        <f t="shared" si="28"/>
        <v>0</v>
      </c>
      <c r="DO41" s="287">
        <f t="shared" si="17"/>
        <v>0</v>
      </c>
      <c r="DP41" s="287">
        <f t="shared" si="18"/>
        <v>0</v>
      </c>
      <c r="DQ41" s="287">
        <f>IF(F41&lt;=F$21,0,1)</f>
        <v>0</v>
      </c>
      <c r="DR41" s="287">
        <f t="shared" ref="DR41:ER42" si="45">IF(G41&lt;=G$21,0,1)</f>
        <v>0</v>
      </c>
      <c r="DS41" s="287">
        <f t="shared" si="45"/>
        <v>0</v>
      </c>
      <c r="DT41" s="287">
        <f t="shared" si="45"/>
        <v>0</v>
      </c>
      <c r="DU41" s="287">
        <f t="shared" si="45"/>
        <v>0</v>
      </c>
      <c r="DV41" s="287">
        <f t="shared" si="45"/>
        <v>0</v>
      </c>
      <c r="DW41" s="287">
        <f t="shared" si="45"/>
        <v>0</v>
      </c>
      <c r="DX41" s="287">
        <f t="shared" si="45"/>
        <v>0</v>
      </c>
      <c r="DY41" s="287">
        <f t="shared" si="45"/>
        <v>0</v>
      </c>
      <c r="DZ41" s="287">
        <f t="shared" si="45"/>
        <v>0</v>
      </c>
      <c r="EA41" s="287">
        <f t="shared" si="45"/>
        <v>0</v>
      </c>
      <c r="EB41" s="287">
        <f t="shared" si="45"/>
        <v>0</v>
      </c>
      <c r="EC41" s="287">
        <f t="shared" si="45"/>
        <v>0</v>
      </c>
      <c r="ED41" s="287">
        <f t="shared" si="45"/>
        <v>0</v>
      </c>
      <c r="EE41" s="287">
        <f t="shared" si="45"/>
        <v>0</v>
      </c>
      <c r="EF41" s="287">
        <f t="shared" si="45"/>
        <v>0</v>
      </c>
      <c r="EG41" s="287">
        <f t="shared" si="45"/>
        <v>0</v>
      </c>
      <c r="EH41" s="287">
        <f t="shared" si="45"/>
        <v>0</v>
      </c>
      <c r="EI41" s="287">
        <f t="shared" si="45"/>
        <v>0</v>
      </c>
      <c r="EJ41" s="287">
        <f t="shared" si="45"/>
        <v>0</v>
      </c>
      <c r="EK41" s="287">
        <f t="shared" si="45"/>
        <v>0</v>
      </c>
      <c r="EL41" s="287">
        <f t="shared" si="45"/>
        <v>0</v>
      </c>
      <c r="EM41" s="287">
        <f t="shared" si="45"/>
        <v>0</v>
      </c>
      <c r="EN41" s="287">
        <f t="shared" si="45"/>
        <v>0</v>
      </c>
      <c r="EO41" s="287">
        <f t="shared" si="45"/>
        <v>0</v>
      </c>
      <c r="EP41" s="287">
        <f t="shared" si="45"/>
        <v>0</v>
      </c>
      <c r="EQ41" s="287">
        <f t="shared" si="45"/>
        <v>0</v>
      </c>
      <c r="ER41" s="287">
        <f t="shared" si="45"/>
        <v>0</v>
      </c>
    </row>
    <row r="42" spans="1:148" ht="15" customHeight="1" x14ac:dyDescent="0.15">
      <c r="A42" s="2233"/>
      <c r="B42" s="361" t="s">
        <v>510</v>
      </c>
      <c r="C42" s="375">
        <f>SUM(D42:E42)</f>
        <v>0</v>
      </c>
      <c r="D42" s="104">
        <f t="shared" si="43"/>
        <v>0</v>
      </c>
      <c r="E42" s="254">
        <f t="shared" si="44"/>
        <v>0</v>
      </c>
      <c r="F42" s="1716"/>
      <c r="G42" s="1717"/>
      <c r="H42" s="1716"/>
      <c r="I42" s="1717"/>
      <c r="J42" s="1716"/>
      <c r="K42" s="1717"/>
      <c r="L42" s="1716"/>
      <c r="M42" s="1717"/>
      <c r="N42" s="1716"/>
      <c r="O42" s="1717"/>
      <c r="P42" s="1716"/>
      <c r="Q42" s="1717"/>
      <c r="R42" s="1716"/>
      <c r="S42" s="1717"/>
      <c r="T42" s="1716"/>
      <c r="U42" s="1717"/>
      <c r="V42" s="1716"/>
      <c r="W42" s="1717"/>
      <c r="X42" s="1716"/>
      <c r="Y42" s="1717"/>
      <c r="Z42" s="1716"/>
      <c r="AA42" s="1717"/>
      <c r="AB42" s="1716"/>
      <c r="AC42" s="1717"/>
      <c r="AD42" s="1716"/>
      <c r="AE42" s="1717"/>
      <c r="AF42" s="1728"/>
      <c r="AG42" s="1732"/>
      <c r="AH42" s="1719"/>
      <c r="AI42" s="1717"/>
      <c r="AJ42" s="1728"/>
      <c r="AK42" s="1717"/>
      <c r="AL42" s="32" t="str">
        <f t="shared" si="21"/>
        <v/>
      </c>
      <c r="CA42" s="80" t="str">
        <f t="shared" si="22"/>
        <v/>
      </c>
      <c r="CB42" s="80" t="str">
        <f t="shared" si="23"/>
        <v/>
      </c>
      <c r="CC42" s="80" t="str">
        <f t="shared" si="24"/>
        <v/>
      </c>
      <c r="CD42" s="80" t="str">
        <f t="shared" si="25"/>
        <v/>
      </c>
      <c r="CE42" s="80" t="str">
        <f>IF(F42&lt;=F$21,"","* Personas de 15 a 19 años Hombres, con antecedentes ACV En Tratamiento con Estatina no debe ser mayor a la suma de Personas con Antecedentes de ACV de Sección A. ")</f>
        <v/>
      </c>
      <c r="CF42" s="80" t="str">
        <f>IF(G42&lt;=G$21,"","* Personas de 15 a 19 años Mujeres, con antecedentes ACV En Tratamiento con Estatina no debe ser mayor a la suma de Personas con Antecedentes de ACV de Sección A. ")</f>
        <v/>
      </c>
      <c r="CG42" s="80" t="str">
        <f>IF(H42&lt;=H$21,"","* Personas de 20 a 24 años Hombres, con antecedentes ACV En Tratamiento con Estatina no debe ser mayor a la suma de Personas con Antecedentes de ACV de Sección A. ")</f>
        <v/>
      </c>
      <c r="CH42" s="80" t="str">
        <f>IF(I42&lt;=I$21,"","* Personas de 20 a 24 años Mujeres, con antecedentes ACV En Tratamiento con Estatina no debe ser mayor a la suma de Personas con Antecedentes de ACV de Sección A. ")</f>
        <v/>
      </c>
      <c r="CI42" s="80" t="str">
        <f>IF(J42&lt;=J$21,"","* Personas de 25 a 29 años Hombres, con antecedentes ACV En Tratamiento con Estatina no debe ser mayor a la suma de Personas con Antecedentes de ACV de Sección A. ")</f>
        <v/>
      </c>
      <c r="CJ42" s="80" t="str">
        <f>IF(K42&lt;=K$21,"","* Personas de 25 a 29 años Mujeres, con antecedentes ACV En Tratamiento con Estatina no debe ser mayor a la suma de Personas con Antecedentes de ACV de Sección A. ")</f>
        <v/>
      </c>
      <c r="CK42" s="80" t="str">
        <f>IF(L42&lt;=L$21,"","* Personas de 30 a 34 años Hombres, con antecedentes ACV En Tratamiento con Estatina no debe ser mayor a la suma de Personas con Antecedentes de ACV de Sección A. ")</f>
        <v/>
      </c>
      <c r="CL42" s="80" t="str">
        <f>IF(M42&lt;=M$21,"","* Personas de 30 a 34 años Mujeres, con antecedentes ACV En Tratamiento con Estatina no debe ser mayor a la suma de Personas con Antecedentes de ACV de Sección A. ")</f>
        <v/>
      </c>
      <c r="CM42" s="80" t="str">
        <f>IF(N42&lt;=N$21,"","* Personas de 35 a 39 años Hombres, con antecedentes ACV En Tratamiento con Estatina no debe ser mayor a la suma de Personas con Antecedentes de ACV de Sección A. ")</f>
        <v/>
      </c>
      <c r="CN42" s="80" t="str">
        <f>IF(O42&lt;=O$21,"","* Personas de 35 a 39 años Mujeres, con antecedentes ACV En Tratamiento con Estatina no debe ser mayor a la suma de Personas con Antecedentes de ACV de Sección A. ")</f>
        <v/>
      </c>
      <c r="CO42" s="80" t="str">
        <f>IF(P42&lt;=P$21,"","* Personas de 40 a 44 años Hombres, con antecedentes ACV En Tratamiento con Estatina no debe ser mayor a la suma de Personas con Antecedentes de ACV de Sección A. ")</f>
        <v/>
      </c>
      <c r="CP42" s="80" t="str">
        <f>IF(Q42&lt;=Q$21,"","* Personas de 40 a 44 años Mujeres, con antecedentes ACV En Tratamiento con Estatina no debe ser mayor a la suma de Personas con Antecedentes de ACV de Sección A. ")</f>
        <v/>
      </c>
      <c r="CQ42" s="80" t="str">
        <f>IF(R42&lt;=R$21,"","* Personas de 45 a 49 años Hombres, con antecedentes ACV En Tratamiento con Estatina no debe ser mayor a la suma de Personas con Antecedentes de ACV de Sección A. ")</f>
        <v/>
      </c>
      <c r="CR42" s="80" t="str">
        <f>IF(S42&lt;=S$21,"","* Personas de 45 a 49 años Mujeres, con antecedentes ACV En Tratamiento con Estatina no debe ser mayor a la suma de Personas con Antecedentes de ACV de Sección A. ")</f>
        <v/>
      </c>
      <c r="CS42" s="80" t="str">
        <f>IF(T42&lt;=T$21,"","* Personas de 50 a 54 años Hombres, con antecedentes ACV En Tratamiento con Estatina no debe ser mayor a la suma de Personas con Antecedentes de ACV de Sección A. ")</f>
        <v/>
      </c>
      <c r="CT42" s="80" t="str">
        <f>IF(U42&lt;=U$21,"","* Personas de 50 a 54 años Mujeres, con antecedentes ACV En Tratamiento con Estatina no debe ser mayor a la suma de Personas con Antecedentes de ACV de Sección A. ")</f>
        <v/>
      </c>
      <c r="CU42" s="80" t="str">
        <f>IF(V42&lt;=V$21,"","* Personas de 55 a 59 años Hombres, con antecedentes ACV En Tratamiento con Estatina no debe ser mayor a la suma de Personas con Antecedentes de ACV de Sección A. ")</f>
        <v/>
      </c>
      <c r="CV42" s="80" t="str">
        <f>IF(W42&lt;=W$21,"","* Personas de 55 a 59 años Mujeres, con antecedentes ACV En Tratamiento con Estatina no debe ser mayor a la suma de Personas con Antecedentes de ACV de Sección A. ")</f>
        <v/>
      </c>
      <c r="CW42" s="80" t="str">
        <f>IF(X42&lt;=X$21,"","* Personas de 60 a 64 años Hombres, con antecedentes ACV En Tratamiento con Estatina no debe ser mayor a la suma de Personas con Antecedentes de ACV de Sección A. ")</f>
        <v/>
      </c>
      <c r="CX42" s="80" t="str">
        <f>IF(Y42&lt;=Y$21,"","* Personas de 60 a 64 años Mujeres, con antecedentes ACV En Tratamiento con Estatina no debe ser mayor a la suma de Personas con Antecedentes de ACV de Sección A. ")</f>
        <v/>
      </c>
      <c r="CY42" s="80" t="str">
        <f>IF(Z42&lt;=Z$21,"","* Personas de 65 a 69 años Hombres, con antecedentes ACV En Tratamiento con Estatina no debe ser mayor a la suma de Personas con Antecedentes de ACV de Sección A. ")</f>
        <v/>
      </c>
      <c r="CZ42" s="80" t="str">
        <f>IF(AA42&lt;=AA$21,"","* Personas de 65 a 69 años Mujeres, con antecedentes ACV En Tratamiento con Estatina no debe ser mayor a la suma de Personas con Antecedentes de ACV de Sección A. ")</f>
        <v/>
      </c>
      <c r="DA42" s="80" t="str">
        <f>IF(AB42&lt;=AB$21,"","* Personas de 70 a 74 años Hombres, con antecedentes ACV En Tratamiento con Estatina no debe ser mayor a la suma de Personas con Antecedentes de ACV de Sección A. ")</f>
        <v/>
      </c>
      <c r="DB42" s="80" t="str">
        <f>IF(AC42&lt;=AC$21,"","* Personas de 70 a 74 años Mujeres, con antecedentes ACV En Tratamiento con Estatina no debe ser mayor a la suma de Personas con Antecedentes de ACV de Sección A. ")</f>
        <v/>
      </c>
      <c r="DC42" s="80" t="str">
        <f>IF(AD42&lt;=AD$21,"","* Personas de 75 a 79 años Hombres, con antecedentes ACV En Tratamiento con Estatina no debe ser mayor a la suma de Personas con Antecedentes de ACV de Sección A. ")</f>
        <v/>
      </c>
      <c r="DD42" s="80" t="str">
        <f>IF(AE42&lt;=AE$21,"","* Personas de 75 a 79 años Mujeres, con antecedentes ACV En Tratamiento con Estatina no debe ser mayor a la suma de Personas con Antecedentes de ACV de Sección A. ")</f>
        <v/>
      </c>
      <c r="DE42" s="80" t="str">
        <f>IF(AF42&lt;=AF$21,"","* Personas de 80 y más años Hombres, con antecedentes ACV En Tratamiento con Estatina no debe ser mayor a la suma de Personas con Antecedentes de ACV de Sección A. ")</f>
        <v/>
      </c>
      <c r="DF42" s="80" t="str">
        <f>IF(AG42&lt;=AG$21,"","* Personas de 80 y más años Mujeres, con antecedentes ACV En Tratamiento con Estatina no debe ser mayor a la suma de Personas con Antecedentes de ACV de Sección A. ")</f>
        <v/>
      </c>
      <c r="DK42" s="287">
        <f t="shared" si="26"/>
        <v>0</v>
      </c>
      <c r="DL42" s="287">
        <f t="shared" si="27"/>
        <v>0</v>
      </c>
      <c r="DM42" s="287">
        <f>IF($D$37&gt;=$AH$37,0,1)</f>
        <v>0</v>
      </c>
      <c r="DN42" s="287">
        <f t="shared" si="28"/>
        <v>0</v>
      </c>
      <c r="DO42" s="287">
        <f t="shared" si="17"/>
        <v>0</v>
      </c>
      <c r="DP42" s="287">
        <f t="shared" si="18"/>
        <v>0</v>
      </c>
      <c r="DQ42" s="287">
        <f>IF(F42&lt;=F$21,0,1)</f>
        <v>0</v>
      </c>
      <c r="DR42" s="287">
        <f t="shared" si="45"/>
        <v>0</v>
      </c>
      <c r="DS42" s="287">
        <f t="shared" si="45"/>
        <v>0</v>
      </c>
      <c r="DT42" s="287">
        <f t="shared" si="45"/>
        <v>0</v>
      </c>
      <c r="DU42" s="287">
        <f t="shared" si="45"/>
        <v>0</v>
      </c>
      <c r="DV42" s="287">
        <f t="shared" si="45"/>
        <v>0</v>
      </c>
      <c r="DW42" s="287">
        <f t="shared" si="45"/>
        <v>0</v>
      </c>
      <c r="DX42" s="287">
        <f t="shared" si="45"/>
        <v>0</v>
      </c>
      <c r="DY42" s="287">
        <f t="shared" si="45"/>
        <v>0</v>
      </c>
      <c r="DZ42" s="287">
        <f t="shared" si="45"/>
        <v>0</v>
      </c>
      <c r="EA42" s="287">
        <f t="shared" si="45"/>
        <v>0</v>
      </c>
      <c r="EB42" s="287">
        <f t="shared" si="45"/>
        <v>0</v>
      </c>
      <c r="EC42" s="287">
        <f t="shared" si="45"/>
        <v>0</v>
      </c>
      <c r="ED42" s="287">
        <f t="shared" si="45"/>
        <v>0</v>
      </c>
      <c r="EE42" s="287">
        <f t="shared" si="45"/>
        <v>0</v>
      </c>
      <c r="EF42" s="287">
        <f t="shared" si="45"/>
        <v>0</v>
      </c>
      <c r="EG42" s="287">
        <f t="shared" si="45"/>
        <v>0</v>
      </c>
      <c r="EH42" s="287">
        <f t="shared" si="45"/>
        <v>0</v>
      </c>
      <c r="EI42" s="287">
        <f t="shared" si="45"/>
        <v>0</v>
      </c>
      <c r="EJ42" s="287">
        <f t="shared" si="45"/>
        <v>0</v>
      </c>
      <c r="EK42" s="287">
        <f t="shared" si="45"/>
        <v>0</v>
      </c>
      <c r="EL42" s="287">
        <f t="shared" si="45"/>
        <v>0</v>
      </c>
      <c r="EM42" s="287">
        <f t="shared" si="45"/>
        <v>0</v>
      </c>
      <c r="EN42" s="287">
        <f t="shared" si="45"/>
        <v>0</v>
      </c>
      <c r="EO42" s="287">
        <f t="shared" si="45"/>
        <v>0</v>
      </c>
      <c r="EP42" s="287">
        <f t="shared" si="45"/>
        <v>0</v>
      </c>
      <c r="EQ42" s="287">
        <f t="shared" si="45"/>
        <v>0</v>
      </c>
      <c r="ER42" s="287">
        <f t="shared" si="45"/>
        <v>0</v>
      </c>
    </row>
    <row r="43" spans="1:148" ht="15" customHeight="1" x14ac:dyDescent="0.15">
      <c r="A43" s="2234"/>
      <c r="B43" s="362" t="s">
        <v>511</v>
      </c>
      <c r="C43" s="327">
        <f>SUM(D43:E43)</f>
        <v>0</v>
      </c>
      <c r="D43" s="105">
        <f>+F43+H43+J43+L43+N43+P43+R43+T43+V43+X43+Z43+AB43+AD43+AF43</f>
        <v>0</v>
      </c>
      <c r="E43" s="123">
        <f>+G43+I43+K43+M43+O43+Q43+S43+U43+W43+Y43+AA43+AC43+AE43+AG43</f>
        <v>0</v>
      </c>
      <c r="F43" s="1712"/>
      <c r="G43" s="1721"/>
      <c r="H43" s="1712"/>
      <c r="I43" s="1721"/>
      <c r="J43" s="1712"/>
      <c r="K43" s="1721"/>
      <c r="L43" s="1712"/>
      <c r="M43" s="1721"/>
      <c r="N43" s="1712"/>
      <c r="O43" s="1721"/>
      <c r="P43" s="1712"/>
      <c r="Q43" s="1721"/>
      <c r="R43" s="1712"/>
      <c r="S43" s="1721"/>
      <c r="T43" s="1712"/>
      <c r="U43" s="1721"/>
      <c r="V43" s="1712"/>
      <c r="W43" s="1721"/>
      <c r="X43" s="1712"/>
      <c r="Y43" s="1721"/>
      <c r="Z43" s="1712"/>
      <c r="AA43" s="1721"/>
      <c r="AB43" s="1712"/>
      <c r="AC43" s="1721"/>
      <c r="AD43" s="1712"/>
      <c r="AE43" s="1721"/>
      <c r="AF43" s="1724"/>
      <c r="AG43" s="1729"/>
      <c r="AH43" s="1710"/>
      <c r="AI43" s="1721"/>
      <c r="AJ43" s="1724"/>
      <c r="AK43" s="1721"/>
      <c r="AL43" s="32" t="str">
        <f>CA43&amp;CB43&amp; CC43 &amp; CD43 &amp; CE43 &amp; CF43 &amp; CG43 &amp; CH43 &amp; CI43 &amp; CJ43 &amp; CK43 &amp; CL43 &amp; CM43 &amp; CN43 &amp; CO43 &amp; CP43 &amp; CQ43 &amp; CR43 &amp; CS43 &amp; CT43 &amp; CU43 &amp; CV43 &amp; CW43 &amp; CX43 &amp; CY43 &amp; CZ43 &amp; DA43 &amp; DB43 &amp; DC43 &amp; DE43 &amp; DF43 &amp;DD43</f>
        <v/>
      </c>
      <c r="CA43" s="80" t="str">
        <f t="shared" si="22"/>
        <v/>
      </c>
      <c r="CB43" s="80" t="str">
        <f t="shared" si="23"/>
        <v/>
      </c>
      <c r="CC43" s="80" t="str">
        <f t="shared" si="24"/>
        <v/>
      </c>
      <c r="CD43" s="80" t="str">
        <f>IF(AND(E43&gt;0,OR(AK43=""))," * No olvide digitar la variable Migrantes Mujeres. Digite Cero si no tiene.",IF(AK43&gt;E43," * La variable Migrantes Mujeres no puede ser Mayor al Total Mujeres.",""))</f>
        <v/>
      </c>
      <c r="DK43" s="287">
        <f t="shared" si="26"/>
        <v>0</v>
      </c>
      <c r="DL43" s="287">
        <f t="shared" si="27"/>
        <v>0</v>
      </c>
      <c r="DM43" s="287">
        <f>IF($D$37&gt;=$AH$37,0,1)</f>
        <v>0</v>
      </c>
      <c r="DN43" s="287">
        <f t="shared" si="28"/>
        <v>0</v>
      </c>
      <c r="DO43" s="287">
        <f t="shared" si="17"/>
        <v>0</v>
      </c>
      <c r="DP43" s="287">
        <f t="shared" si="18"/>
        <v>0</v>
      </c>
    </row>
    <row r="44" spans="1:148" ht="17.100000000000001" customHeight="1" x14ac:dyDescent="0.15">
      <c r="A44" s="1777" t="s">
        <v>514</v>
      </c>
      <c r="B44" s="215"/>
      <c r="C44" s="253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AK44" s="395"/>
    </row>
    <row r="45" spans="1:148" ht="20.25" customHeight="1" x14ac:dyDescent="0.15">
      <c r="A45" s="2192" t="s">
        <v>515</v>
      </c>
      <c r="B45" s="2193"/>
      <c r="C45" s="2150" t="s">
        <v>486</v>
      </c>
      <c r="D45" s="2156"/>
      <c r="E45" s="2151"/>
      <c r="F45" s="2161" t="s">
        <v>370</v>
      </c>
      <c r="G45" s="2162"/>
      <c r="H45" s="2162"/>
      <c r="I45" s="2162"/>
      <c r="J45" s="2162"/>
      <c r="K45" s="2162"/>
      <c r="L45" s="2162"/>
      <c r="M45" s="2162"/>
      <c r="N45" s="2162"/>
      <c r="O45" s="2162"/>
      <c r="P45" s="2162"/>
      <c r="Q45" s="2162"/>
      <c r="R45" s="2162"/>
      <c r="S45" s="2162"/>
      <c r="T45" s="2162"/>
      <c r="U45" s="2162"/>
      <c r="V45" s="2162"/>
      <c r="W45" s="2162"/>
      <c r="X45" s="2162"/>
      <c r="Y45" s="2162"/>
      <c r="Z45" s="2162"/>
      <c r="AA45" s="2162"/>
      <c r="AB45" s="2162"/>
      <c r="AC45" s="2162"/>
      <c r="AD45" s="2162"/>
      <c r="AE45" s="2162"/>
      <c r="AF45" s="2162"/>
      <c r="AG45" s="2198"/>
      <c r="AH45" s="2176" t="s">
        <v>51</v>
      </c>
      <c r="AI45" s="2177"/>
      <c r="AJ45" s="2180" t="s">
        <v>52</v>
      </c>
      <c r="AK45" s="2177"/>
      <c r="CA45" s="2173"/>
      <c r="CB45" s="2173"/>
      <c r="CC45" s="2173"/>
      <c r="CD45" s="2173"/>
      <c r="CI45" s="2173"/>
      <c r="CJ45" s="2173"/>
      <c r="DK45" s="2173"/>
      <c r="DL45" s="2173"/>
      <c r="DM45" s="2173"/>
      <c r="DN45" s="2173"/>
      <c r="DU45" s="76"/>
      <c r="DV45" s="76"/>
    </row>
    <row r="46" spans="1:148" ht="18.75" customHeight="1" x14ac:dyDescent="0.15">
      <c r="A46" s="2194"/>
      <c r="B46" s="2195"/>
      <c r="C46" s="2154"/>
      <c r="D46" s="2157"/>
      <c r="E46" s="2155"/>
      <c r="F46" s="2163" t="s">
        <v>57</v>
      </c>
      <c r="G46" s="2164"/>
      <c r="H46" s="2230" t="s">
        <v>58</v>
      </c>
      <c r="I46" s="2231"/>
      <c r="J46" s="2160" t="s">
        <v>59</v>
      </c>
      <c r="K46" s="2160"/>
      <c r="L46" s="2158" t="s">
        <v>60</v>
      </c>
      <c r="M46" s="2159"/>
      <c r="N46" s="2160" t="s">
        <v>61</v>
      </c>
      <c r="O46" s="2160"/>
      <c r="P46" s="2158" t="s">
        <v>62</v>
      </c>
      <c r="Q46" s="2159"/>
      <c r="R46" s="2160" t="s">
        <v>63</v>
      </c>
      <c r="S46" s="2160"/>
      <c r="T46" s="2158" t="s">
        <v>64</v>
      </c>
      <c r="U46" s="2159"/>
      <c r="V46" s="2160" t="s">
        <v>65</v>
      </c>
      <c r="W46" s="2160"/>
      <c r="X46" s="2158" t="s">
        <v>66</v>
      </c>
      <c r="Y46" s="2159"/>
      <c r="Z46" s="2165" t="s">
        <v>67</v>
      </c>
      <c r="AA46" s="2166"/>
      <c r="AB46" s="2165" t="s">
        <v>396</v>
      </c>
      <c r="AC46" s="2166"/>
      <c r="AD46" s="2165" t="s">
        <v>397</v>
      </c>
      <c r="AE46" s="2166"/>
      <c r="AF46" s="2165" t="s">
        <v>398</v>
      </c>
      <c r="AG46" s="2166"/>
      <c r="AH46" s="2178"/>
      <c r="AI46" s="2179"/>
      <c r="AJ46" s="2181"/>
      <c r="AK46" s="2179"/>
      <c r="CA46" s="2173"/>
      <c r="CB46" s="2173"/>
      <c r="CC46" s="2173"/>
      <c r="CD46" s="2173"/>
      <c r="CI46" s="2173"/>
      <c r="CJ46" s="2173"/>
      <c r="DK46" s="2173"/>
      <c r="DL46" s="2173"/>
      <c r="DM46" s="2173"/>
      <c r="DN46" s="2173"/>
      <c r="DU46" s="76"/>
      <c r="DV46" s="76"/>
    </row>
    <row r="47" spans="1:148" ht="32.25" customHeight="1" x14ac:dyDescent="0.15">
      <c r="A47" s="2196"/>
      <c r="B47" s="2197"/>
      <c r="C47" s="400" t="s">
        <v>399</v>
      </c>
      <c r="D47" s="404" t="s">
        <v>86</v>
      </c>
      <c r="E47" s="405" t="s">
        <v>225</v>
      </c>
      <c r="F47" s="353" t="s">
        <v>86</v>
      </c>
      <c r="G47" s="405" t="s">
        <v>225</v>
      </c>
      <c r="H47" s="353" t="s">
        <v>86</v>
      </c>
      <c r="I47" s="405" t="s">
        <v>225</v>
      </c>
      <c r="J47" s="353" t="s">
        <v>86</v>
      </c>
      <c r="K47" s="405" t="s">
        <v>225</v>
      </c>
      <c r="L47" s="353" t="s">
        <v>86</v>
      </c>
      <c r="M47" s="405" t="s">
        <v>225</v>
      </c>
      <c r="N47" s="353" t="s">
        <v>86</v>
      </c>
      <c r="O47" s="405" t="s">
        <v>225</v>
      </c>
      <c r="P47" s="353" t="s">
        <v>86</v>
      </c>
      <c r="Q47" s="405" t="s">
        <v>225</v>
      </c>
      <c r="R47" s="353" t="s">
        <v>86</v>
      </c>
      <c r="S47" s="405" t="s">
        <v>225</v>
      </c>
      <c r="T47" s="353" t="s">
        <v>86</v>
      </c>
      <c r="U47" s="405" t="s">
        <v>225</v>
      </c>
      <c r="V47" s="353" t="s">
        <v>86</v>
      </c>
      <c r="W47" s="405" t="s">
        <v>225</v>
      </c>
      <c r="X47" s="353" t="s">
        <v>86</v>
      </c>
      <c r="Y47" s="405" t="s">
        <v>225</v>
      </c>
      <c r="Z47" s="353" t="s">
        <v>400</v>
      </c>
      <c r="AA47" s="405" t="s">
        <v>225</v>
      </c>
      <c r="AB47" s="353" t="s">
        <v>400</v>
      </c>
      <c r="AC47" s="405" t="s">
        <v>225</v>
      </c>
      <c r="AD47" s="353" t="s">
        <v>400</v>
      </c>
      <c r="AE47" s="405" t="s">
        <v>225</v>
      </c>
      <c r="AF47" s="352" t="s">
        <v>400</v>
      </c>
      <c r="AG47" s="259" t="s">
        <v>225</v>
      </c>
      <c r="AH47" s="261" t="s">
        <v>86</v>
      </c>
      <c r="AI47" s="260" t="s">
        <v>225</v>
      </c>
      <c r="AJ47" s="410" t="s">
        <v>86</v>
      </c>
      <c r="AK47" s="260" t="s">
        <v>225</v>
      </c>
      <c r="CA47" s="41"/>
      <c r="CB47" s="41"/>
      <c r="CC47" s="41"/>
      <c r="CD47" s="41"/>
      <c r="CI47" s="290"/>
      <c r="CJ47" s="290"/>
      <c r="DK47" s="41"/>
      <c r="DL47" s="41"/>
      <c r="DM47" s="41"/>
      <c r="DN47" s="41"/>
      <c r="DU47" s="290"/>
      <c r="DV47" s="290"/>
    </row>
    <row r="48" spans="1:148" ht="15" customHeight="1" x14ac:dyDescent="0.15">
      <c r="A48" s="412" t="s">
        <v>516</v>
      </c>
      <c r="B48" s="413"/>
      <c r="C48" s="2189"/>
      <c r="D48" s="2190"/>
      <c r="E48" s="2190"/>
      <c r="F48" s="2190"/>
      <c r="G48" s="2190"/>
      <c r="H48" s="2190"/>
      <c r="I48" s="2190"/>
      <c r="J48" s="2190"/>
      <c r="K48" s="2190"/>
      <c r="L48" s="2190"/>
      <c r="M48" s="2190"/>
      <c r="N48" s="2190"/>
      <c r="O48" s="2190"/>
      <c r="P48" s="2190"/>
      <c r="Q48" s="2190"/>
      <c r="R48" s="2190"/>
      <c r="S48" s="2190"/>
      <c r="T48" s="2190"/>
      <c r="U48" s="2190"/>
      <c r="V48" s="2190"/>
      <c r="W48" s="2190"/>
      <c r="X48" s="2190"/>
      <c r="Y48" s="2190"/>
      <c r="Z48" s="2190"/>
      <c r="AA48" s="2190"/>
      <c r="AB48" s="2190"/>
      <c r="AC48" s="2190"/>
      <c r="AD48" s="2190"/>
      <c r="AE48" s="2190"/>
      <c r="AF48" s="2190"/>
      <c r="AG48" s="2190"/>
      <c r="AH48" s="2190"/>
      <c r="AI48" s="2190"/>
      <c r="AJ48" s="2190"/>
      <c r="AK48" s="2191"/>
    </row>
    <row r="49" spans="1:118" ht="15" customHeight="1" x14ac:dyDescent="0.15">
      <c r="A49" s="2217" t="s">
        <v>517</v>
      </c>
      <c r="B49" s="2218"/>
      <c r="C49" s="329">
        <f>SUM(D49:E49)</f>
        <v>0</v>
      </c>
      <c r="D49" s="106">
        <f>+F49+H49+J49+L49+N49+P49+R49+T49+V49+X49+Z49+AB49+AD49+AF49</f>
        <v>0</v>
      </c>
      <c r="E49" s="262">
        <f>+G49+I49+K49+M49+O49+Q49+S49+U49+W49+Y49+AA49+AC49+AE49+AG49</f>
        <v>0</v>
      </c>
      <c r="F49" s="1696"/>
      <c r="G49" s="1697"/>
      <c r="H49" s="1701"/>
      <c r="I49" s="1702"/>
      <c r="J49" s="1701"/>
      <c r="K49" s="1702"/>
      <c r="L49" s="1701"/>
      <c r="M49" s="1702"/>
      <c r="N49" s="1701"/>
      <c r="O49" s="1702"/>
      <c r="P49" s="1701"/>
      <c r="Q49" s="1702"/>
      <c r="R49" s="1701"/>
      <c r="S49" s="1702"/>
      <c r="T49" s="1701"/>
      <c r="U49" s="1702"/>
      <c r="V49" s="1701"/>
      <c r="W49" s="1702"/>
      <c r="X49" s="1701"/>
      <c r="Y49" s="1702"/>
      <c r="Z49" s="1701"/>
      <c r="AA49" s="1702"/>
      <c r="AB49" s="1701"/>
      <c r="AC49" s="1702"/>
      <c r="AD49" s="1701"/>
      <c r="AE49" s="1702"/>
      <c r="AF49" s="1730"/>
      <c r="AG49" s="1698"/>
      <c r="AH49" s="1730"/>
      <c r="AI49" s="1702"/>
      <c r="AJ49" s="1730"/>
      <c r="AK49" s="1702"/>
      <c r="AL49" s="48" t="str">
        <f>CA49&amp;CB49&amp;CC49&amp;CD49</f>
        <v/>
      </c>
      <c r="CA49" s="80" t="str">
        <f>IF(AND(D49&gt;0,OR(AH49=""))," * No olvide digitar la variable Pueblos Originarios Hombres. Digite Cero si no tiene.",IF(AH49&gt;D49," * La variable Pueblos Originarios Hombres no puede ser Mayor al Total Hombres.",""))</f>
        <v/>
      </c>
      <c r="CB49" s="80" t="str">
        <f>IF(AND(E49&gt;0,OR(AI49=""))," * No olvide digitar la variable Pueblos Originarios Mujeres. Digite Cero si no tiene.",IF(AI49&gt;E49," * La variable Pueblos Originarios Mujeres no puede ser Mayor al Total Mujeres.",""))</f>
        <v/>
      </c>
      <c r="CC49" s="80" t="str">
        <f>IF(AND($D49&gt;0,OR(AJ49=""))," * No olvide digitar la variable Migrantes Hombres. Digite Cero si no tiene.",IF(AJ49&gt;$D49," * La variable Migrantes Hombres no puede ser Mayor al Total Hombres.",""))</f>
        <v/>
      </c>
      <c r="CD49" s="80" t="str">
        <f>IF(AND(E49&gt;0,OR(AK49=""))," * No olvide digitar la variable Migrantes Mujeres. Digite Cero si no tiene.",IF(AK49&gt;E49," * La variable Migrantes Mujeres no puede ser Mayor al Total Mujeres.",""))</f>
        <v/>
      </c>
      <c r="DK49" s="287">
        <f t="shared" ref="DK49:DK97" si="46">IF(AND(D49&gt;0,OR(AH49="")),1,IF(AH49&gt;D49,1,0))</f>
        <v>0</v>
      </c>
      <c r="DL49" s="287">
        <f t="shared" ref="DL49:DL97" si="47">IF(AND(E49&gt;0,OR(AI49="")),1,IF(AI49&gt;E49,1,0))</f>
        <v>0</v>
      </c>
      <c r="DM49" s="287">
        <f t="shared" ref="DM49:DM97" si="48">IF(AND(D49&gt;0,OR(AJ49="")),1,IF(AJ49&gt;D49,1,0))</f>
        <v>0</v>
      </c>
      <c r="DN49" s="287">
        <f t="shared" ref="DN49:DN97" si="49">IF(AND(E49&gt;0,OR(AK49="")),1,IF(AK49&gt;E49,1,0))</f>
        <v>0</v>
      </c>
    </row>
    <row r="50" spans="1:118" ht="15" customHeight="1" x14ac:dyDescent="0.15">
      <c r="A50" s="2145" t="s">
        <v>518</v>
      </c>
      <c r="B50" s="2146"/>
      <c r="C50" s="331">
        <f t="shared" ref="C50:C73" si="50">SUM(D50:E50)</f>
        <v>0</v>
      </c>
      <c r="D50" s="107">
        <f t="shared" ref="D50:D73" si="51">+F50+H50+J50+L50+N50+P50+R50+T50+V50+X50+Z50+AB50+AD50+AF50</f>
        <v>0</v>
      </c>
      <c r="E50" s="118">
        <f t="shared" ref="E50:E73" si="52">+G50+I50+K50+M50+O50+Q50+S50+U50+W50+Y50+AA50+AC50+AE50+AG50</f>
        <v>0</v>
      </c>
      <c r="F50" s="1706"/>
      <c r="G50" s="1713"/>
      <c r="H50" s="1706"/>
      <c r="I50" s="1713"/>
      <c r="J50" s="1706"/>
      <c r="K50" s="1713"/>
      <c r="L50" s="1706"/>
      <c r="M50" s="1713"/>
      <c r="N50" s="1706"/>
      <c r="O50" s="1713"/>
      <c r="P50" s="1706"/>
      <c r="Q50" s="1713"/>
      <c r="R50" s="1706"/>
      <c r="S50" s="1713"/>
      <c r="T50" s="1706"/>
      <c r="U50" s="1713"/>
      <c r="V50" s="1706"/>
      <c r="W50" s="1713"/>
      <c r="X50" s="1706"/>
      <c r="Y50" s="1713"/>
      <c r="Z50" s="1706"/>
      <c r="AA50" s="1713"/>
      <c r="AB50" s="1706"/>
      <c r="AC50" s="1713"/>
      <c r="AD50" s="1706"/>
      <c r="AE50" s="1713"/>
      <c r="AF50" s="1725"/>
      <c r="AG50" s="1714"/>
      <c r="AH50" s="1730"/>
      <c r="AI50" s="1702"/>
      <c r="AJ50" s="1730"/>
      <c r="AK50" s="1702"/>
      <c r="AL50" s="48" t="str">
        <f t="shared" ref="AL50:AL97" si="53">CA50&amp;CB50&amp;CC50&amp;CD50</f>
        <v/>
      </c>
      <c r="CA50" s="80" t="str">
        <f t="shared" ref="CA50:CA74" si="54">IF(AND(D50&gt;0,OR(AH50=""))," * No olvide digitar la variable Pueblos Originarios Hombres. Digite Cero si no tiene.",IF(AH50&gt;D50," * La variable Pueblos Originarios Hombres no puede ser Mayor al Total Hombres.",""))</f>
        <v/>
      </c>
      <c r="CB50" s="80" t="str">
        <f t="shared" ref="CB50:CB74" si="55">IF(AND(E50&gt;0,OR(AI50=""))," * No olvide digitar la variable Pueblos Originarios Mujeres. Digite Cero si no tiene.",IF(AI50&gt;E50," * La variable Pueblos Originarios Mujeres no puede ser Mayor al Total Mujeres.",""))</f>
        <v/>
      </c>
      <c r="CC50" s="80" t="str">
        <f t="shared" ref="CC50:CC74" si="56">IF(AND($D50&gt;0,OR(AJ50=""))," * No olvide digitar la variable Migrantes Hombres. Digite Cero si no tiene.",IF(AJ50&gt;$D50," * La variable Migrantes Hombres no puede ser Mayor al Total Hombres.",""))</f>
        <v/>
      </c>
      <c r="CD50" s="80" t="str">
        <f t="shared" ref="CD50:CD74" si="57">IF(AND(E50&gt;0,OR(AK50=""))," * No olvide digitar la variable Migrantes Mujeres. Digite Cero si no tiene.",IF(AK50&gt;E50," * La variable Migrantes Mujeres no puede ser Mayor al Total Mujeres.",""))</f>
        <v/>
      </c>
      <c r="DK50" s="287">
        <f t="shared" si="46"/>
        <v>0</v>
      </c>
      <c r="DL50" s="287">
        <f t="shared" si="47"/>
        <v>0</v>
      </c>
      <c r="DM50" s="287">
        <f t="shared" si="48"/>
        <v>0</v>
      </c>
      <c r="DN50" s="287">
        <f t="shared" si="49"/>
        <v>0</v>
      </c>
    </row>
    <row r="51" spans="1:118" ht="15" customHeight="1" x14ac:dyDescent="0.15">
      <c r="A51" s="2183" t="s">
        <v>519</v>
      </c>
      <c r="B51" s="2184"/>
      <c r="C51" s="326">
        <f>SUM(D51:E51)</f>
        <v>0</v>
      </c>
      <c r="D51" s="103">
        <f>+F51+H51+J51+L51+N51+P51+R51+T51+V51+X51+Z51+AB51+AD51+AF51</f>
        <v>0</v>
      </c>
      <c r="E51" s="122">
        <f>+G51+I51+K51+M51+O51+Q51+S51+U51+W51+Y51+AA51+AC51+AE51+AG51</f>
        <v>0</v>
      </c>
      <c r="F51" s="1706"/>
      <c r="G51" s="1713"/>
      <c r="H51" s="1706"/>
      <c r="I51" s="1713"/>
      <c r="J51" s="1706"/>
      <c r="K51" s="1713"/>
      <c r="L51" s="1706"/>
      <c r="M51" s="1713"/>
      <c r="N51" s="1706"/>
      <c r="O51" s="1713"/>
      <c r="P51" s="1706"/>
      <c r="Q51" s="1713"/>
      <c r="R51" s="1706"/>
      <c r="S51" s="1713"/>
      <c r="T51" s="1706"/>
      <c r="U51" s="1713"/>
      <c r="V51" s="1706"/>
      <c r="W51" s="1713"/>
      <c r="X51" s="1706"/>
      <c r="Y51" s="1713"/>
      <c r="Z51" s="1706"/>
      <c r="AA51" s="1713"/>
      <c r="AB51" s="1706"/>
      <c r="AC51" s="1713"/>
      <c r="AD51" s="1706"/>
      <c r="AE51" s="1713"/>
      <c r="AF51" s="1725"/>
      <c r="AG51" s="1714"/>
      <c r="AH51" s="1730"/>
      <c r="AI51" s="1702"/>
      <c r="AJ51" s="1730"/>
      <c r="AK51" s="1702"/>
      <c r="AL51" s="48" t="str">
        <f t="shared" si="53"/>
        <v/>
      </c>
      <c r="CA51" s="80" t="str">
        <f t="shared" si="54"/>
        <v/>
      </c>
      <c r="CB51" s="80" t="str">
        <f t="shared" si="55"/>
        <v/>
      </c>
      <c r="CC51" s="80" t="str">
        <f t="shared" si="56"/>
        <v/>
      </c>
      <c r="CD51" s="80" t="str">
        <f t="shared" si="57"/>
        <v/>
      </c>
      <c r="DK51" s="287">
        <f t="shared" si="46"/>
        <v>0</v>
      </c>
      <c r="DL51" s="287">
        <f t="shared" si="47"/>
        <v>0</v>
      </c>
      <c r="DM51" s="287">
        <f t="shared" si="48"/>
        <v>0</v>
      </c>
      <c r="DN51" s="287">
        <f t="shared" si="49"/>
        <v>0</v>
      </c>
    </row>
    <row r="52" spans="1:118" ht="15" customHeight="1" x14ac:dyDescent="0.15">
      <c r="A52" s="2183" t="s">
        <v>520</v>
      </c>
      <c r="B52" s="2184"/>
      <c r="C52" s="326">
        <f t="shared" si="50"/>
        <v>0</v>
      </c>
      <c r="D52" s="103">
        <f t="shared" si="51"/>
        <v>0</v>
      </c>
      <c r="E52" s="122">
        <f t="shared" si="52"/>
        <v>0</v>
      </c>
      <c r="F52" s="1706"/>
      <c r="G52" s="1713"/>
      <c r="H52" s="1706"/>
      <c r="I52" s="1713"/>
      <c r="J52" s="1706"/>
      <c r="K52" s="1713"/>
      <c r="L52" s="1706"/>
      <c r="M52" s="1713"/>
      <c r="N52" s="1706"/>
      <c r="O52" s="1713"/>
      <c r="P52" s="1706"/>
      <c r="Q52" s="1713"/>
      <c r="R52" s="1706"/>
      <c r="S52" s="1713"/>
      <c r="T52" s="1706"/>
      <c r="U52" s="1713"/>
      <c r="V52" s="1706"/>
      <c r="W52" s="1713"/>
      <c r="X52" s="1706"/>
      <c r="Y52" s="1713"/>
      <c r="Z52" s="1706"/>
      <c r="AA52" s="1713"/>
      <c r="AB52" s="1706"/>
      <c r="AC52" s="1713"/>
      <c r="AD52" s="1706"/>
      <c r="AE52" s="1713"/>
      <c r="AF52" s="1725"/>
      <c r="AG52" s="1714"/>
      <c r="AH52" s="1730"/>
      <c r="AI52" s="1702"/>
      <c r="AJ52" s="1730"/>
      <c r="AK52" s="1702"/>
      <c r="AL52" s="48" t="str">
        <f t="shared" si="53"/>
        <v/>
      </c>
      <c r="CA52" s="80" t="str">
        <f t="shared" si="54"/>
        <v/>
      </c>
      <c r="CB52" s="80" t="str">
        <f t="shared" si="55"/>
        <v/>
      </c>
      <c r="CC52" s="80" t="str">
        <f t="shared" si="56"/>
        <v/>
      </c>
      <c r="CD52" s="80" t="str">
        <f t="shared" si="57"/>
        <v/>
      </c>
      <c r="DK52" s="287">
        <f t="shared" si="46"/>
        <v>0</v>
      </c>
      <c r="DL52" s="287">
        <f t="shared" si="47"/>
        <v>0</v>
      </c>
      <c r="DM52" s="287">
        <f t="shared" si="48"/>
        <v>0</v>
      </c>
      <c r="DN52" s="287">
        <f t="shared" si="49"/>
        <v>0</v>
      </c>
    </row>
    <row r="53" spans="1:118" ht="15" customHeight="1" x14ac:dyDescent="0.15">
      <c r="A53" s="2145" t="s">
        <v>521</v>
      </c>
      <c r="B53" s="2146"/>
      <c r="C53" s="375">
        <f t="shared" si="50"/>
        <v>0</v>
      </c>
      <c r="D53" s="104">
        <f t="shared" si="51"/>
        <v>0</v>
      </c>
      <c r="E53" s="254">
        <f t="shared" si="52"/>
        <v>0</v>
      </c>
      <c r="F53" s="1706"/>
      <c r="G53" s="1713"/>
      <c r="H53" s="1706"/>
      <c r="I53" s="1713"/>
      <c r="J53" s="1706"/>
      <c r="K53" s="1713"/>
      <c r="L53" s="1706"/>
      <c r="M53" s="1713"/>
      <c r="N53" s="1706"/>
      <c r="O53" s="1713"/>
      <c r="P53" s="1706"/>
      <c r="Q53" s="1713"/>
      <c r="R53" s="1706"/>
      <c r="S53" s="1713"/>
      <c r="T53" s="1706"/>
      <c r="U53" s="1713"/>
      <c r="V53" s="1706"/>
      <c r="W53" s="1713"/>
      <c r="X53" s="1706"/>
      <c r="Y53" s="1713"/>
      <c r="Z53" s="1706"/>
      <c r="AA53" s="1713"/>
      <c r="AB53" s="1706"/>
      <c r="AC53" s="1713"/>
      <c r="AD53" s="1706"/>
      <c r="AE53" s="1713"/>
      <c r="AF53" s="1725"/>
      <c r="AG53" s="1714"/>
      <c r="AH53" s="1730"/>
      <c r="AI53" s="1702"/>
      <c r="AJ53" s="1730"/>
      <c r="AK53" s="1702"/>
      <c r="AL53" s="48" t="str">
        <f t="shared" si="53"/>
        <v/>
      </c>
      <c r="CA53" s="80" t="str">
        <f t="shared" si="54"/>
        <v/>
      </c>
      <c r="CB53" s="80" t="str">
        <f t="shared" si="55"/>
        <v/>
      </c>
      <c r="CC53" s="80" t="str">
        <f t="shared" si="56"/>
        <v/>
      </c>
      <c r="CD53" s="80" t="str">
        <f t="shared" si="57"/>
        <v/>
      </c>
      <c r="DK53" s="287">
        <f t="shared" si="46"/>
        <v>0</v>
      </c>
      <c r="DL53" s="287">
        <f t="shared" si="47"/>
        <v>0</v>
      </c>
      <c r="DM53" s="287">
        <f t="shared" si="48"/>
        <v>0</v>
      </c>
      <c r="DN53" s="287">
        <f t="shared" si="49"/>
        <v>0</v>
      </c>
    </row>
    <row r="54" spans="1:118" ht="15" customHeight="1" x14ac:dyDescent="0.15">
      <c r="A54" s="2145" t="s">
        <v>522</v>
      </c>
      <c r="B54" s="2146"/>
      <c r="C54" s="331">
        <f t="shared" si="50"/>
        <v>0</v>
      </c>
      <c r="D54" s="107">
        <f t="shared" si="51"/>
        <v>0</v>
      </c>
      <c r="E54" s="121">
        <f t="shared" si="52"/>
        <v>0</v>
      </c>
      <c r="F54" s="1706"/>
      <c r="G54" s="1713"/>
      <c r="H54" s="1706"/>
      <c r="I54" s="1713"/>
      <c r="J54" s="1706"/>
      <c r="K54" s="1713"/>
      <c r="L54" s="1706"/>
      <c r="M54" s="1713"/>
      <c r="N54" s="1706"/>
      <c r="O54" s="1713"/>
      <c r="P54" s="1706"/>
      <c r="Q54" s="1713"/>
      <c r="R54" s="1706"/>
      <c r="S54" s="1713"/>
      <c r="T54" s="1706"/>
      <c r="U54" s="1713"/>
      <c r="V54" s="1706"/>
      <c r="W54" s="1713"/>
      <c r="X54" s="1706"/>
      <c r="Y54" s="1713"/>
      <c r="Z54" s="1706"/>
      <c r="AA54" s="1713"/>
      <c r="AB54" s="1706"/>
      <c r="AC54" s="1713"/>
      <c r="AD54" s="1706"/>
      <c r="AE54" s="1713"/>
      <c r="AF54" s="1725"/>
      <c r="AG54" s="1714"/>
      <c r="AH54" s="1730"/>
      <c r="AI54" s="1702"/>
      <c r="AJ54" s="1730"/>
      <c r="AK54" s="1702"/>
      <c r="AL54" s="48" t="str">
        <f t="shared" si="53"/>
        <v/>
      </c>
      <c r="CA54" s="80" t="str">
        <f t="shared" si="54"/>
        <v/>
      </c>
      <c r="CB54" s="80" t="str">
        <f t="shared" si="55"/>
        <v/>
      </c>
      <c r="CC54" s="80" t="str">
        <f t="shared" si="56"/>
        <v/>
      </c>
      <c r="CD54" s="80" t="str">
        <f t="shared" si="57"/>
        <v/>
      </c>
      <c r="DK54" s="287">
        <f t="shared" si="46"/>
        <v>0</v>
      </c>
      <c r="DL54" s="287">
        <f t="shared" si="47"/>
        <v>0</v>
      </c>
      <c r="DM54" s="287">
        <f t="shared" si="48"/>
        <v>0</v>
      </c>
      <c r="DN54" s="287">
        <f t="shared" si="49"/>
        <v>0</v>
      </c>
    </row>
    <row r="55" spans="1:118" ht="15" customHeight="1" x14ac:dyDescent="0.15">
      <c r="A55" s="2145" t="s">
        <v>523</v>
      </c>
      <c r="B55" s="2146"/>
      <c r="C55" s="331">
        <f t="shared" si="50"/>
        <v>0</v>
      </c>
      <c r="D55" s="107">
        <f t="shared" si="51"/>
        <v>0</v>
      </c>
      <c r="E55" s="121">
        <f t="shared" si="52"/>
        <v>0</v>
      </c>
      <c r="F55" s="1706"/>
      <c r="G55" s="1713"/>
      <c r="H55" s="1706"/>
      <c r="I55" s="1713"/>
      <c r="J55" s="1706"/>
      <c r="K55" s="1713"/>
      <c r="L55" s="1706"/>
      <c r="M55" s="1713"/>
      <c r="N55" s="1706"/>
      <c r="O55" s="1713"/>
      <c r="P55" s="1706"/>
      <c r="Q55" s="1713"/>
      <c r="R55" s="1706"/>
      <c r="S55" s="1713"/>
      <c r="T55" s="1706"/>
      <c r="U55" s="1713"/>
      <c r="V55" s="1706"/>
      <c r="W55" s="1713"/>
      <c r="X55" s="1706"/>
      <c r="Y55" s="1713"/>
      <c r="Z55" s="1706"/>
      <c r="AA55" s="1713"/>
      <c r="AB55" s="1706"/>
      <c r="AC55" s="1713"/>
      <c r="AD55" s="1706"/>
      <c r="AE55" s="1713"/>
      <c r="AF55" s="1725"/>
      <c r="AG55" s="1714"/>
      <c r="AH55" s="1730"/>
      <c r="AI55" s="1702"/>
      <c r="AJ55" s="1730"/>
      <c r="AK55" s="1702"/>
      <c r="AL55" s="48" t="str">
        <f t="shared" si="53"/>
        <v/>
      </c>
      <c r="CA55" s="80" t="str">
        <f t="shared" si="54"/>
        <v/>
      </c>
      <c r="CB55" s="80" t="str">
        <f t="shared" si="55"/>
        <v/>
      </c>
      <c r="CC55" s="80" t="str">
        <f t="shared" si="56"/>
        <v/>
      </c>
      <c r="CD55" s="80" t="str">
        <f t="shared" si="57"/>
        <v/>
      </c>
      <c r="DK55" s="287">
        <f t="shared" si="46"/>
        <v>0</v>
      </c>
      <c r="DL55" s="287">
        <f t="shared" si="47"/>
        <v>0</v>
      </c>
      <c r="DM55" s="287">
        <f t="shared" si="48"/>
        <v>0</v>
      </c>
      <c r="DN55" s="287">
        <f t="shared" si="49"/>
        <v>0</v>
      </c>
    </row>
    <row r="56" spans="1:118" ht="15" customHeight="1" x14ac:dyDescent="0.15">
      <c r="A56" s="2145" t="s">
        <v>524</v>
      </c>
      <c r="B56" s="2146"/>
      <c r="C56" s="326">
        <f t="shared" si="50"/>
        <v>0</v>
      </c>
      <c r="D56" s="103">
        <f t="shared" si="51"/>
        <v>0</v>
      </c>
      <c r="E56" s="122">
        <f t="shared" si="52"/>
        <v>0</v>
      </c>
      <c r="F56" s="1701"/>
      <c r="G56" s="1702"/>
      <c r="H56" s="1701"/>
      <c r="I56" s="1702"/>
      <c r="J56" s="1701"/>
      <c r="K56" s="1702"/>
      <c r="L56" s="1701"/>
      <c r="M56" s="1702"/>
      <c r="N56" s="1701"/>
      <c r="O56" s="1702"/>
      <c r="P56" s="1701"/>
      <c r="Q56" s="1702"/>
      <c r="R56" s="1701"/>
      <c r="S56" s="1702"/>
      <c r="T56" s="1701"/>
      <c r="U56" s="1702"/>
      <c r="V56" s="1701"/>
      <c r="W56" s="1702"/>
      <c r="X56" s="1701"/>
      <c r="Y56" s="1702"/>
      <c r="Z56" s="1701"/>
      <c r="AA56" s="1702"/>
      <c r="AB56" s="1701"/>
      <c r="AC56" s="1702"/>
      <c r="AD56" s="1701"/>
      <c r="AE56" s="1702"/>
      <c r="AF56" s="1730"/>
      <c r="AG56" s="1703"/>
      <c r="AH56" s="1730"/>
      <c r="AI56" s="1702"/>
      <c r="AJ56" s="1730"/>
      <c r="AK56" s="1702"/>
      <c r="AL56" s="48" t="str">
        <f t="shared" si="53"/>
        <v/>
      </c>
      <c r="CA56" s="80" t="str">
        <f t="shared" si="54"/>
        <v/>
      </c>
      <c r="CB56" s="80" t="str">
        <f t="shared" si="55"/>
        <v/>
      </c>
      <c r="CC56" s="80" t="str">
        <f t="shared" si="56"/>
        <v/>
      </c>
      <c r="CD56" s="80" t="str">
        <f t="shared" si="57"/>
        <v/>
      </c>
      <c r="DK56" s="287">
        <f t="shared" si="46"/>
        <v>0</v>
      </c>
      <c r="DL56" s="287">
        <f t="shared" si="47"/>
        <v>0</v>
      </c>
      <c r="DM56" s="287">
        <f t="shared" si="48"/>
        <v>0</v>
      </c>
      <c r="DN56" s="287">
        <f t="shared" si="49"/>
        <v>0</v>
      </c>
    </row>
    <row r="57" spans="1:118" ht="15" customHeight="1" x14ac:dyDescent="0.15">
      <c r="A57" s="2201" t="s">
        <v>525</v>
      </c>
      <c r="B57" s="2202"/>
      <c r="C57" s="331">
        <f t="shared" si="50"/>
        <v>0</v>
      </c>
      <c r="D57" s="107">
        <f t="shared" si="51"/>
        <v>0</v>
      </c>
      <c r="E57" s="121">
        <f t="shared" si="52"/>
        <v>0</v>
      </c>
      <c r="F57" s="1706"/>
      <c r="G57" s="1713"/>
      <c r="H57" s="1706"/>
      <c r="I57" s="1713"/>
      <c r="J57" s="1706"/>
      <c r="K57" s="1713"/>
      <c r="L57" s="1706"/>
      <c r="M57" s="1713"/>
      <c r="N57" s="1706"/>
      <c r="O57" s="1713"/>
      <c r="P57" s="1706"/>
      <c r="Q57" s="1713"/>
      <c r="R57" s="1706"/>
      <c r="S57" s="1713"/>
      <c r="T57" s="1706"/>
      <c r="U57" s="1713"/>
      <c r="V57" s="1706"/>
      <c r="W57" s="1713"/>
      <c r="X57" s="1706"/>
      <c r="Y57" s="1713"/>
      <c r="Z57" s="1706"/>
      <c r="AA57" s="1713"/>
      <c r="AB57" s="1706"/>
      <c r="AC57" s="1713"/>
      <c r="AD57" s="1706"/>
      <c r="AE57" s="1713"/>
      <c r="AF57" s="1725"/>
      <c r="AG57" s="1714"/>
      <c r="AH57" s="1730"/>
      <c r="AI57" s="1702"/>
      <c r="AJ57" s="1730"/>
      <c r="AK57" s="1702"/>
      <c r="AL57" s="48" t="str">
        <f t="shared" si="53"/>
        <v/>
      </c>
      <c r="CA57" s="80" t="str">
        <f t="shared" si="54"/>
        <v/>
      </c>
      <c r="CB57" s="80" t="str">
        <f t="shared" si="55"/>
        <v/>
      </c>
      <c r="CC57" s="80" t="str">
        <f t="shared" si="56"/>
        <v/>
      </c>
      <c r="CD57" s="80" t="str">
        <f t="shared" si="57"/>
        <v/>
      </c>
      <c r="DK57" s="287">
        <f t="shared" si="46"/>
        <v>0</v>
      </c>
      <c r="DL57" s="287">
        <f t="shared" si="47"/>
        <v>0</v>
      </c>
      <c r="DM57" s="287">
        <f t="shared" si="48"/>
        <v>0</v>
      </c>
      <c r="DN57" s="287">
        <f t="shared" si="49"/>
        <v>0</v>
      </c>
    </row>
    <row r="58" spans="1:118" ht="15" customHeight="1" x14ac:dyDescent="0.15">
      <c r="A58" s="2201" t="s">
        <v>511</v>
      </c>
      <c r="B58" s="2202"/>
      <c r="C58" s="326">
        <f>SUM(D58:E58)</f>
        <v>0</v>
      </c>
      <c r="D58" s="103">
        <f t="shared" ref="D58" si="58">+F58+H58+J58+L58+N58+P58+R58+T58+V58+X58+Z58+AB58+AD58+AF58</f>
        <v>0</v>
      </c>
      <c r="E58" s="122">
        <f t="shared" ref="E58" si="59">+G58+I58+K58+M58+O58+Q58+S58+U58+W58+Y58+AA58+AC58+AE58+AG58</f>
        <v>0</v>
      </c>
      <c r="F58" s="1701"/>
      <c r="G58" s="1702"/>
      <c r="H58" s="1701"/>
      <c r="I58" s="1702"/>
      <c r="J58" s="1701"/>
      <c r="K58" s="1702"/>
      <c r="L58" s="1701"/>
      <c r="M58" s="1702"/>
      <c r="N58" s="1701"/>
      <c r="O58" s="1702"/>
      <c r="P58" s="1701"/>
      <c r="Q58" s="1702"/>
      <c r="R58" s="1701"/>
      <c r="S58" s="1702"/>
      <c r="T58" s="1701"/>
      <c r="U58" s="1702"/>
      <c r="V58" s="1701"/>
      <c r="W58" s="1702"/>
      <c r="X58" s="1701"/>
      <c r="Y58" s="1702"/>
      <c r="Z58" s="1701"/>
      <c r="AA58" s="1702"/>
      <c r="AB58" s="1701"/>
      <c r="AC58" s="1702"/>
      <c r="AD58" s="1701"/>
      <c r="AE58" s="1702"/>
      <c r="AF58" s="1730"/>
      <c r="AG58" s="1703"/>
      <c r="AH58" s="1730"/>
      <c r="AI58" s="1702"/>
      <c r="AJ58" s="1730"/>
      <c r="AK58" s="1702"/>
      <c r="AL58" s="48" t="str">
        <f t="shared" si="53"/>
        <v/>
      </c>
      <c r="CA58" s="80" t="str">
        <f t="shared" si="54"/>
        <v/>
      </c>
      <c r="CB58" s="80" t="str">
        <f t="shared" si="55"/>
        <v/>
      </c>
      <c r="CC58" s="80" t="str">
        <f t="shared" si="56"/>
        <v/>
      </c>
      <c r="CD58" s="80" t="str">
        <f t="shared" si="57"/>
        <v/>
      </c>
      <c r="DK58" s="287">
        <f t="shared" si="46"/>
        <v>0</v>
      </c>
      <c r="DL58" s="287">
        <f t="shared" si="47"/>
        <v>0</v>
      </c>
      <c r="DM58" s="287">
        <f t="shared" si="48"/>
        <v>0</v>
      </c>
      <c r="DN58" s="287">
        <f t="shared" si="49"/>
        <v>0</v>
      </c>
    </row>
    <row r="59" spans="1:118" ht="15" customHeight="1" x14ac:dyDescent="0.15">
      <c r="A59" s="2222" t="s">
        <v>526</v>
      </c>
      <c r="B59" s="2223"/>
      <c r="C59" s="326">
        <f t="shared" si="50"/>
        <v>0</v>
      </c>
      <c r="D59" s="103">
        <f>+F59+H59+J59+L59+N59+P59+R59+T59+V59+X59+Z59+AB59+AD59+AF59</f>
        <v>0</v>
      </c>
      <c r="E59" s="117">
        <f>+G59+I59+K59+M59+O59+Q59+S59+U59+W59+Y59+AA59+AC59+AE59+AG59</f>
        <v>0</v>
      </c>
      <c r="F59" s="1701"/>
      <c r="G59" s="1702"/>
      <c r="H59" s="1701"/>
      <c r="I59" s="1702"/>
      <c r="J59" s="1701"/>
      <c r="K59" s="1702"/>
      <c r="L59" s="1701"/>
      <c r="M59" s="1702"/>
      <c r="N59" s="1701"/>
      <c r="O59" s="1702"/>
      <c r="P59" s="1701"/>
      <c r="Q59" s="1702"/>
      <c r="R59" s="1701"/>
      <c r="S59" s="1702"/>
      <c r="T59" s="1701"/>
      <c r="U59" s="1702"/>
      <c r="V59" s="1701"/>
      <c r="W59" s="1702"/>
      <c r="X59" s="1701"/>
      <c r="Y59" s="1702"/>
      <c r="Z59" s="1701"/>
      <c r="AA59" s="1702"/>
      <c r="AB59" s="1701"/>
      <c r="AC59" s="1702"/>
      <c r="AD59" s="1701"/>
      <c r="AE59" s="1702"/>
      <c r="AF59" s="1730"/>
      <c r="AG59" s="1703"/>
      <c r="AH59" s="1730"/>
      <c r="AI59" s="1702"/>
      <c r="AJ59" s="1730"/>
      <c r="AK59" s="1702"/>
      <c r="AL59" s="48" t="str">
        <f t="shared" si="53"/>
        <v/>
      </c>
      <c r="CA59" s="80" t="str">
        <f t="shared" si="54"/>
        <v/>
      </c>
      <c r="CB59" s="80" t="str">
        <f t="shared" si="55"/>
        <v/>
      </c>
      <c r="CC59" s="80" t="str">
        <f t="shared" si="56"/>
        <v/>
      </c>
      <c r="CD59" s="80" t="str">
        <f t="shared" si="57"/>
        <v/>
      </c>
      <c r="DK59" s="287">
        <f t="shared" si="46"/>
        <v>0</v>
      </c>
      <c r="DL59" s="287">
        <f t="shared" si="47"/>
        <v>0</v>
      </c>
      <c r="DM59" s="287">
        <f t="shared" si="48"/>
        <v>0</v>
      </c>
      <c r="DN59" s="287">
        <f t="shared" si="49"/>
        <v>0</v>
      </c>
    </row>
    <row r="60" spans="1:118" ht="15" customHeight="1" x14ac:dyDescent="0.15">
      <c r="A60" s="2201" t="s">
        <v>527</v>
      </c>
      <c r="B60" s="2202"/>
      <c r="C60" s="375">
        <f t="shared" si="50"/>
        <v>0</v>
      </c>
      <c r="D60" s="104">
        <f t="shared" si="51"/>
        <v>0</v>
      </c>
      <c r="E60" s="265">
        <f t="shared" si="52"/>
        <v>0</v>
      </c>
      <c r="F60" s="1715"/>
      <c r="G60" s="1735"/>
      <c r="H60" s="1715"/>
      <c r="I60" s="1735"/>
      <c r="J60" s="1715"/>
      <c r="K60" s="1735"/>
      <c r="L60" s="1715"/>
      <c r="M60" s="1735"/>
      <c r="N60" s="1715"/>
      <c r="O60" s="1735"/>
      <c r="P60" s="1715"/>
      <c r="Q60" s="1735"/>
      <c r="R60" s="1715"/>
      <c r="S60" s="1735"/>
      <c r="T60" s="1715"/>
      <c r="U60" s="1735"/>
      <c r="V60" s="1715"/>
      <c r="W60" s="1735"/>
      <c r="X60" s="1715"/>
      <c r="Y60" s="1735"/>
      <c r="Z60" s="1715"/>
      <c r="AA60" s="1735"/>
      <c r="AB60" s="1715"/>
      <c r="AC60" s="1735"/>
      <c r="AD60" s="1715"/>
      <c r="AE60" s="1735"/>
      <c r="AF60" s="1736"/>
      <c r="AG60" s="1737"/>
      <c r="AH60" s="1736"/>
      <c r="AI60" s="1735"/>
      <c r="AJ60" s="1736"/>
      <c r="AK60" s="1735"/>
      <c r="AL60" s="48" t="str">
        <f t="shared" si="53"/>
        <v/>
      </c>
      <c r="CA60" s="80" t="str">
        <f t="shared" si="54"/>
        <v/>
      </c>
      <c r="CB60" s="80" t="str">
        <f t="shared" si="55"/>
        <v/>
      </c>
      <c r="CC60" s="80" t="str">
        <f t="shared" si="56"/>
        <v/>
      </c>
      <c r="CD60" s="80" t="str">
        <f t="shared" si="57"/>
        <v/>
      </c>
      <c r="DK60" s="287">
        <f t="shared" si="46"/>
        <v>0</v>
      </c>
      <c r="DL60" s="287">
        <f t="shared" si="47"/>
        <v>0</v>
      </c>
      <c r="DM60" s="287">
        <f t="shared" si="48"/>
        <v>0</v>
      </c>
      <c r="DN60" s="287">
        <f t="shared" si="49"/>
        <v>0</v>
      </c>
    </row>
    <row r="61" spans="1:118" ht="15" customHeight="1" x14ac:dyDescent="0.15">
      <c r="A61" s="2199" t="s">
        <v>528</v>
      </c>
      <c r="B61" s="2200"/>
      <c r="C61" s="327">
        <f>SUM(D61:E61)</f>
        <v>0</v>
      </c>
      <c r="D61" s="105">
        <f t="shared" ref="D61" si="60">+F61+H61+J61+L61+N61+P61+R61+T61+V61+X61+Z61+AB61+AD61+AF61</f>
        <v>0</v>
      </c>
      <c r="E61" s="119">
        <f t="shared" ref="E61" si="61">+G61+I61+K61+M61+O61+Q61+S61+U61+W61+Y61+AA61+AC61+AE61+AG61</f>
        <v>0</v>
      </c>
      <c r="F61" s="1712"/>
      <c r="G61" s="1721"/>
      <c r="H61" s="1712"/>
      <c r="I61" s="1721"/>
      <c r="J61" s="1712"/>
      <c r="K61" s="1721"/>
      <c r="L61" s="1712"/>
      <c r="M61" s="1721"/>
      <c r="N61" s="1712"/>
      <c r="O61" s="1721"/>
      <c r="P61" s="1712"/>
      <c r="Q61" s="1721"/>
      <c r="R61" s="1712"/>
      <c r="S61" s="1721"/>
      <c r="T61" s="1712"/>
      <c r="U61" s="1721"/>
      <c r="V61" s="1712"/>
      <c r="W61" s="1721"/>
      <c r="X61" s="1712"/>
      <c r="Y61" s="1721"/>
      <c r="Z61" s="1712"/>
      <c r="AA61" s="1721"/>
      <c r="AB61" s="1712"/>
      <c r="AC61" s="1721"/>
      <c r="AD61" s="1712"/>
      <c r="AE61" s="1721"/>
      <c r="AF61" s="1724"/>
      <c r="AG61" s="1722"/>
      <c r="AH61" s="1724"/>
      <c r="AI61" s="1721"/>
      <c r="AJ61" s="1724"/>
      <c r="AK61" s="1721"/>
      <c r="AL61" s="48" t="str">
        <f t="shared" si="53"/>
        <v/>
      </c>
      <c r="CA61" s="80" t="str">
        <f t="shared" si="54"/>
        <v/>
      </c>
      <c r="CB61" s="80" t="str">
        <f t="shared" si="55"/>
        <v/>
      </c>
      <c r="CC61" s="80" t="str">
        <f t="shared" si="56"/>
        <v/>
      </c>
      <c r="CD61" s="80" t="str">
        <f t="shared" si="57"/>
        <v/>
      </c>
      <c r="DK61" s="287">
        <f t="shared" si="46"/>
        <v>0</v>
      </c>
      <c r="DL61" s="287">
        <f t="shared" si="47"/>
        <v>0</v>
      </c>
      <c r="DM61" s="287">
        <f t="shared" si="48"/>
        <v>0</v>
      </c>
      <c r="DN61" s="287">
        <f t="shared" si="49"/>
        <v>0</v>
      </c>
    </row>
    <row r="62" spans="1:118" ht="15" customHeight="1" x14ac:dyDescent="0.15">
      <c r="A62" s="2169" t="s">
        <v>529</v>
      </c>
      <c r="B62" s="216" t="s">
        <v>530</v>
      </c>
      <c r="C62" s="326">
        <f t="shared" si="50"/>
        <v>0</v>
      </c>
      <c r="D62" s="103">
        <f>+F62+H62+J62+L62+N62+P62+R62+T62+V62+X62+Z62+AB62+AD62+AF62</f>
        <v>0</v>
      </c>
      <c r="E62" s="122">
        <f>+G62+I62+K62+M62+O62+Q62+S62+U62+W62+Y62+AA62+AC62+AE62+AG62</f>
        <v>0</v>
      </c>
      <c r="F62" s="1701"/>
      <c r="G62" s="1702"/>
      <c r="H62" s="1701"/>
      <c r="I62" s="1702"/>
      <c r="J62" s="1701"/>
      <c r="K62" s="1702"/>
      <c r="L62" s="1701"/>
      <c r="M62" s="1702"/>
      <c r="N62" s="1701"/>
      <c r="O62" s="1702"/>
      <c r="P62" s="1701"/>
      <c r="Q62" s="1702"/>
      <c r="R62" s="1701"/>
      <c r="S62" s="1702"/>
      <c r="T62" s="1701"/>
      <c r="U62" s="1702"/>
      <c r="V62" s="1701"/>
      <c r="W62" s="1702"/>
      <c r="X62" s="1701"/>
      <c r="Y62" s="1702"/>
      <c r="Z62" s="1701"/>
      <c r="AA62" s="1702"/>
      <c r="AB62" s="1701"/>
      <c r="AC62" s="1702"/>
      <c r="AD62" s="1701"/>
      <c r="AE62" s="1702"/>
      <c r="AF62" s="1730"/>
      <c r="AG62" s="1703"/>
      <c r="AH62" s="1730"/>
      <c r="AI62" s="1702"/>
      <c r="AJ62" s="1730"/>
      <c r="AK62" s="1702"/>
      <c r="AL62" s="48" t="str">
        <f t="shared" si="53"/>
        <v/>
      </c>
      <c r="CA62" s="80" t="str">
        <f t="shared" si="54"/>
        <v/>
      </c>
      <c r="CB62" s="80" t="str">
        <f t="shared" si="55"/>
        <v/>
      </c>
      <c r="CC62" s="80" t="str">
        <f t="shared" si="56"/>
        <v/>
      </c>
      <c r="CD62" s="80" t="str">
        <f t="shared" si="57"/>
        <v/>
      </c>
      <c r="DK62" s="287">
        <f t="shared" si="46"/>
        <v>0</v>
      </c>
      <c r="DL62" s="287">
        <f t="shared" si="47"/>
        <v>0</v>
      </c>
      <c r="DM62" s="287">
        <f t="shared" si="48"/>
        <v>0</v>
      </c>
      <c r="DN62" s="287">
        <f t="shared" si="49"/>
        <v>0</v>
      </c>
    </row>
    <row r="63" spans="1:118" ht="15" customHeight="1" x14ac:dyDescent="0.15">
      <c r="A63" s="2169"/>
      <c r="B63" s="216" t="s">
        <v>531</v>
      </c>
      <c r="C63" s="331">
        <f t="shared" si="50"/>
        <v>0</v>
      </c>
      <c r="D63" s="107">
        <f t="shared" si="51"/>
        <v>0</v>
      </c>
      <c r="E63" s="118">
        <f t="shared" si="52"/>
        <v>0</v>
      </c>
      <c r="F63" s="1706"/>
      <c r="G63" s="1713"/>
      <c r="H63" s="1706"/>
      <c r="I63" s="1713"/>
      <c r="J63" s="1706"/>
      <c r="K63" s="1713"/>
      <c r="L63" s="1706"/>
      <c r="M63" s="1713"/>
      <c r="N63" s="1706"/>
      <c r="O63" s="1713"/>
      <c r="P63" s="1706"/>
      <c r="Q63" s="1713"/>
      <c r="R63" s="1706"/>
      <c r="S63" s="1713"/>
      <c r="T63" s="1706"/>
      <c r="U63" s="1713"/>
      <c r="V63" s="1706"/>
      <c r="W63" s="1713"/>
      <c r="X63" s="1706"/>
      <c r="Y63" s="1713"/>
      <c r="Z63" s="1706"/>
      <c r="AA63" s="1713"/>
      <c r="AB63" s="1706"/>
      <c r="AC63" s="1713"/>
      <c r="AD63" s="1706"/>
      <c r="AE63" s="1713"/>
      <c r="AF63" s="1725"/>
      <c r="AG63" s="1714"/>
      <c r="AH63" s="1730"/>
      <c r="AI63" s="1702"/>
      <c r="AJ63" s="1730"/>
      <c r="AK63" s="1702"/>
      <c r="AL63" s="48" t="str">
        <f t="shared" si="53"/>
        <v/>
      </c>
      <c r="CA63" s="80" t="str">
        <f t="shared" si="54"/>
        <v/>
      </c>
      <c r="CB63" s="80" t="str">
        <f t="shared" si="55"/>
        <v/>
      </c>
      <c r="CC63" s="80" t="str">
        <f t="shared" si="56"/>
        <v/>
      </c>
      <c r="CD63" s="80" t="str">
        <f t="shared" si="57"/>
        <v/>
      </c>
      <c r="DK63" s="287">
        <f t="shared" si="46"/>
        <v>0</v>
      </c>
      <c r="DL63" s="287">
        <f t="shared" si="47"/>
        <v>0</v>
      </c>
      <c r="DM63" s="287">
        <f t="shared" si="48"/>
        <v>0</v>
      </c>
      <c r="DN63" s="287">
        <f t="shared" si="49"/>
        <v>0</v>
      </c>
    </row>
    <row r="64" spans="1:118" ht="15" customHeight="1" x14ac:dyDescent="0.15">
      <c r="A64" s="2169"/>
      <c r="B64" s="217" t="s">
        <v>532</v>
      </c>
      <c r="C64" s="326">
        <f t="shared" si="50"/>
        <v>0</v>
      </c>
      <c r="D64" s="103">
        <f t="shared" si="51"/>
        <v>0</v>
      </c>
      <c r="E64" s="117">
        <f t="shared" si="52"/>
        <v>0</v>
      </c>
      <c r="F64" s="1706"/>
      <c r="G64" s="1713"/>
      <c r="H64" s="1706"/>
      <c r="I64" s="1713"/>
      <c r="J64" s="1706"/>
      <c r="K64" s="1713"/>
      <c r="L64" s="1706"/>
      <c r="M64" s="1713"/>
      <c r="N64" s="1706"/>
      <c r="O64" s="1713"/>
      <c r="P64" s="1706"/>
      <c r="Q64" s="1713"/>
      <c r="R64" s="1706"/>
      <c r="S64" s="1713"/>
      <c r="T64" s="1706"/>
      <c r="U64" s="1713"/>
      <c r="V64" s="1706"/>
      <c r="W64" s="1713"/>
      <c r="X64" s="1706"/>
      <c r="Y64" s="1713"/>
      <c r="Z64" s="1706"/>
      <c r="AA64" s="1713"/>
      <c r="AB64" s="1706"/>
      <c r="AC64" s="1713"/>
      <c r="AD64" s="1706"/>
      <c r="AE64" s="1713"/>
      <c r="AF64" s="1725"/>
      <c r="AG64" s="1714"/>
      <c r="AH64" s="1730"/>
      <c r="AI64" s="1702"/>
      <c r="AJ64" s="1730"/>
      <c r="AK64" s="1702"/>
      <c r="AL64" s="48" t="str">
        <f t="shared" si="53"/>
        <v/>
      </c>
      <c r="CA64" s="80" t="str">
        <f t="shared" si="54"/>
        <v/>
      </c>
      <c r="CB64" s="80" t="str">
        <f t="shared" si="55"/>
        <v/>
      </c>
      <c r="CC64" s="80" t="str">
        <f t="shared" si="56"/>
        <v/>
      </c>
      <c r="CD64" s="80" t="str">
        <f t="shared" si="57"/>
        <v/>
      </c>
      <c r="DK64" s="287">
        <f t="shared" si="46"/>
        <v>0</v>
      </c>
      <c r="DL64" s="287">
        <f t="shared" si="47"/>
        <v>0</v>
      </c>
      <c r="DM64" s="287">
        <f t="shared" si="48"/>
        <v>0</v>
      </c>
      <c r="DN64" s="287">
        <f t="shared" si="49"/>
        <v>0</v>
      </c>
    </row>
    <row r="65" spans="1:118" ht="15" customHeight="1" x14ac:dyDescent="0.15">
      <c r="A65" s="2170"/>
      <c r="B65" s="218" t="s">
        <v>533</v>
      </c>
      <c r="C65" s="327">
        <f t="shared" si="50"/>
        <v>0</v>
      </c>
      <c r="D65" s="105">
        <f t="shared" si="51"/>
        <v>0</v>
      </c>
      <c r="E65" s="119">
        <f t="shared" si="52"/>
        <v>0</v>
      </c>
      <c r="F65" s="1712"/>
      <c r="G65" s="1721"/>
      <c r="H65" s="1712"/>
      <c r="I65" s="1721"/>
      <c r="J65" s="1712"/>
      <c r="K65" s="1721"/>
      <c r="L65" s="1712"/>
      <c r="M65" s="1721"/>
      <c r="N65" s="1712"/>
      <c r="O65" s="1721"/>
      <c r="P65" s="1712"/>
      <c r="Q65" s="1721"/>
      <c r="R65" s="1712"/>
      <c r="S65" s="1721"/>
      <c r="T65" s="1712"/>
      <c r="U65" s="1721"/>
      <c r="V65" s="1712"/>
      <c r="W65" s="1721"/>
      <c r="X65" s="1712"/>
      <c r="Y65" s="1721"/>
      <c r="Z65" s="1712"/>
      <c r="AA65" s="1721"/>
      <c r="AB65" s="1712"/>
      <c r="AC65" s="1721"/>
      <c r="AD65" s="1712"/>
      <c r="AE65" s="1721"/>
      <c r="AF65" s="1724"/>
      <c r="AG65" s="1722"/>
      <c r="AH65" s="1724"/>
      <c r="AI65" s="1721"/>
      <c r="AJ65" s="1724"/>
      <c r="AK65" s="1721"/>
      <c r="AL65" s="48" t="str">
        <f t="shared" si="53"/>
        <v/>
      </c>
      <c r="CA65" s="80" t="str">
        <f t="shared" si="54"/>
        <v/>
      </c>
      <c r="CB65" s="80" t="str">
        <f t="shared" si="55"/>
        <v/>
      </c>
      <c r="CC65" s="80" t="str">
        <f t="shared" si="56"/>
        <v/>
      </c>
      <c r="CD65" s="80" t="str">
        <f t="shared" si="57"/>
        <v/>
      </c>
      <c r="DK65" s="287">
        <f t="shared" si="46"/>
        <v>0</v>
      </c>
      <c r="DL65" s="287">
        <f t="shared" si="47"/>
        <v>0</v>
      </c>
      <c r="DM65" s="287">
        <f t="shared" si="48"/>
        <v>0</v>
      </c>
      <c r="DN65" s="287">
        <f t="shared" si="49"/>
        <v>0</v>
      </c>
    </row>
    <row r="66" spans="1:118" ht="15" customHeight="1" x14ac:dyDescent="0.15">
      <c r="A66" s="2219" t="s">
        <v>534</v>
      </c>
      <c r="B66" s="240" t="s">
        <v>535</v>
      </c>
      <c r="C66" s="326">
        <f t="shared" si="50"/>
        <v>0</v>
      </c>
      <c r="D66" s="103">
        <f>+F66+H66+J66+L66+N66+P66+R66+T66+V66+X66+Z66+AB66+AD66+AF66</f>
        <v>0</v>
      </c>
      <c r="E66" s="122">
        <f>+G66+I66+K66+M66+O66+Q66+S66+U66+W66+Y66+AA66+AC66+AE66+AG66</f>
        <v>0</v>
      </c>
      <c r="F66" s="1701"/>
      <c r="G66" s="1702"/>
      <c r="H66" s="1701"/>
      <c r="I66" s="1702"/>
      <c r="J66" s="1701"/>
      <c r="K66" s="1702"/>
      <c r="L66" s="1701"/>
      <c r="M66" s="1702"/>
      <c r="N66" s="1701"/>
      <c r="O66" s="1702"/>
      <c r="P66" s="1701"/>
      <c r="Q66" s="1702"/>
      <c r="R66" s="1701"/>
      <c r="S66" s="1702"/>
      <c r="T66" s="1701"/>
      <c r="U66" s="1702"/>
      <c r="V66" s="1701"/>
      <c r="W66" s="1702"/>
      <c r="X66" s="1701"/>
      <c r="Y66" s="1702"/>
      <c r="Z66" s="1701"/>
      <c r="AA66" s="1702"/>
      <c r="AB66" s="1701"/>
      <c r="AC66" s="1702"/>
      <c r="AD66" s="1701"/>
      <c r="AE66" s="1702"/>
      <c r="AF66" s="1730"/>
      <c r="AG66" s="1703"/>
      <c r="AH66" s="1730"/>
      <c r="AI66" s="1702"/>
      <c r="AJ66" s="1730"/>
      <c r="AK66" s="1702"/>
      <c r="AL66" s="48" t="str">
        <f t="shared" si="53"/>
        <v/>
      </c>
      <c r="CA66" s="80" t="str">
        <f t="shared" si="54"/>
        <v/>
      </c>
      <c r="CB66" s="80" t="str">
        <f t="shared" si="55"/>
        <v/>
      </c>
      <c r="CC66" s="80" t="str">
        <f t="shared" si="56"/>
        <v/>
      </c>
      <c r="CD66" s="80" t="str">
        <f t="shared" si="57"/>
        <v/>
      </c>
      <c r="DK66" s="287">
        <f t="shared" si="46"/>
        <v>0</v>
      </c>
      <c r="DL66" s="287">
        <f t="shared" si="47"/>
        <v>0</v>
      </c>
      <c r="DM66" s="287">
        <f t="shared" si="48"/>
        <v>0</v>
      </c>
      <c r="DN66" s="287">
        <f t="shared" si="49"/>
        <v>0</v>
      </c>
    </row>
    <row r="67" spans="1:118" ht="15" customHeight="1" x14ac:dyDescent="0.15">
      <c r="A67" s="2220"/>
      <c r="B67" s="217" t="s">
        <v>536</v>
      </c>
      <c r="C67" s="375">
        <f t="shared" ref="C67" si="62">SUM(D67:E67)</f>
        <v>0</v>
      </c>
      <c r="D67" s="104">
        <f t="shared" ref="D67" si="63">+F67+H67+J67+L67+N67+P67+R67+T67+V67+X67+Z67+AB67+AD67+AF67</f>
        <v>0</v>
      </c>
      <c r="E67" s="254">
        <f t="shared" ref="E67" si="64">+G67+I67+K67+M67+O67+Q67+S67+U67+W67+Y67+AA67+AC67+AE67+AG67</f>
        <v>0</v>
      </c>
      <c r="F67" s="1716"/>
      <c r="G67" s="1717"/>
      <c r="H67" s="1716"/>
      <c r="I67" s="1717"/>
      <c r="J67" s="1716"/>
      <c r="K67" s="1717"/>
      <c r="L67" s="1716"/>
      <c r="M67" s="1717"/>
      <c r="N67" s="1716"/>
      <c r="O67" s="1717"/>
      <c r="P67" s="1716"/>
      <c r="Q67" s="1717"/>
      <c r="R67" s="1716"/>
      <c r="S67" s="1717"/>
      <c r="T67" s="1716"/>
      <c r="U67" s="1717"/>
      <c r="V67" s="1716"/>
      <c r="W67" s="1717"/>
      <c r="X67" s="1716"/>
      <c r="Y67" s="1717"/>
      <c r="Z67" s="1716"/>
      <c r="AA67" s="1717"/>
      <c r="AB67" s="1716"/>
      <c r="AC67" s="1717"/>
      <c r="AD67" s="1716"/>
      <c r="AE67" s="1717"/>
      <c r="AF67" s="1728"/>
      <c r="AG67" s="1718"/>
      <c r="AH67" s="1728"/>
      <c r="AI67" s="1717"/>
      <c r="AJ67" s="1728"/>
      <c r="AK67" s="1717"/>
      <c r="AL67" s="48" t="str">
        <f t="shared" si="53"/>
        <v/>
      </c>
      <c r="CA67" s="80" t="str">
        <f t="shared" si="54"/>
        <v/>
      </c>
      <c r="CB67" s="80" t="str">
        <f t="shared" si="55"/>
        <v/>
      </c>
      <c r="CC67" s="80" t="str">
        <f t="shared" si="56"/>
        <v/>
      </c>
      <c r="CD67" s="80" t="str">
        <f t="shared" si="57"/>
        <v/>
      </c>
      <c r="DK67" s="287">
        <f t="shared" si="46"/>
        <v>0</v>
      </c>
      <c r="DL67" s="287">
        <f t="shared" si="47"/>
        <v>0</v>
      </c>
      <c r="DM67" s="287">
        <f t="shared" si="48"/>
        <v>0</v>
      </c>
      <c r="DN67" s="287">
        <f t="shared" si="49"/>
        <v>0</v>
      </c>
    </row>
    <row r="68" spans="1:118" ht="15" customHeight="1" x14ac:dyDescent="0.15">
      <c r="A68" s="2221"/>
      <c r="B68" s="241" t="s">
        <v>537</v>
      </c>
      <c r="C68" s="327">
        <f>SUM(D68:E68)</f>
        <v>0</v>
      </c>
      <c r="D68" s="105">
        <f t="shared" ref="D68:E69" si="65">+F68+H68+J68+L68+N68+P68+R68+T68+V68+X68+Z68+AB68+AD68+AF68</f>
        <v>0</v>
      </c>
      <c r="E68" s="123">
        <f t="shared" si="65"/>
        <v>0</v>
      </c>
      <c r="F68" s="1712"/>
      <c r="G68" s="1721"/>
      <c r="H68" s="1712"/>
      <c r="I68" s="1721"/>
      <c r="J68" s="1712"/>
      <c r="K68" s="1721"/>
      <c r="L68" s="1712"/>
      <c r="M68" s="1721"/>
      <c r="N68" s="1712"/>
      <c r="O68" s="1721"/>
      <c r="P68" s="1712"/>
      <c r="Q68" s="1721"/>
      <c r="R68" s="1712"/>
      <c r="S68" s="1721"/>
      <c r="T68" s="1712"/>
      <c r="U68" s="1721"/>
      <c r="V68" s="1712"/>
      <c r="W68" s="1721"/>
      <c r="X68" s="1712"/>
      <c r="Y68" s="1721"/>
      <c r="Z68" s="1712"/>
      <c r="AA68" s="1721"/>
      <c r="AB68" s="1712"/>
      <c r="AC68" s="1721"/>
      <c r="AD68" s="1712"/>
      <c r="AE68" s="1721"/>
      <c r="AF68" s="1724"/>
      <c r="AG68" s="1722"/>
      <c r="AH68" s="1724"/>
      <c r="AI68" s="1721"/>
      <c r="AJ68" s="1724"/>
      <c r="AK68" s="1721"/>
      <c r="AL68" s="48" t="str">
        <f t="shared" si="53"/>
        <v/>
      </c>
      <c r="CA68" s="80" t="str">
        <f t="shared" si="54"/>
        <v/>
      </c>
      <c r="CB68" s="80" t="str">
        <f t="shared" si="55"/>
        <v/>
      </c>
      <c r="CC68" s="80" t="str">
        <f t="shared" si="56"/>
        <v/>
      </c>
      <c r="CD68" s="80" t="str">
        <f t="shared" si="57"/>
        <v/>
      </c>
      <c r="DK68" s="287">
        <f t="shared" si="46"/>
        <v>0</v>
      </c>
      <c r="DL68" s="287">
        <f t="shared" si="47"/>
        <v>0</v>
      </c>
      <c r="DM68" s="287">
        <f t="shared" si="48"/>
        <v>0</v>
      </c>
      <c r="DN68" s="287">
        <f t="shared" si="49"/>
        <v>0</v>
      </c>
    </row>
    <row r="69" spans="1:118" ht="15" customHeight="1" x14ac:dyDescent="0.15">
      <c r="A69" s="2224" t="s">
        <v>538</v>
      </c>
      <c r="B69" s="2225"/>
      <c r="C69" s="326">
        <f t="shared" si="50"/>
        <v>0</v>
      </c>
      <c r="D69" s="103">
        <f t="shared" si="65"/>
        <v>0</v>
      </c>
      <c r="E69" s="122">
        <f t="shared" si="65"/>
        <v>0</v>
      </c>
      <c r="F69" s="1701"/>
      <c r="G69" s="1702"/>
      <c r="H69" s="1701"/>
      <c r="I69" s="1702"/>
      <c r="J69" s="1701"/>
      <c r="K69" s="1702"/>
      <c r="L69" s="1701"/>
      <c r="M69" s="1702"/>
      <c r="N69" s="1701"/>
      <c r="O69" s="1702"/>
      <c r="P69" s="1701"/>
      <c r="Q69" s="1702"/>
      <c r="R69" s="1701"/>
      <c r="S69" s="1702"/>
      <c r="T69" s="1701"/>
      <c r="U69" s="1702"/>
      <c r="V69" s="1701"/>
      <c r="W69" s="1702"/>
      <c r="X69" s="1701"/>
      <c r="Y69" s="1702"/>
      <c r="Z69" s="1701"/>
      <c r="AA69" s="1702"/>
      <c r="AB69" s="1701"/>
      <c r="AC69" s="1702"/>
      <c r="AD69" s="1706"/>
      <c r="AE69" s="1713"/>
      <c r="AF69" s="1730"/>
      <c r="AG69" s="1703"/>
      <c r="AH69" s="1730"/>
      <c r="AI69" s="1702"/>
      <c r="AJ69" s="1730"/>
      <c r="AK69" s="1702"/>
      <c r="AL69" s="48" t="str">
        <f t="shared" si="53"/>
        <v/>
      </c>
      <c r="CA69" s="80" t="str">
        <f t="shared" si="54"/>
        <v/>
      </c>
      <c r="CB69" s="80" t="str">
        <f t="shared" si="55"/>
        <v/>
      </c>
      <c r="CC69" s="80" t="str">
        <f t="shared" si="56"/>
        <v/>
      </c>
      <c r="CD69" s="80" t="str">
        <f t="shared" si="57"/>
        <v/>
      </c>
      <c r="DK69" s="287">
        <f t="shared" si="46"/>
        <v>0</v>
      </c>
      <c r="DL69" s="287">
        <f t="shared" si="47"/>
        <v>0</v>
      </c>
      <c r="DM69" s="287">
        <f t="shared" si="48"/>
        <v>0</v>
      </c>
      <c r="DN69" s="287">
        <f t="shared" si="49"/>
        <v>0</v>
      </c>
    </row>
    <row r="70" spans="1:118" ht="15" customHeight="1" x14ac:dyDescent="0.15">
      <c r="A70" s="2174" t="s">
        <v>539</v>
      </c>
      <c r="B70" s="2175"/>
      <c r="C70" s="331">
        <f t="shared" si="50"/>
        <v>0</v>
      </c>
      <c r="D70" s="107">
        <f t="shared" si="51"/>
        <v>0</v>
      </c>
      <c r="E70" s="121">
        <f t="shared" si="52"/>
        <v>0</v>
      </c>
      <c r="F70" s="1706"/>
      <c r="G70" s="1713"/>
      <c r="H70" s="1706"/>
      <c r="I70" s="1713"/>
      <c r="J70" s="1706"/>
      <c r="K70" s="1713"/>
      <c r="L70" s="1706"/>
      <c r="M70" s="1713"/>
      <c r="N70" s="1706"/>
      <c r="O70" s="1713"/>
      <c r="P70" s="1706"/>
      <c r="Q70" s="1713"/>
      <c r="R70" s="1706"/>
      <c r="S70" s="1713"/>
      <c r="T70" s="1706"/>
      <c r="U70" s="1713"/>
      <c r="V70" s="1706"/>
      <c r="W70" s="1713"/>
      <c r="X70" s="1706"/>
      <c r="Y70" s="1713"/>
      <c r="Z70" s="1706"/>
      <c r="AA70" s="1713"/>
      <c r="AB70" s="1706"/>
      <c r="AC70" s="1713"/>
      <c r="AD70" s="1706"/>
      <c r="AE70" s="1713"/>
      <c r="AF70" s="1725"/>
      <c r="AG70" s="1714"/>
      <c r="AH70" s="1730"/>
      <c r="AI70" s="1702"/>
      <c r="AJ70" s="1730"/>
      <c r="AK70" s="1702"/>
      <c r="AL70" s="48" t="str">
        <f t="shared" si="53"/>
        <v/>
      </c>
      <c r="CA70" s="80" t="str">
        <f t="shared" si="54"/>
        <v/>
      </c>
      <c r="CB70" s="80" t="str">
        <f t="shared" si="55"/>
        <v/>
      </c>
      <c r="CC70" s="80" t="str">
        <f t="shared" si="56"/>
        <v/>
      </c>
      <c r="CD70" s="80" t="str">
        <f t="shared" si="57"/>
        <v/>
      </c>
      <c r="DK70" s="287">
        <f t="shared" si="46"/>
        <v>0</v>
      </c>
      <c r="DL70" s="287">
        <f t="shared" si="47"/>
        <v>0</v>
      </c>
      <c r="DM70" s="287">
        <f t="shared" si="48"/>
        <v>0</v>
      </c>
      <c r="DN70" s="287">
        <f t="shared" si="49"/>
        <v>0</v>
      </c>
    </row>
    <row r="71" spans="1:118" ht="15" customHeight="1" x14ac:dyDescent="0.15">
      <c r="A71" s="2174" t="s">
        <v>540</v>
      </c>
      <c r="B71" s="2175"/>
      <c r="C71" s="326">
        <f>SUM(D71:E71)</f>
        <v>0</v>
      </c>
      <c r="D71" s="103">
        <f>+F71+H71+J71+L71+N71+P71+R71+T71+V71+X71+Z71+AB71+AD71+AF71</f>
        <v>0</v>
      </c>
      <c r="E71" s="122">
        <f>+G71+I71+K71+M71+O71+Q71+S71+U71+W71+Y71+AA71+AC71+AE71+AG71</f>
        <v>0</v>
      </c>
      <c r="F71" s="1701"/>
      <c r="G71" s="1702"/>
      <c r="H71" s="1701"/>
      <c r="I71" s="1702"/>
      <c r="J71" s="1701"/>
      <c r="K71" s="1702"/>
      <c r="L71" s="1701"/>
      <c r="M71" s="1702"/>
      <c r="N71" s="1701"/>
      <c r="O71" s="1702"/>
      <c r="P71" s="1701"/>
      <c r="Q71" s="1702"/>
      <c r="R71" s="1701"/>
      <c r="S71" s="1702"/>
      <c r="T71" s="1701"/>
      <c r="U71" s="1702"/>
      <c r="V71" s="1701"/>
      <c r="W71" s="1702"/>
      <c r="X71" s="1701"/>
      <c r="Y71" s="1702"/>
      <c r="Z71" s="1701"/>
      <c r="AA71" s="1702"/>
      <c r="AB71" s="1701"/>
      <c r="AC71" s="1702"/>
      <c r="AD71" s="1701"/>
      <c r="AE71" s="1702"/>
      <c r="AF71" s="1730"/>
      <c r="AG71" s="1703"/>
      <c r="AH71" s="1730"/>
      <c r="AI71" s="1702"/>
      <c r="AJ71" s="1730"/>
      <c r="AK71" s="1702"/>
      <c r="AL71" s="48" t="str">
        <f t="shared" si="53"/>
        <v/>
      </c>
      <c r="CA71" s="80" t="str">
        <f t="shared" si="54"/>
        <v/>
      </c>
      <c r="CB71" s="80" t="str">
        <f t="shared" si="55"/>
        <v/>
      </c>
      <c r="CC71" s="80" t="str">
        <f t="shared" si="56"/>
        <v/>
      </c>
      <c r="CD71" s="80" t="str">
        <f t="shared" si="57"/>
        <v/>
      </c>
      <c r="DK71" s="287">
        <f t="shared" si="46"/>
        <v>0</v>
      </c>
      <c r="DL71" s="287">
        <f t="shared" si="47"/>
        <v>0</v>
      </c>
      <c r="DM71" s="287">
        <f t="shared" si="48"/>
        <v>0</v>
      </c>
      <c r="DN71" s="287">
        <f t="shared" si="49"/>
        <v>0</v>
      </c>
    </row>
    <row r="72" spans="1:118" ht="15" customHeight="1" x14ac:dyDescent="0.15">
      <c r="A72" s="2226" t="s">
        <v>541</v>
      </c>
      <c r="B72" s="2227"/>
      <c r="C72" s="326">
        <f>SUM(D72:E72)</f>
        <v>0</v>
      </c>
      <c r="D72" s="103">
        <f t="shared" si="51"/>
        <v>0</v>
      </c>
      <c r="E72" s="118">
        <f t="shared" si="52"/>
        <v>0</v>
      </c>
      <c r="F72" s="1701"/>
      <c r="G72" s="1702"/>
      <c r="H72" s="1701"/>
      <c r="I72" s="1702"/>
      <c r="J72" s="1701"/>
      <c r="K72" s="1702"/>
      <c r="L72" s="1701"/>
      <c r="M72" s="1702"/>
      <c r="N72" s="1701"/>
      <c r="O72" s="1702"/>
      <c r="P72" s="1701"/>
      <c r="Q72" s="1702"/>
      <c r="R72" s="1701"/>
      <c r="S72" s="1702"/>
      <c r="T72" s="1701"/>
      <c r="U72" s="1702"/>
      <c r="V72" s="1701"/>
      <c r="W72" s="1702"/>
      <c r="X72" s="1701"/>
      <c r="Y72" s="1702"/>
      <c r="Z72" s="1701"/>
      <c r="AA72" s="1702"/>
      <c r="AB72" s="1701"/>
      <c r="AC72" s="1702"/>
      <c r="AD72" s="1701"/>
      <c r="AE72" s="1702"/>
      <c r="AF72" s="1730"/>
      <c r="AG72" s="1703"/>
      <c r="AH72" s="1730"/>
      <c r="AI72" s="1702"/>
      <c r="AJ72" s="1730"/>
      <c r="AK72" s="1702"/>
      <c r="AL72" s="48" t="str">
        <f t="shared" si="53"/>
        <v/>
      </c>
      <c r="CA72" s="80" t="str">
        <f t="shared" si="54"/>
        <v/>
      </c>
      <c r="CB72" s="80" t="str">
        <f t="shared" si="55"/>
        <v/>
      </c>
      <c r="CC72" s="80" t="str">
        <f t="shared" si="56"/>
        <v/>
      </c>
      <c r="CD72" s="80" t="str">
        <f t="shared" si="57"/>
        <v/>
      </c>
      <c r="DK72" s="287">
        <f t="shared" si="46"/>
        <v>0</v>
      </c>
      <c r="DL72" s="287">
        <f t="shared" si="47"/>
        <v>0</v>
      </c>
      <c r="DM72" s="287">
        <f t="shared" si="48"/>
        <v>0</v>
      </c>
      <c r="DN72" s="287">
        <f t="shared" si="49"/>
        <v>0</v>
      </c>
    </row>
    <row r="73" spans="1:118" ht="15" customHeight="1" x14ac:dyDescent="0.15">
      <c r="A73" s="2226" t="s">
        <v>542</v>
      </c>
      <c r="B73" s="2227"/>
      <c r="C73" s="326">
        <f t="shared" si="50"/>
        <v>0</v>
      </c>
      <c r="D73" s="103">
        <f t="shared" si="51"/>
        <v>0</v>
      </c>
      <c r="E73" s="118">
        <f t="shared" si="52"/>
        <v>0</v>
      </c>
      <c r="F73" s="1706"/>
      <c r="G73" s="1705"/>
      <c r="H73" s="1706"/>
      <c r="I73" s="1713"/>
      <c r="J73" s="1725"/>
      <c r="K73" s="1713"/>
      <c r="L73" s="1725"/>
      <c r="M73" s="1713"/>
      <c r="N73" s="1725"/>
      <c r="O73" s="1713"/>
      <c r="P73" s="1725"/>
      <c r="Q73" s="1713"/>
      <c r="R73" s="1725"/>
      <c r="S73" s="1713"/>
      <c r="T73" s="1706"/>
      <c r="U73" s="1713"/>
      <c r="V73" s="1706"/>
      <c r="W73" s="1713"/>
      <c r="X73" s="1706"/>
      <c r="Y73" s="1713"/>
      <c r="Z73" s="1706"/>
      <c r="AA73" s="1713"/>
      <c r="AB73" s="1706"/>
      <c r="AC73" s="1713"/>
      <c r="AD73" s="1706"/>
      <c r="AE73" s="1713"/>
      <c r="AF73" s="1725"/>
      <c r="AG73" s="1738"/>
      <c r="AH73" s="1725"/>
      <c r="AI73" s="1713"/>
      <c r="AJ73" s="1725"/>
      <c r="AK73" s="1713"/>
      <c r="AL73" s="48" t="str">
        <f t="shared" si="53"/>
        <v/>
      </c>
      <c r="CA73" s="80" t="str">
        <f t="shared" si="54"/>
        <v/>
      </c>
      <c r="CB73" s="80" t="str">
        <f t="shared" si="55"/>
        <v/>
      </c>
      <c r="CC73" s="80" t="str">
        <f t="shared" si="56"/>
        <v/>
      </c>
      <c r="CD73" s="80" t="str">
        <f t="shared" si="57"/>
        <v/>
      </c>
      <c r="DK73" s="287">
        <f t="shared" si="46"/>
        <v>0</v>
      </c>
      <c r="DL73" s="287">
        <f t="shared" si="47"/>
        <v>0</v>
      </c>
      <c r="DM73" s="287">
        <f t="shared" si="48"/>
        <v>0</v>
      </c>
      <c r="DN73" s="287">
        <f t="shared" si="49"/>
        <v>0</v>
      </c>
    </row>
    <row r="74" spans="1:118" ht="15" customHeight="1" x14ac:dyDescent="0.15">
      <c r="A74" s="2228" t="s">
        <v>543</v>
      </c>
      <c r="B74" s="2229"/>
      <c r="C74" s="118">
        <f t="shared" ref="C74" si="66">SUM(D74:E74)</f>
        <v>0</v>
      </c>
      <c r="D74" s="107">
        <f t="shared" ref="D74" si="67">+F74+H74+J74+L74+N74+P74+R74+T74+V74+X74+Z74+AB74+AD74+AF74</f>
        <v>0</v>
      </c>
      <c r="E74" s="118">
        <f t="shared" ref="E74" si="68">+G74+I74+K74+M74+O74+Q74+S74+U74+W74+Y74+AA74+AC74+AE74+AG74</f>
        <v>0</v>
      </c>
      <c r="F74" s="1706"/>
      <c r="G74" s="1705"/>
      <c r="H74" s="1706"/>
      <c r="I74" s="1713"/>
      <c r="J74" s="1725"/>
      <c r="K74" s="1713"/>
      <c r="L74" s="1725"/>
      <c r="M74" s="1713"/>
      <c r="N74" s="1725"/>
      <c r="O74" s="1713"/>
      <c r="P74" s="1725"/>
      <c r="Q74" s="1713"/>
      <c r="R74" s="1725"/>
      <c r="S74" s="1713"/>
      <c r="T74" s="1725"/>
      <c r="U74" s="1713"/>
      <c r="V74" s="1725"/>
      <c r="W74" s="1713"/>
      <c r="X74" s="1725"/>
      <c r="Y74" s="1713"/>
      <c r="Z74" s="1725"/>
      <c r="AA74" s="1713"/>
      <c r="AB74" s="1725"/>
      <c r="AC74" s="1713"/>
      <c r="AD74" s="1725"/>
      <c r="AE74" s="1713"/>
      <c r="AF74" s="1725"/>
      <c r="AG74" s="1738"/>
      <c r="AH74" s="1725"/>
      <c r="AI74" s="1713"/>
      <c r="AJ74" s="1725"/>
      <c r="AK74" s="1713"/>
      <c r="AL74" s="48" t="str">
        <f t="shared" si="53"/>
        <v/>
      </c>
      <c r="CA74" s="80" t="str">
        <f t="shared" si="54"/>
        <v/>
      </c>
      <c r="CB74" s="80" t="str">
        <f t="shared" si="55"/>
        <v/>
      </c>
      <c r="CC74" s="80" t="str">
        <f t="shared" si="56"/>
        <v/>
      </c>
      <c r="CD74" s="80" t="str">
        <f t="shared" si="57"/>
        <v/>
      </c>
      <c r="DK74" s="287">
        <f t="shared" si="46"/>
        <v>0</v>
      </c>
      <c r="DL74" s="287">
        <f t="shared" si="47"/>
        <v>0</v>
      </c>
      <c r="DM74" s="287">
        <f t="shared" si="48"/>
        <v>0</v>
      </c>
      <c r="DN74" s="287">
        <f t="shared" si="49"/>
        <v>0</v>
      </c>
    </row>
    <row r="75" spans="1:118" ht="15" customHeight="1" x14ac:dyDescent="0.15">
      <c r="A75" s="1778" t="s">
        <v>921</v>
      </c>
      <c r="B75" s="1760"/>
      <c r="C75" s="118">
        <f>SUM(D75:E75)</f>
        <v>0</v>
      </c>
      <c r="D75" s="107">
        <f>+F75+H75+J75+L75+N75+P75+R75+T75+V75+X75+Z75+AB75+AD75+AF75</f>
        <v>0</v>
      </c>
      <c r="E75" s="118">
        <f>+G75+I75+K75+M75+O75+Q75+S75+U75+W75+Y75+AA75+AC75+AE75+AG75</f>
        <v>0</v>
      </c>
      <c r="F75" s="1706"/>
      <c r="G75" s="1705"/>
      <c r="H75" s="1706"/>
      <c r="I75" s="1713"/>
      <c r="J75" s="1725"/>
      <c r="K75" s="1713"/>
      <c r="L75" s="1725"/>
      <c r="M75" s="1713"/>
      <c r="N75" s="1725"/>
      <c r="O75" s="1713"/>
      <c r="P75" s="1725"/>
      <c r="Q75" s="1713"/>
      <c r="R75" s="1725"/>
      <c r="S75" s="1713"/>
      <c r="T75" s="1725"/>
      <c r="U75" s="1713"/>
      <c r="V75" s="1725"/>
      <c r="W75" s="1713"/>
      <c r="X75" s="1725"/>
      <c r="Y75" s="1713"/>
      <c r="Z75" s="1725"/>
      <c r="AA75" s="1713"/>
      <c r="AB75" s="1725"/>
      <c r="AC75" s="1713"/>
      <c r="AD75" s="1725"/>
      <c r="AE75" s="1713"/>
      <c r="AF75" s="1725"/>
      <c r="AG75" s="1738"/>
      <c r="AH75" s="1725"/>
      <c r="AI75" s="1713"/>
      <c r="AJ75" s="1725"/>
      <c r="AK75" s="1713"/>
      <c r="CA75" s="80"/>
      <c r="CB75" s="80"/>
      <c r="CC75" s="80"/>
      <c r="CD75" s="80"/>
      <c r="DK75" s="287"/>
      <c r="DL75" s="287"/>
      <c r="DM75" s="287"/>
      <c r="DN75" s="287"/>
    </row>
    <row r="76" spans="1:118" ht="15" customHeight="1" x14ac:dyDescent="0.15">
      <c r="A76" s="377" t="s">
        <v>544</v>
      </c>
      <c r="B76" s="219"/>
      <c r="C76" s="2187"/>
      <c r="D76" s="2187"/>
      <c r="E76" s="2187"/>
      <c r="F76" s="2187"/>
      <c r="G76" s="2187"/>
      <c r="H76" s="2187"/>
      <c r="I76" s="2187"/>
      <c r="J76" s="2187"/>
      <c r="K76" s="2187"/>
      <c r="L76" s="2187"/>
      <c r="M76" s="2187"/>
      <c r="N76" s="2187"/>
      <c r="O76" s="2187"/>
      <c r="P76" s="2187"/>
      <c r="Q76" s="2187"/>
      <c r="R76" s="2187"/>
      <c r="S76" s="2187"/>
      <c r="T76" s="2187"/>
      <c r="U76" s="2187"/>
      <c r="V76" s="2187"/>
      <c r="W76" s="2187"/>
      <c r="X76" s="2187"/>
      <c r="Y76" s="2187"/>
      <c r="Z76" s="2187"/>
      <c r="AA76" s="2187"/>
      <c r="AB76" s="2187"/>
      <c r="AC76" s="2187"/>
      <c r="AD76" s="2187"/>
      <c r="AE76" s="2187"/>
      <c r="AF76" s="2187"/>
      <c r="AG76" s="2187"/>
      <c r="AH76" s="2187"/>
      <c r="AI76" s="2187"/>
      <c r="AJ76" s="2187"/>
      <c r="AK76" s="2188"/>
    </row>
    <row r="77" spans="1:118" ht="15" customHeight="1" x14ac:dyDescent="0.15">
      <c r="A77" s="2217" t="s">
        <v>517</v>
      </c>
      <c r="B77" s="2218"/>
      <c r="C77" s="329">
        <f t="shared" ref="C77:C81" si="69">SUM(D77:E77)</f>
        <v>0</v>
      </c>
      <c r="D77" s="103">
        <f>+F77+H77+J77+L77+N77+P77+R77+T77+V77+X77+Z77+AB77+AD77+AF77</f>
        <v>0</v>
      </c>
      <c r="E77" s="122">
        <f>+G77+I77+K77+M77+O77+Q77+S77+U77+W77+Y77+AA77+AC77+AE77+AG77</f>
        <v>0</v>
      </c>
      <c r="F77" s="1696"/>
      <c r="G77" s="1697"/>
      <c r="H77" s="1701"/>
      <c r="I77" s="1702"/>
      <c r="J77" s="1701"/>
      <c r="K77" s="1702"/>
      <c r="L77" s="1701"/>
      <c r="M77" s="1702"/>
      <c r="N77" s="1701"/>
      <c r="O77" s="1702"/>
      <c r="P77" s="1701"/>
      <c r="Q77" s="1702"/>
      <c r="R77" s="1701"/>
      <c r="S77" s="1702"/>
      <c r="T77" s="1701"/>
      <c r="U77" s="1702"/>
      <c r="V77" s="1701"/>
      <c r="W77" s="1702"/>
      <c r="X77" s="1701"/>
      <c r="Y77" s="1702"/>
      <c r="Z77" s="1701"/>
      <c r="AA77" s="1702"/>
      <c r="AB77" s="1701"/>
      <c r="AC77" s="1702"/>
      <c r="AD77" s="1701"/>
      <c r="AE77" s="1702"/>
      <c r="AF77" s="1730"/>
      <c r="AG77" s="1703"/>
      <c r="AH77" s="1730"/>
      <c r="AI77" s="1702"/>
      <c r="AJ77" s="1730"/>
      <c r="AK77" s="1702"/>
      <c r="AL77" s="48" t="str">
        <f>CA77&amp;CB77&amp;CC77&amp;CD77</f>
        <v/>
      </c>
      <c r="CA77" s="80" t="str">
        <f t="shared" ref="CA77:CA82" si="70">IF(AND(D77&gt;0,OR(AH77=""))," * No olvide digitar la variable Pueblos Originarios Hombres. Digite Cero si no tiene.",IF(AH77&gt;D77," * La variable Pueblos Originarios Hombres no puede ser Mayor al Total Hombres.",""))</f>
        <v/>
      </c>
      <c r="CB77" s="80" t="str">
        <f t="shared" ref="CB77:CB82" si="71">IF(AND(E77&gt;0,OR(AI77=""))," * No olvide digitar la variable Pueblos Originarios Mujeres. Digite Cero si no tiene.",IF(AI77&gt;E77," * La variable Pueblos Originarios Mujeres no puede ser Mayor al Total Mujeres.",""))</f>
        <v/>
      </c>
      <c r="CC77" s="80" t="str">
        <f t="shared" ref="CC77:CC82" si="72">IF(AND($D77&gt;0,OR(AJ77=""))," * No olvide digitar la variable Migrantes Hombres. Digite Cero si no tiene.",IF(AJ77&gt;$D77," * La variable Migrantes Hombres no puede ser Mayor al Total Hombres.",""))</f>
        <v/>
      </c>
      <c r="CD77" s="80" t="str">
        <f t="shared" ref="CD77:CD82" si="73">IF(AND(E77&gt;0,OR(AK77=""))," * No olvide digitar la variable Migrantes Mujeres. Digite Cero si no tiene.",IF(AK77&gt;E77," * La variable Migrantes Mujeres no puede ser Mayor al Total Mujeres.",""))</f>
        <v/>
      </c>
      <c r="DK77" s="287">
        <f t="shared" si="46"/>
        <v>0</v>
      </c>
      <c r="DL77" s="287">
        <f t="shared" si="47"/>
        <v>0</v>
      </c>
      <c r="DM77" s="287">
        <f t="shared" si="48"/>
        <v>0</v>
      </c>
      <c r="DN77" s="287">
        <f t="shared" si="49"/>
        <v>0</v>
      </c>
    </row>
    <row r="78" spans="1:118" ht="15" customHeight="1" x14ac:dyDescent="0.15">
      <c r="A78" s="2183" t="s">
        <v>545</v>
      </c>
      <c r="B78" s="2184"/>
      <c r="C78" s="326">
        <f t="shared" ref="C78:C79" si="74">SUM(D78:E78)</f>
        <v>0</v>
      </c>
      <c r="D78" s="103">
        <f t="shared" ref="D78:D79" si="75">+F78+H78+J78+L78+N78+P78+R78+T78+V78+X78+Z78+AB78+AD78+AF78</f>
        <v>0</v>
      </c>
      <c r="E78" s="122">
        <f t="shared" ref="E78:E79" si="76">+G78+I78+K78+M78+O78+Q78+S78+U78+W78+Y78+AA78+AC78+AE78+AG78</f>
        <v>0</v>
      </c>
      <c r="F78" s="1701"/>
      <c r="G78" s="1702"/>
      <c r="H78" s="1701"/>
      <c r="I78" s="1702"/>
      <c r="J78" s="1701"/>
      <c r="K78" s="1702"/>
      <c r="L78" s="1701"/>
      <c r="M78" s="1702"/>
      <c r="N78" s="1701"/>
      <c r="O78" s="1702"/>
      <c r="P78" s="1701"/>
      <c r="Q78" s="1702"/>
      <c r="R78" s="1701"/>
      <c r="S78" s="1702"/>
      <c r="T78" s="1701"/>
      <c r="U78" s="1702"/>
      <c r="V78" s="1701"/>
      <c r="W78" s="1702"/>
      <c r="X78" s="1701"/>
      <c r="Y78" s="1702"/>
      <c r="Z78" s="1701"/>
      <c r="AA78" s="1702"/>
      <c r="AB78" s="1701"/>
      <c r="AC78" s="1702"/>
      <c r="AD78" s="1701"/>
      <c r="AE78" s="1702"/>
      <c r="AF78" s="1730"/>
      <c r="AG78" s="1703"/>
      <c r="AH78" s="1730"/>
      <c r="AI78" s="1702"/>
      <c r="AJ78" s="1730"/>
      <c r="AK78" s="1702"/>
      <c r="AL78" s="48" t="str">
        <f t="shared" si="53"/>
        <v/>
      </c>
      <c r="CA78" s="80" t="str">
        <f t="shared" si="70"/>
        <v/>
      </c>
      <c r="CB78" s="80" t="str">
        <f t="shared" si="71"/>
        <v/>
      </c>
      <c r="CC78" s="80" t="str">
        <f t="shared" si="72"/>
        <v/>
      </c>
      <c r="CD78" s="80" t="str">
        <f t="shared" si="73"/>
        <v/>
      </c>
      <c r="DK78" s="287">
        <f t="shared" si="46"/>
        <v>0</v>
      </c>
      <c r="DL78" s="287">
        <f t="shared" si="47"/>
        <v>0</v>
      </c>
      <c r="DM78" s="287">
        <f t="shared" si="48"/>
        <v>0</v>
      </c>
      <c r="DN78" s="287">
        <f t="shared" si="49"/>
        <v>0</v>
      </c>
    </row>
    <row r="79" spans="1:118" ht="15" customHeight="1" x14ac:dyDescent="0.15">
      <c r="A79" s="2183" t="s">
        <v>519</v>
      </c>
      <c r="B79" s="2184"/>
      <c r="C79" s="326">
        <f t="shared" si="74"/>
        <v>0</v>
      </c>
      <c r="D79" s="103">
        <f t="shared" si="75"/>
        <v>0</v>
      </c>
      <c r="E79" s="122">
        <f t="shared" si="76"/>
        <v>0</v>
      </c>
      <c r="F79" s="1701"/>
      <c r="G79" s="1702"/>
      <c r="H79" s="1701"/>
      <c r="I79" s="1702"/>
      <c r="J79" s="1701"/>
      <c r="K79" s="1702"/>
      <c r="L79" s="1701"/>
      <c r="M79" s="1702"/>
      <c r="N79" s="1701"/>
      <c r="O79" s="1702"/>
      <c r="P79" s="1701"/>
      <c r="Q79" s="1702"/>
      <c r="R79" s="1701"/>
      <c r="S79" s="1702"/>
      <c r="T79" s="1701"/>
      <c r="U79" s="1702"/>
      <c r="V79" s="1701"/>
      <c r="W79" s="1702"/>
      <c r="X79" s="1701"/>
      <c r="Y79" s="1702"/>
      <c r="Z79" s="1701"/>
      <c r="AA79" s="1702"/>
      <c r="AB79" s="1701"/>
      <c r="AC79" s="1702"/>
      <c r="AD79" s="1701"/>
      <c r="AE79" s="1702"/>
      <c r="AF79" s="1730"/>
      <c r="AG79" s="1703"/>
      <c r="AH79" s="1730"/>
      <c r="AI79" s="1702"/>
      <c r="AJ79" s="1730"/>
      <c r="AK79" s="1702"/>
      <c r="AL79" s="48" t="str">
        <f t="shared" si="53"/>
        <v/>
      </c>
      <c r="CA79" s="80" t="str">
        <f t="shared" si="70"/>
        <v/>
      </c>
      <c r="CB79" s="80" t="str">
        <f t="shared" si="71"/>
        <v/>
      </c>
      <c r="CC79" s="80" t="str">
        <f t="shared" si="72"/>
        <v/>
      </c>
      <c r="CD79" s="80" t="str">
        <f t="shared" si="73"/>
        <v/>
      </c>
      <c r="DK79" s="287">
        <f t="shared" si="46"/>
        <v>0</v>
      </c>
      <c r="DL79" s="287">
        <f t="shared" si="47"/>
        <v>0</v>
      </c>
      <c r="DM79" s="287">
        <f t="shared" si="48"/>
        <v>0</v>
      </c>
      <c r="DN79" s="287">
        <f t="shared" si="49"/>
        <v>0</v>
      </c>
    </row>
    <row r="80" spans="1:118" ht="15" customHeight="1" x14ac:dyDescent="0.15">
      <c r="A80" s="2145" t="s">
        <v>546</v>
      </c>
      <c r="B80" s="2146"/>
      <c r="C80" s="331">
        <f t="shared" si="69"/>
        <v>0</v>
      </c>
      <c r="D80" s="107">
        <f t="shared" ref="D80:D81" si="77">+F80+H80+J80+L80+N80+P80+R80+T80+V80+X80+Z80+AB80+AD80+AF80</f>
        <v>0</v>
      </c>
      <c r="E80" s="121">
        <f t="shared" ref="E80:E81" si="78">+G80+I80+K80+M80+O80+Q80+S80+U80+W80+Y80+AA80+AC80+AE80+AG80</f>
        <v>0</v>
      </c>
      <c r="F80" s="1706"/>
      <c r="G80" s="1713"/>
      <c r="H80" s="1706"/>
      <c r="I80" s="1713"/>
      <c r="J80" s="1706"/>
      <c r="K80" s="1713"/>
      <c r="L80" s="1706"/>
      <c r="M80" s="1713"/>
      <c r="N80" s="1706"/>
      <c r="O80" s="1713"/>
      <c r="P80" s="1706"/>
      <c r="Q80" s="1713"/>
      <c r="R80" s="1706"/>
      <c r="S80" s="1713"/>
      <c r="T80" s="1706"/>
      <c r="U80" s="1713"/>
      <c r="V80" s="1706"/>
      <c r="W80" s="1713"/>
      <c r="X80" s="1706"/>
      <c r="Y80" s="1713"/>
      <c r="Z80" s="1706"/>
      <c r="AA80" s="1713"/>
      <c r="AB80" s="1706"/>
      <c r="AC80" s="1713"/>
      <c r="AD80" s="1706"/>
      <c r="AE80" s="1713"/>
      <c r="AF80" s="1725"/>
      <c r="AG80" s="1714"/>
      <c r="AH80" s="1730"/>
      <c r="AI80" s="1702"/>
      <c r="AJ80" s="1730"/>
      <c r="AK80" s="1702"/>
      <c r="AL80" s="48" t="str">
        <f t="shared" si="53"/>
        <v/>
      </c>
      <c r="CA80" s="80" t="str">
        <f t="shared" si="70"/>
        <v/>
      </c>
      <c r="CB80" s="80" t="str">
        <f t="shared" si="71"/>
        <v/>
      </c>
      <c r="CC80" s="80" t="str">
        <f t="shared" si="72"/>
        <v/>
      </c>
      <c r="CD80" s="80" t="str">
        <f t="shared" si="73"/>
        <v/>
      </c>
      <c r="DK80" s="287">
        <f t="shared" si="46"/>
        <v>0</v>
      </c>
      <c r="DL80" s="287">
        <f t="shared" si="47"/>
        <v>0</v>
      </c>
      <c r="DM80" s="287">
        <f t="shared" si="48"/>
        <v>0</v>
      </c>
      <c r="DN80" s="287">
        <f t="shared" si="49"/>
        <v>0</v>
      </c>
    </row>
    <row r="81" spans="1:146" ht="15" customHeight="1" x14ac:dyDescent="0.15">
      <c r="A81" s="2183" t="s">
        <v>540</v>
      </c>
      <c r="B81" s="2184"/>
      <c r="C81" s="331">
        <f t="shared" si="69"/>
        <v>0</v>
      </c>
      <c r="D81" s="107">
        <f t="shared" si="77"/>
        <v>0</v>
      </c>
      <c r="E81" s="118">
        <f t="shared" si="78"/>
        <v>0</v>
      </c>
      <c r="F81" s="1706"/>
      <c r="G81" s="1705"/>
      <c r="H81" s="1706"/>
      <c r="I81" s="1705"/>
      <c r="J81" s="1706"/>
      <c r="K81" s="1705"/>
      <c r="L81" s="1706"/>
      <c r="M81" s="1705"/>
      <c r="N81" s="1706"/>
      <c r="O81" s="1705"/>
      <c r="P81" s="1706"/>
      <c r="Q81" s="1705"/>
      <c r="R81" s="1725"/>
      <c r="S81" s="1705"/>
      <c r="T81" s="1725"/>
      <c r="U81" s="1705"/>
      <c r="V81" s="1725"/>
      <c r="W81" s="1705"/>
      <c r="X81" s="1725"/>
      <c r="Y81" s="1705"/>
      <c r="Z81" s="1725"/>
      <c r="AA81" s="1705"/>
      <c r="AB81" s="1725"/>
      <c r="AC81" s="1705"/>
      <c r="AD81" s="1725"/>
      <c r="AE81" s="1705"/>
      <c r="AF81" s="1725"/>
      <c r="AG81" s="1738"/>
      <c r="AH81" s="1725"/>
      <c r="AI81" s="1705"/>
      <c r="AJ81" s="1725"/>
      <c r="AK81" s="1705"/>
      <c r="AL81" s="48" t="str">
        <f t="shared" si="53"/>
        <v/>
      </c>
      <c r="CA81" s="80" t="str">
        <f t="shared" si="70"/>
        <v/>
      </c>
      <c r="CB81" s="80" t="str">
        <f t="shared" si="71"/>
        <v/>
      </c>
      <c r="CC81" s="80" t="str">
        <f t="shared" si="72"/>
        <v/>
      </c>
      <c r="CD81" s="80" t="str">
        <f t="shared" si="73"/>
        <v/>
      </c>
      <c r="DK81" s="287">
        <f t="shared" si="46"/>
        <v>0</v>
      </c>
      <c r="DL81" s="287">
        <f t="shared" si="47"/>
        <v>0</v>
      </c>
      <c r="DM81" s="287">
        <f t="shared" si="48"/>
        <v>0</v>
      </c>
      <c r="DN81" s="287">
        <f t="shared" si="49"/>
        <v>0</v>
      </c>
    </row>
    <row r="82" spans="1:146" ht="15" customHeight="1" x14ac:dyDescent="0.15">
      <c r="A82" s="2185" t="s">
        <v>547</v>
      </c>
      <c r="B82" s="2186"/>
      <c r="C82" s="328">
        <f t="shared" ref="C82" si="79">SUM(D82:E82)</f>
        <v>0</v>
      </c>
      <c r="D82" s="185">
        <f t="shared" ref="D82" si="80">+F82+H82+J82+L82+N82+P82+R82+T82+V82+X82+Z82+AB82+AD82+AF82</f>
        <v>0</v>
      </c>
      <c r="E82" s="263">
        <f t="shared" ref="E82" si="81">+G82+I82+K82+M82+O82+Q82+S82+U82+W82+Y82+AA82+AC82+AE82+AG82</f>
        <v>0</v>
      </c>
      <c r="F82" s="1712"/>
      <c r="G82" s="1739"/>
      <c r="H82" s="1707"/>
      <c r="I82" s="1739"/>
      <c r="J82" s="1707"/>
      <c r="K82" s="1739"/>
      <c r="L82" s="1707"/>
      <c r="M82" s="1739"/>
      <c r="N82" s="1707"/>
      <c r="O82" s="1739"/>
      <c r="P82" s="1707"/>
      <c r="Q82" s="1739"/>
      <c r="R82" s="1727"/>
      <c r="S82" s="1739"/>
      <c r="T82" s="1727"/>
      <c r="U82" s="1739"/>
      <c r="V82" s="1727"/>
      <c r="W82" s="1739"/>
      <c r="X82" s="1727"/>
      <c r="Y82" s="1739"/>
      <c r="Z82" s="1727"/>
      <c r="AA82" s="1739"/>
      <c r="AB82" s="1727"/>
      <c r="AC82" s="1739"/>
      <c r="AD82" s="1727"/>
      <c r="AE82" s="1739"/>
      <c r="AF82" s="1727"/>
      <c r="AG82" s="1740"/>
      <c r="AH82" s="1727"/>
      <c r="AI82" s="1739"/>
      <c r="AJ82" s="1727"/>
      <c r="AK82" s="1739"/>
      <c r="AL82" s="48" t="str">
        <f t="shared" si="53"/>
        <v/>
      </c>
      <c r="CA82" s="80" t="str">
        <f t="shared" si="70"/>
        <v/>
      </c>
      <c r="CB82" s="80" t="str">
        <f t="shared" si="71"/>
        <v/>
      </c>
      <c r="CC82" s="80" t="str">
        <f t="shared" si="72"/>
        <v/>
      </c>
      <c r="CD82" s="80" t="str">
        <f t="shared" si="73"/>
        <v/>
      </c>
      <c r="DK82" s="287">
        <f t="shared" si="46"/>
        <v>0</v>
      </c>
      <c r="DL82" s="287">
        <f t="shared" si="47"/>
        <v>0</v>
      </c>
      <c r="DM82" s="287">
        <f t="shared" si="48"/>
        <v>0</v>
      </c>
      <c r="DN82" s="287">
        <f t="shared" si="49"/>
        <v>0</v>
      </c>
    </row>
    <row r="83" spans="1:146" ht="15" customHeight="1" x14ac:dyDescent="0.15">
      <c r="A83" s="2211" t="s">
        <v>548</v>
      </c>
      <c r="B83" s="2212"/>
      <c r="C83" s="2162"/>
      <c r="D83" s="2162"/>
      <c r="E83" s="2162"/>
      <c r="F83" s="2162"/>
      <c r="G83" s="2162"/>
      <c r="H83" s="2162"/>
      <c r="I83" s="2162"/>
      <c r="J83" s="2162"/>
      <c r="K83" s="2162"/>
      <c r="L83" s="2162"/>
      <c r="M83" s="2162"/>
      <c r="N83" s="2162"/>
      <c r="O83" s="2162"/>
      <c r="P83" s="2162"/>
      <c r="Q83" s="2162"/>
      <c r="R83" s="2162"/>
      <c r="S83" s="2162"/>
      <c r="T83" s="2162"/>
      <c r="U83" s="2162"/>
      <c r="V83" s="2162"/>
      <c r="W83" s="2162"/>
      <c r="X83" s="2162"/>
      <c r="Y83" s="2162"/>
      <c r="Z83" s="2162"/>
      <c r="AA83" s="2162"/>
      <c r="AB83" s="2162"/>
      <c r="AC83" s="2162"/>
      <c r="AD83" s="2162"/>
      <c r="AE83" s="2162"/>
      <c r="AF83" s="2162"/>
      <c r="AG83" s="2162"/>
      <c r="AH83" s="2162"/>
      <c r="AI83" s="2162"/>
      <c r="AJ83" s="2162"/>
      <c r="AK83" s="2198"/>
    </row>
    <row r="84" spans="1:146" ht="15" customHeight="1" x14ac:dyDescent="0.15">
      <c r="A84" s="2147" t="s">
        <v>549</v>
      </c>
      <c r="B84" s="2148"/>
      <c r="C84" s="329">
        <f t="shared" ref="C84:C89" si="82">SUM(D84:E84)</f>
        <v>0</v>
      </c>
      <c r="D84" s="106">
        <f>+F84+H84+J84+L84+N84+P84+R84+T84+V84+X84</f>
        <v>0</v>
      </c>
      <c r="E84" s="120">
        <f>+G84+I84+K84+M84+O84+Q84+S84+U84+W84+Y84</f>
        <v>0</v>
      </c>
      <c r="F84" s="1696"/>
      <c r="G84" s="1697"/>
      <c r="H84" s="1696"/>
      <c r="I84" s="1697"/>
      <c r="J84" s="1696"/>
      <c r="K84" s="1697"/>
      <c r="L84" s="1696"/>
      <c r="M84" s="1697"/>
      <c r="N84" s="1696"/>
      <c r="O84" s="1697"/>
      <c r="P84" s="1696"/>
      <c r="Q84" s="1697"/>
      <c r="R84" s="1696"/>
      <c r="S84" s="1697"/>
      <c r="T84" s="1696"/>
      <c r="U84" s="1697"/>
      <c r="V84" s="1696"/>
      <c r="W84" s="1697"/>
      <c r="X84" s="1696"/>
      <c r="Y84" s="1697"/>
      <c r="Z84" s="109"/>
      <c r="AA84" s="110"/>
      <c r="AB84" s="109"/>
      <c r="AC84" s="110"/>
      <c r="AD84" s="109"/>
      <c r="AE84" s="110"/>
      <c r="AF84" s="266"/>
      <c r="AG84" s="204"/>
      <c r="AH84" s="1730"/>
      <c r="AI84" s="1697"/>
      <c r="AJ84" s="1730"/>
      <c r="AK84" s="1702"/>
      <c r="AL84" s="48" t="str">
        <f t="shared" si="53"/>
        <v/>
      </c>
      <c r="CA84" s="80" t="str">
        <f>IF(AND(D84&gt;0,OR(AH84=""))," * No olvide digitar la variable Pueblos Originarios Hombres. Digite Cero si no tiene.",IF(AH84&gt;D84," * La variable Pueblos Originarios Hombres no puede ser Mayor al Total Hombres.",""))</f>
        <v/>
      </c>
      <c r="CB84" s="80" t="str">
        <f t="shared" ref="CB84:CB89" si="83">IF(AND(E84&gt;0,OR(AI84=""))," * No olvide digitar la variable Pueblos Originarios Mujeres. Digite Cero si no tiene.",IF(AI84&gt;E84," * La variable Pueblos Originarios Mujeres no puede ser Mayor al Total Mujeres.",""))</f>
        <v/>
      </c>
      <c r="CC84" s="80" t="str">
        <f t="shared" ref="CC84:CC89" si="84">IF(AND($D84&gt;0,OR(AJ84=""))," * No olvide digitar la variable Migrantes Hombres. Digite Cero si no tiene.",IF(AJ84&gt;$D84," * La variable Migrantes Hombres no puede ser Mayor al Total Hombres.",""))</f>
        <v/>
      </c>
      <c r="CD84" s="80" t="str">
        <f t="shared" ref="CD84:CD89" si="85">IF(AND(E84&gt;0,OR(AK84=""))," * No olvide digitar la variable Migrantes Mujeres. Digite Cero si no tiene.",IF(AK84&gt;E84," * La variable Migrantes Mujeres no puede ser Mayor al Total Mujeres.",""))</f>
        <v/>
      </c>
      <c r="DK84" s="287">
        <f t="shared" si="46"/>
        <v>0</v>
      </c>
      <c r="DL84" s="287">
        <f t="shared" si="47"/>
        <v>0</v>
      </c>
      <c r="DM84" s="287">
        <f t="shared" si="48"/>
        <v>0</v>
      </c>
      <c r="DN84" s="287">
        <f t="shared" si="49"/>
        <v>0</v>
      </c>
    </row>
    <row r="85" spans="1:146" ht="15" customHeight="1" x14ac:dyDescent="0.15">
      <c r="A85" s="2145" t="s">
        <v>550</v>
      </c>
      <c r="B85" s="2146"/>
      <c r="C85" s="326">
        <f t="shared" si="82"/>
        <v>0</v>
      </c>
      <c r="D85" s="103">
        <f>+Z85+AB85+AD85+AF85</f>
        <v>0</v>
      </c>
      <c r="E85" s="122">
        <f>+AA85+AC85+AE85+AG85</f>
        <v>0</v>
      </c>
      <c r="F85" s="186"/>
      <c r="G85" s="187"/>
      <c r="H85" s="186"/>
      <c r="I85" s="187"/>
      <c r="J85" s="186"/>
      <c r="K85" s="187"/>
      <c r="L85" s="186"/>
      <c r="M85" s="187"/>
      <c r="N85" s="186"/>
      <c r="O85" s="187"/>
      <c r="P85" s="186"/>
      <c r="Q85" s="187"/>
      <c r="R85" s="186"/>
      <c r="S85" s="187"/>
      <c r="T85" s="186"/>
      <c r="U85" s="187"/>
      <c r="V85" s="186"/>
      <c r="W85" s="187"/>
      <c r="X85" s="186"/>
      <c r="Y85" s="187"/>
      <c r="Z85" s="1701"/>
      <c r="AA85" s="1702"/>
      <c r="AB85" s="1701"/>
      <c r="AC85" s="1702"/>
      <c r="AD85" s="1701"/>
      <c r="AE85" s="1702"/>
      <c r="AF85" s="1730"/>
      <c r="AG85" s="1703"/>
      <c r="AH85" s="1730"/>
      <c r="AI85" s="1702"/>
      <c r="AJ85" s="1730"/>
      <c r="AK85" s="1702"/>
      <c r="AL85" s="48" t="str">
        <f t="shared" si="53"/>
        <v/>
      </c>
      <c r="CA85" s="80" t="str">
        <f t="shared" ref="CA85:CA97" si="86">IF(AND(D85&gt;0,OR(AH85=""))," * No olvide digitar la variable Pueblos Originarios Hombres. Digite Cero si no tiene.",IF(AH85&gt;D85," * La variable Pueblos Originarios Hombres no puede ser Mayor al Total Hombres.",""))</f>
        <v/>
      </c>
      <c r="CB85" s="80" t="str">
        <f t="shared" si="83"/>
        <v/>
      </c>
      <c r="CC85" s="80" t="str">
        <f t="shared" si="84"/>
        <v/>
      </c>
      <c r="CD85" s="80" t="str">
        <f t="shared" si="85"/>
        <v/>
      </c>
      <c r="DK85" s="287">
        <f t="shared" si="46"/>
        <v>0</v>
      </c>
      <c r="DL85" s="287">
        <f t="shared" si="47"/>
        <v>0</v>
      </c>
      <c r="DM85" s="287">
        <f t="shared" si="48"/>
        <v>0</v>
      </c>
      <c r="DN85" s="287">
        <f t="shared" si="49"/>
        <v>0</v>
      </c>
    </row>
    <row r="86" spans="1:146" ht="15" customHeight="1" x14ac:dyDescent="0.15">
      <c r="A86" s="2145" t="s">
        <v>551</v>
      </c>
      <c r="B86" s="2146"/>
      <c r="C86" s="331">
        <f t="shared" si="82"/>
        <v>0</v>
      </c>
      <c r="D86" s="107">
        <f>+F86+H86+J86+L86+N86+P86+R86+T86+V86+X86</f>
        <v>0</v>
      </c>
      <c r="E86" s="121">
        <f>+G86+I86+K86+M86+O86+Q86+S86+U86+W86+Y86</f>
        <v>0</v>
      </c>
      <c r="F86" s="1706"/>
      <c r="G86" s="1713"/>
      <c r="H86" s="1706"/>
      <c r="I86" s="1713"/>
      <c r="J86" s="1706"/>
      <c r="K86" s="1713"/>
      <c r="L86" s="1706"/>
      <c r="M86" s="1713"/>
      <c r="N86" s="1706"/>
      <c r="O86" s="1713"/>
      <c r="P86" s="1706"/>
      <c r="Q86" s="1713"/>
      <c r="R86" s="1706"/>
      <c r="S86" s="1713"/>
      <c r="T86" s="1706"/>
      <c r="U86" s="1713"/>
      <c r="V86" s="1706"/>
      <c r="W86" s="1713"/>
      <c r="X86" s="1706"/>
      <c r="Y86" s="1713"/>
      <c r="Z86" s="111"/>
      <c r="AA86" s="112"/>
      <c r="AB86" s="111"/>
      <c r="AC86" s="112"/>
      <c r="AD86" s="111"/>
      <c r="AE86" s="112"/>
      <c r="AF86" s="183"/>
      <c r="AG86" s="184"/>
      <c r="AH86" s="1730"/>
      <c r="AI86" s="1702"/>
      <c r="AJ86" s="1730"/>
      <c r="AK86" s="1702"/>
      <c r="AL86" s="48" t="str">
        <f t="shared" si="53"/>
        <v/>
      </c>
      <c r="CA86" s="80" t="str">
        <f t="shared" si="86"/>
        <v/>
      </c>
      <c r="CB86" s="80" t="str">
        <f t="shared" si="83"/>
        <v/>
      </c>
      <c r="CC86" s="80" t="str">
        <f t="shared" si="84"/>
        <v/>
      </c>
      <c r="CD86" s="80" t="str">
        <f t="shared" si="85"/>
        <v/>
      </c>
      <c r="DK86" s="287">
        <f t="shared" si="46"/>
        <v>0</v>
      </c>
      <c r="DL86" s="287">
        <f t="shared" si="47"/>
        <v>0</v>
      </c>
      <c r="DM86" s="287">
        <f t="shared" si="48"/>
        <v>0</v>
      </c>
      <c r="DN86" s="287">
        <f t="shared" si="49"/>
        <v>0</v>
      </c>
    </row>
    <row r="87" spans="1:146" ht="15" customHeight="1" x14ac:dyDescent="0.15">
      <c r="A87" s="2145" t="s">
        <v>552</v>
      </c>
      <c r="B87" s="2146"/>
      <c r="C87" s="331">
        <f t="shared" si="82"/>
        <v>0</v>
      </c>
      <c r="D87" s="107">
        <f>+Z87+AB87+AD87+AF87</f>
        <v>0</v>
      </c>
      <c r="E87" s="102">
        <f>+AA87+AC87+AE87+AG87</f>
        <v>0</v>
      </c>
      <c r="F87" s="111"/>
      <c r="G87" s="112"/>
      <c r="H87" s="111"/>
      <c r="I87" s="112"/>
      <c r="J87" s="111"/>
      <c r="K87" s="112"/>
      <c r="L87" s="111"/>
      <c r="M87" s="112"/>
      <c r="N87" s="111"/>
      <c r="O87" s="112"/>
      <c r="P87" s="111"/>
      <c r="Q87" s="112"/>
      <c r="R87" s="111"/>
      <c r="S87" s="112"/>
      <c r="T87" s="111"/>
      <c r="U87" s="112"/>
      <c r="V87" s="111"/>
      <c r="W87" s="112"/>
      <c r="X87" s="111"/>
      <c r="Y87" s="112"/>
      <c r="Z87" s="1706"/>
      <c r="AA87" s="1713"/>
      <c r="AB87" s="1706"/>
      <c r="AC87" s="1713"/>
      <c r="AD87" s="1706"/>
      <c r="AE87" s="1713"/>
      <c r="AF87" s="1725"/>
      <c r="AG87" s="1714"/>
      <c r="AH87" s="1725"/>
      <c r="AI87" s="1713"/>
      <c r="AJ87" s="1725"/>
      <c r="AK87" s="1713"/>
      <c r="AL87" s="48" t="str">
        <f t="shared" si="53"/>
        <v/>
      </c>
      <c r="CA87" s="80" t="str">
        <f t="shared" si="86"/>
        <v/>
      </c>
      <c r="CB87" s="80" t="str">
        <f t="shared" si="83"/>
        <v/>
      </c>
      <c r="CC87" s="80" t="str">
        <f t="shared" si="84"/>
        <v/>
      </c>
      <c r="CD87" s="80" t="str">
        <f t="shared" si="85"/>
        <v/>
      </c>
      <c r="DK87" s="287">
        <f t="shared" si="46"/>
        <v>0</v>
      </c>
      <c r="DL87" s="287">
        <f t="shared" si="47"/>
        <v>0</v>
      </c>
      <c r="DM87" s="287">
        <f t="shared" si="48"/>
        <v>0</v>
      </c>
      <c r="DN87" s="287">
        <f t="shared" si="49"/>
        <v>0</v>
      </c>
    </row>
    <row r="88" spans="1:146" ht="15" customHeight="1" x14ac:dyDescent="0.15">
      <c r="A88" s="2171" t="s">
        <v>553</v>
      </c>
      <c r="B88" s="2172"/>
      <c r="C88" s="327">
        <f>SUM(D88:E88)</f>
        <v>0</v>
      </c>
      <c r="D88" s="105">
        <f>+F88+H88+J88+L88+N88+P88+R88+T88+V88+X88+Z88+AB88+AD88+AF88</f>
        <v>0</v>
      </c>
      <c r="E88" s="105">
        <f>+G88+I88+K88+M88+O88+Q88+S88+U88+W88+Y88+AA88+AC88+AE88+AG88</f>
        <v>0</v>
      </c>
      <c r="F88" s="1712"/>
      <c r="G88" s="1721"/>
      <c r="H88" s="1712"/>
      <c r="I88" s="1721"/>
      <c r="J88" s="1712"/>
      <c r="K88" s="1721"/>
      <c r="L88" s="1712"/>
      <c r="M88" s="1721"/>
      <c r="N88" s="1712"/>
      <c r="O88" s="1721"/>
      <c r="P88" s="1712"/>
      <c r="Q88" s="1721"/>
      <c r="R88" s="1712"/>
      <c r="S88" s="1721"/>
      <c r="T88" s="1712"/>
      <c r="U88" s="1721"/>
      <c r="V88" s="1712"/>
      <c r="W88" s="1721"/>
      <c r="X88" s="1712"/>
      <c r="Y88" s="1721"/>
      <c r="Z88" s="1712"/>
      <c r="AA88" s="1721"/>
      <c r="AB88" s="1712"/>
      <c r="AC88" s="1721"/>
      <c r="AD88" s="1712"/>
      <c r="AE88" s="1721"/>
      <c r="AF88" s="1724"/>
      <c r="AG88" s="1722"/>
      <c r="AH88" s="1724"/>
      <c r="AI88" s="1721"/>
      <c r="AJ88" s="1724"/>
      <c r="AK88" s="1721"/>
      <c r="AL88" s="48" t="str">
        <f t="shared" si="53"/>
        <v/>
      </c>
      <c r="CA88" s="80" t="str">
        <f t="shared" si="86"/>
        <v/>
      </c>
      <c r="CB88" s="80" t="str">
        <f t="shared" si="83"/>
        <v/>
      </c>
      <c r="CC88" s="80" t="str">
        <f t="shared" si="84"/>
        <v/>
      </c>
      <c r="CD88" s="80" t="str">
        <f t="shared" si="85"/>
        <v/>
      </c>
      <c r="DK88" s="287">
        <f t="shared" si="46"/>
        <v>0</v>
      </c>
      <c r="DL88" s="287">
        <f t="shared" si="47"/>
        <v>0</v>
      </c>
      <c r="DM88" s="287">
        <f t="shared" si="48"/>
        <v>0</v>
      </c>
      <c r="DN88" s="287">
        <f t="shared" si="49"/>
        <v>0</v>
      </c>
    </row>
    <row r="89" spans="1:146" ht="15" customHeight="1" x14ac:dyDescent="0.15">
      <c r="A89" s="2142" t="s">
        <v>511</v>
      </c>
      <c r="B89" s="2143"/>
      <c r="C89" s="328">
        <f t="shared" si="82"/>
        <v>0</v>
      </c>
      <c r="D89" s="185">
        <f>+F89+H89+J89+L89+N89+P89+R89+T89+V89+X89+Z89+AB89+AD89+AF89</f>
        <v>0</v>
      </c>
      <c r="E89" s="205">
        <f>+G89+I89+K89+M89+O89+Q89+S89+U89+W89+Y89+AA89+AC89+AE89+AG89</f>
        <v>0</v>
      </c>
      <c r="F89" s="1707"/>
      <c r="G89" s="1708"/>
      <c r="H89" s="1707"/>
      <c r="I89" s="1708"/>
      <c r="J89" s="1707"/>
      <c r="K89" s="1708"/>
      <c r="L89" s="1707"/>
      <c r="M89" s="1708"/>
      <c r="N89" s="1707"/>
      <c r="O89" s="1708"/>
      <c r="P89" s="1707"/>
      <c r="Q89" s="1708"/>
      <c r="R89" s="1707"/>
      <c r="S89" s="1708"/>
      <c r="T89" s="1707"/>
      <c r="U89" s="1708"/>
      <c r="V89" s="1707"/>
      <c r="W89" s="1708"/>
      <c r="X89" s="1707"/>
      <c r="Y89" s="1708"/>
      <c r="Z89" s="1712"/>
      <c r="AA89" s="1721"/>
      <c r="AB89" s="1712"/>
      <c r="AC89" s="1721"/>
      <c r="AD89" s="1712"/>
      <c r="AE89" s="1721"/>
      <c r="AF89" s="1712"/>
      <c r="AG89" s="1722"/>
      <c r="AH89" s="1724"/>
      <c r="AI89" s="1721"/>
      <c r="AJ89" s="1724"/>
      <c r="AK89" s="1721"/>
      <c r="AL89" s="48" t="str">
        <f t="shared" si="53"/>
        <v/>
      </c>
      <c r="CA89" s="80" t="str">
        <f t="shared" si="86"/>
        <v/>
      </c>
      <c r="CB89" s="80" t="str">
        <f t="shared" si="83"/>
        <v/>
      </c>
      <c r="CC89" s="80" t="str">
        <f t="shared" si="84"/>
        <v/>
      </c>
      <c r="CD89" s="80" t="str">
        <f t="shared" si="85"/>
        <v/>
      </c>
      <c r="DK89" s="287">
        <f t="shared" si="46"/>
        <v>0</v>
      </c>
      <c r="DL89" s="287">
        <f t="shared" si="47"/>
        <v>0</v>
      </c>
      <c r="DM89" s="287">
        <f t="shared" si="48"/>
        <v>0</v>
      </c>
      <c r="DN89" s="287">
        <f t="shared" si="49"/>
        <v>0</v>
      </c>
    </row>
    <row r="90" spans="1:146" ht="15" customHeight="1" x14ac:dyDescent="0.15">
      <c r="A90" s="2144" t="s">
        <v>554</v>
      </c>
      <c r="B90" s="363" t="s">
        <v>555</v>
      </c>
      <c r="C90" s="331">
        <f>SUM(D90:E90)</f>
        <v>0</v>
      </c>
      <c r="D90" s="103">
        <f t="shared" ref="D90:E97" si="87">+F90+H90+J90+L90+N90+P90+R90+T90+V90+X90+Z90+AB90+AD90+AF90</f>
        <v>0</v>
      </c>
      <c r="E90" s="102">
        <f t="shared" si="87"/>
        <v>0</v>
      </c>
      <c r="F90" s="1701"/>
      <c r="G90" s="1702"/>
      <c r="H90" s="1701"/>
      <c r="I90" s="1702"/>
      <c r="J90" s="1701"/>
      <c r="K90" s="1702"/>
      <c r="L90" s="1701"/>
      <c r="M90" s="1702"/>
      <c r="N90" s="1701"/>
      <c r="O90" s="1702"/>
      <c r="P90" s="1701"/>
      <c r="Q90" s="1702"/>
      <c r="R90" s="1701"/>
      <c r="S90" s="1702"/>
      <c r="T90" s="1701"/>
      <c r="U90" s="1702"/>
      <c r="V90" s="1701"/>
      <c r="W90" s="1702"/>
      <c r="X90" s="1701"/>
      <c r="Y90" s="1702"/>
      <c r="Z90" s="1701"/>
      <c r="AA90" s="1702"/>
      <c r="AB90" s="1701"/>
      <c r="AC90" s="1702"/>
      <c r="AD90" s="1701"/>
      <c r="AE90" s="1702"/>
      <c r="AF90" s="1701"/>
      <c r="AG90" s="1703"/>
      <c r="AH90" s="1699"/>
      <c r="AI90" s="1697"/>
      <c r="AJ90" s="1723"/>
      <c r="AK90" s="1705"/>
      <c r="AL90" s="48" t="str">
        <f t="shared" si="53"/>
        <v/>
      </c>
      <c r="CA90" s="80" t="str">
        <f t="shared" si="86"/>
        <v/>
      </c>
      <c r="CB90" s="80" t="str">
        <f t="shared" ref="CB90:CB97" si="88">IF(AND(E90&gt;0,OR(AI90=""))," * No olvide digitar la variable Pueblos Originarios Mujeres. Digite Cero si no tiene.",IF(AI90&gt;E90," * La variable Pueblos Originarios Mujeres no puede ser Mayor al Total Mujeres.",""))</f>
        <v/>
      </c>
      <c r="CC90" s="80" t="str">
        <f t="shared" ref="CC90:CC97" si="89">IF(AND($D90&gt;0,OR(AJ90=""))," * No olvide digitar la variable Migrantes Hombres. Digite Cero si no tiene.",IF(AJ90&gt;$D90," * La variable Migrantes Hombres no puede ser Mayor al Total Hombres.",""))</f>
        <v/>
      </c>
      <c r="CD90" s="80" t="str">
        <f t="shared" ref="CD90:CD97" si="90">IF(AND(E90&gt;0,OR(AK90=""))," * No olvide digitar la variable Migrantes Mujeres. Digite Cero si no tiene.",IF(AK90&gt;E90," * La variable Migrantes Mujeres no puede ser Mayor al Total Mujeres.",""))</f>
        <v/>
      </c>
      <c r="DK90" s="287">
        <f t="shared" si="46"/>
        <v>0</v>
      </c>
      <c r="DL90" s="287">
        <f t="shared" si="47"/>
        <v>0</v>
      </c>
      <c r="DM90" s="287">
        <f t="shared" si="48"/>
        <v>0</v>
      </c>
      <c r="DN90" s="287">
        <f t="shared" si="49"/>
        <v>0</v>
      </c>
    </row>
    <row r="91" spans="1:146" ht="15" customHeight="1" x14ac:dyDescent="0.15">
      <c r="A91" s="2144"/>
      <c r="B91" s="364" t="s">
        <v>556</v>
      </c>
      <c r="C91" s="331">
        <f t="shared" ref="C91:C97" si="91">SUM(D91:E91)</f>
        <v>0</v>
      </c>
      <c r="D91" s="107">
        <f t="shared" si="87"/>
        <v>0</v>
      </c>
      <c r="E91" s="121">
        <f t="shared" si="87"/>
        <v>0</v>
      </c>
      <c r="F91" s="1706"/>
      <c r="G91" s="1713"/>
      <c r="H91" s="1706"/>
      <c r="I91" s="1713"/>
      <c r="J91" s="1706"/>
      <c r="K91" s="1713"/>
      <c r="L91" s="1706"/>
      <c r="M91" s="1713"/>
      <c r="N91" s="1706"/>
      <c r="O91" s="1713"/>
      <c r="P91" s="1706"/>
      <c r="Q91" s="1713"/>
      <c r="R91" s="1706"/>
      <c r="S91" s="1713"/>
      <c r="T91" s="1706"/>
      <c r="U91" s="1713"/>
      <c r="V91" s="1706"/>
      <c r="W91" s="1713"/>
      <c r="X91" s="1706"/>
      <c r="Y91" s="1713"/>
      <c r="Z91" s="1706"/>
      <c r="AA91" s="1713"/>
      <c r="AB91" s="1706"/>
      <c r="AC91" s="1713"/>
      <c r="AD91" s="1706"/>
      <c r="AE91" s="1713"/>
      <c r="AF91" s="1701"/>
      <c r="AG91" s="1703"/>
      <c r="AH91" s="1704"/>
      <c r="AI91" s="1713"/>
      <c r="AJ91" s="1736"/>
      <c r="AK91" s="1705"/>
      <c r="AL91" s="48" t="str">
        <f>CA91&amp;CB91&amp;CC91&amp;CD91&amp;CE91&amp;CF91&amp;CG91&amp;CH91&amp;CI91&amp;CJ91&amp;CK91&amp;CL91&amp;CM91&amp;CN91&amp;CO91&amp;CP91&amp;CQ91&amp;CR91&amp;CS91&amp;CT91&amp;CU91&amp;CV91&amp;CW91&amp;CX91&amp;CY91&amp;CZ91&amp;DA91&amp;DB91&amp;DC91&amp;DD91&amp;DE91&amp;DF91</f>
        <v/>
      </c>
      <c r="CA91" s="80" t="str">
        <f t="shared" si="86"/>
        <v/>
      </c>
      <c r="CB91" s="80" t="str">
        <f t="shared" si="88"/>
        <v/>
      </c>
      <c r="CC91" s="80" t="str">
        <f t="shared" si="89"/>
        <v/>
      </c>
      <c r="CD91" s="80" t="str">
        <f t="shared" si="90"/>
        <v/>
      </c>
      <c r="CE91" s="80" t="str">
        <f>IF(F$91+F$92+F$93+F$94+F$95+F$96&lt;=$F$23,"","* La suma de Personas Hombres con Enfermedad Renal Crónica (ERC) grupo de edad de 15 a 19 años no debe ser mayor al número de Personas con Enf. Renal Cronica de Sección A. ")</f>
        <v/>
      </c>
      <c r="CF91" s="80" t="str">
        <f>IF(G$91+G$92+G$93+G$94+G$95+G$96&lt;=G$23,"","* La suma de Personas Mujeres con Enfermedad Renal Crónica (ERC) grupo de edad de 15 a 19 años no debe ser mayor al número de Personas con Enf. Renal Cronica de Sección A. ")</f>
        <v/>
      </c>
      <c r="CG91" s="80" t="str">
        <f>IF(H$91+H$92+H$93+H$94+H$95+H$96&lt;=H$23,"","* La suma de Personas Hombres con Enfermedad Renal Crónica (ERC) grupo de edad de 20 a 24 años no debe ser mayor al número de Personas con Enf. Renal Cronica de Sección A. ")</f>
        <v/>
      </c>
      <c r="CH91" s="80" t="str">
        <f>IF(I$91+I$92+I$93+I$94+I$95+I$96&lt;=I$23,"","* La suma de Personas Mujeres con Enfermedad Renal Crónica (ERC) grupo de edad de 20 a 24 años no debe ser mayor al número de Personas con Enf. Renal Cronica de Sección A. ")</f>
        <v/>
      </c>
      <c r="CI91" s="80" t="str">
        <f>IF(J$91+J$92+J$93+J$94+J$95+J$96&lt;=J$23,"","* La suma de Personas Hombres con Enfermedad Renal Crónica (ERC) grupo de edad de 25 a 29 años no debe ser mayor al número de Personas con Enf. Renal Cronica de Sección A. ")</f>
        <v/>
      </c>
      <c r="CJ91" s="80" t="str">
        <f>IF(K$91+K$92+K$93+K$94+K$95+K$96&lt;=K$23,"","* La suma de Personas Mujeres con Enfermedad Renal Crónica (ERC) grupo de edad de 25 a 29 años no debe ser mayor al número de Personas con Enf. Renal Cronica de Sección A. ")</f>
        <v/>
      </c>
      <c r="CK91" s="80" t="str">
        <f>IF(L$91+L$92+L$93+L$94+L$95+L$96&lt;=L$23,"","* La suma de Personas Hombres con Enfermedad Renal Crónica (ERC) grupo de edad de 30 a 34 años no debe ser mayor al número de Personas con Enf. Renal Cronica de Sección A. ")</f>
        <v/>
      </c>
      <c r="CL91" s="80" t="str">
        <f>IF(M$91+M$92+M$93+M$94+M$95+M$96&lt;=M$23,"","* La suma de Personas Mujeres con Enfermedad Renal Crónica (ERC) grupo de edad de 30 a 34 años no debe ser mayor al número de Personas con Enf. Renal Cronica de Sección A. ")</f>
        <v/>
      </c>
      <c r="CM91" s="80" t="str">
        <f>IF(N$91+N$92+N$93+N$94+N$95+N$96&lt;=N$23,"","* La suma de Personas Hombres con Enfermedad Renal Crónica (ERC) grupo de edad de 35 a 39 años no debe ser mayor al número de Personas con Enf. Renal Cronica de Sección A. ")</f>
        <v/>
      </c>
      <c r="CN91" s="80" t="str">
        <f>IF(O$91+O$92+O$93+O$94+O$95+O$96&lt;=O$23,"","* La suma de Personas Mujeres con Enfermedad Renal Crónica (ERC) grupo de edad de 35 a 39 años no debe ser mayor al número de Personas con Enf. Renal Cronica de Sección A. ")</f>
        <v/>
      </c>
      <c r="CO91" s="80" t="str">
        <f>IF(P$91+P$92+P$93+P$94+P$95+P$96&lt;=P$23,"","* La suma de Personas Hombres con Enfermedad Renal Crónica (ERC) grupo de edad de 40 a 44 años no debe ser mayor al número de Personas con Enf. Renal Cronica de Sección A. ")</f>
        <v/>
      </c>
      <c r="CP91" s="80" t="str">
        <f>IF(Q$91+Q$92+Q$93+Q$94+Q$95+Q$96&lt;=Q$23,"","* La suma de Personas Mujeres con Enfermedad Renal Crónica (ERC) grupo de edad de 40 a 44 años no debe ser mayor al número de Personas con Enf. Renal Cronica de Sección A. ")</f>
        <v/>
      </c>
      <c r="CQ91" s="80" t="str">
        <f>IF(R$91+R$92+R$93+R$94+R$95+R$96&lt;=R$23,"","* La suma de Personas Hombres con Enfermedad Renal Crónica (ERC) grupo de edad de 45 a 49 años no debe ser mayor al número de Personas con Enf. Renal Cronica de Sección A. ")</f>
        <v/>
      </c>
      <c r="CR91" s="80" t="str">
        <f>IF(S$91+S$92+S$93+S$94+S$95+S$96&lt;=S$23,"","* La suma de Personas Mujeres con Enfermedad Renal Crónica (ERC) grupo de edad de 45 a 49 años no debe ser mayor al número de Personas con Enf. Renal Cronica de Sección A. ")</f>
        <v/>
      </c>
      <c r="CS91" s="80" t="str">
        <f>IF(T$91+T$92+T$93+T$94+T$95+T$96&lt;=T$23,"","* La suma de Personas Hombres con Enfermedad Renal Crónica (ERC) grupo de edad de 50 a 54 años no debe ser mayor al número de Personas con Enf. Renal Cronica de Sección A. ")</f>
        <v/>
      </c>
      <c r="CT91" s="80" t="str">
        <f>IF(U$91+U$92+U$93+U$94+U$95+U$96&lt;=U$23,"","* La suma de Personas Mujeres con Enfermedad Renal Crónica (ERC) grupo de edad de 50 a 54 años no debe ser mayor al número de Personas con Enf. Renal Cronica de Sección A. ")</f>
        <v/>
      </c>
      <c r="CU91" s="80" t="str">
        <f>IF(V$91+V$92+V$93+V$94+V$95+V$96&lt;=V$23,"","* La suma de Personas Hombres con Enfermedad Renal Crónica (ERC) grupo de edad de 55 a 59 años no debe ser mayor al número de Personas con Enf. Renal Cronica de Sección A. ")</f>
        <v/>
      </c>
      <c r="CV91" s="80" t="str">
        <f>IF(W$91+W$92+W$93+W$94+W$95+W$96&lt;=W$23,"","* La suma de Personas Mujeres con Enfermedad Renal Crónica (ERC) grupo de edad de 55 a 59 años no debe ser mayor al número de Personas con Enf. Renal Cronica de Sección A. ")</f>
        <v/>
      </c>
      <c r="CW91" s="80" t="str">
        <f>IF(X$91+X$92+X$93+X$94+X$95+X$96&lt;=X$23,"","* La suma de Personas Hombres con Enfermedad Renal Crónica (ERC) grupo de edad de 60 a 64 años no debe ser mayor al número de Personas con Enf. Renal Cronica de Sección A. ")</f>
        <v/>
      </c>
      <c r="CX91" s="80" t="str">
        <f>IF(Y$91+Y$92+Y$93+Y$94+Y$95+Y$96&lt;=Y$23,"","* La suma de Personas Mujeres con Enfermedad Renal Crónica (ERC) grupo de edad de 60 a 64 años no debe ser mayor al número de Personas con Enf. Renal Cronica de Sección A. ")</f>
        <v/>
      </c>
      <c r="CY91" s="80" t="str">
        <f>IF(Z$91+Z$92+Z$93+Z$94+Z$95+Z$96&lt;=Z$23,"","* La suma de Personas Hombres con Enfermedad Renal Crónica (ERC) grupo de edad de 65 a 69 años no debe ser mayor al número de Personas con Enf. Renal Cronica de Sección A. ")</f>
        <v/>
      </c>
      <c r="CZ91" s="80" t="str">
        <f>IF(AA$91+AA$92+AA$93+AA$94+AA$95+AA$96&lt;=AA$23,"","* La suma de Personas Mujeres con Enfermedad Renal Crónica (ERC) grupo de edad de 65 a 69 años no debe ser mayor al número de Personas con Enf. Renal Cronica de Sección A. ")</f>
        <v/>
      </c>
      <c r="DA91" s="80" t="str">
        <f>IF(AB$91+AB$92+AB$93+AB$94+AB$95+AB$96&lt;=AB$23,"","* La suma de Personas Hombres con Enfermedad Renal Crónica (ERC) grupo de edad de 70 a 74 años no debe ser mayor al número de Personas con Enf. Renal Cronica de Sección A. ")</f>
        <v/>
      </c>
      <c r="DB91" s="80" t="str">
        <f>IF(AC$91+AC$92+AC$93+AC$94+AC$95+AC$96&lt;=AC$23,"","* La suma de Personas Mujeres con Enfermedad Renal Crónica (ERC) grupo de edad de 70 a 74 años no debe ser mayor al número de Personas con Enf. Renal Cronica de Sección A. ")</f>
        <v/>
      </c>
      <c r="DC91" s="80" t="str">
        <f>IF(AD$91+AD$92+AD$93+AD$94+AD$95+AD$96&lt;=AD$23,"","* La suma de Personas Hombres con Enfermedad Renal Crónica (ERC) grupo de edad de 75 a 79 años no debe ser mayor al número de Personas con Enf. Renal Cronica de Sección A. ")</f>
        <v/>
      </c>
      <c r="DD91" s="80" t="str">
        <f>IF(AE$91+AE$92+AE$93+AE$94+AE$95+AE$96&lt;=AE$23,"","* La suma de Personas Mujeres con Enfermedad Renal Crónica (ERC) grupo de edad de 75 a 79 años no debe ser mayor al número de Personas con Enf. Renal Cronica de Sección A. ")</f>
        <v/>
      </c>
      <c r="DE91" s="80" t="str">
        <f>IF(AF$91+AF$92+AF$93+AF$94+AF$95+AF$96&lt;=AF$23,"","* La suma de Personas Hombres con Enfermedad Renal Crónica (ERC) grupo de edad de 80 y más años no debe ser mayor al número de Personas con Enf. Renal Cronica de Sección A. ")</f>
        <v/>
      </c>
      <c r="DF91" s="80" t="str">
        <f>IF(AG$91+AG$92+AG$93+AG$94+AG$95+AG$96&lt;=AG$23,"","* La suma de Personas Mujeres con Enfermedad Renal Crónica (ERC) grupo de edad de 80 y más años no debe ser mayor al número de Personas con Enf. Renal Cronica de Sección A. ")</f>
        <v/>
      </c>
      <c r="DK91" s="287">
        <f t="shared" si="46"/>
        <v>0</v>
      </c>
      <c r="DL91" s="287">
        <f t="shared" si="47"/>
        <v>0</v>
      </c>
      <c r="DM91" s="287">
        <f t="shared" si="48"/>
        <v>0</v>
      </c>
      <c r="DN91" s="287">
        <f t="shared" si="49"/>
        <v>0</v>
      </c>
      <c r="DO91" s="287">
        <f t="shared" ref="DO91:EP91" si="92">IF(F$91+F$92+F$93+F$94+F$95+F$96&lt;=F$23,0,1)</f>
        <v>0</v>
      </c>
      <c r="DP91" s="287">
        <f t="shared" si="92"/>
        <v>0</v>
      </c>
      <c r="DQ91" s="287">
        <f t="shared" si="92"/>
        <v>0</v>
      </c>
      <c r="DR91" s="287">
        <f t="shared" si="92"/>
        <v>0</v>
      </c>
      <c r="DS91" s="287">
        <f t="shared" si="92"/>
        <v>0</v>
      </c>
      <c r="DT91" s="287">
        <f t="shared" si="92"/>
        <v>0</v>
      </c>
      <c r="DU91" s="287">
        <f t="shared" si="92"/>
        <v>0</v>
      </c>
      <c r="DV91" s="287">
        <f t="shared" si="92"/>
        <v>0</v>
      </c>
      <c r="DW91" s="287">
        <f t="shared" si="92"/>
        <v>0</v>
      </c>
      <c r="DX91" s="287">
        <f t="shared" si="92"/>
        <v>0</v>
      </c>
      <c r="DY91" s="287">
        <f t="shared" si="92"/>
        <v>0</v>
      </c>
      <c r="DZ91" s="287">
        <f t="shared" si="92"/>
        <v>0</v>
      </c>
      <c r="EA91" s="287">
        <f t="shared" si="92"/>
        <v>0</v>
      </c>
      <c r="EB91" s="287">
        <f t="shared" si="92"/>
        <v>0</v>
      </c>
      <c r="EC91" s="287">
        <f t="shared" si="92"/>
        <v>0</v>
      </c>
      <c r="ED91" s="287">
        <f t="shared" si="92"/>
        <v>0</v>
      </c>
      <c r="EE91" s="287">
        <f t="shared" si="92"/>
        <v>0</v>
      </c>
      <c r="EF91" s="287">
        <f t="shared" si="92"/>
        <v>0</v>
      </c>
      <c r="EG91" s="287">
        <f t="shared" si="92"/>
        <v>0</v>
      </c>
      <c r="EH91" s="287">
        <f t="shared" si="92"/>
        <v>0</v>
      </c>
      <c r="EI91" s="287">
        <f t="shared" si="92"/>
        <v>0</v>
      </c>
      <c r="EJ91" s="287">
        <f t="shared" si="92"/>
        <v>0</v>
      </c>
      <c r="EK91" s="287">
        <f t="shared" si="92"/>
        <v>0</v>
      </c>
      <c r="EL91" s="287">
        <f t="shared" si="92"/>
        <v>0</v>
      </c>
      <c r="EM91" s="287">
        <f t="shared" si="92"/>
        <v>0</v>
      </c>
      <c r="EN91" s="287">
        <f t="shared" si="92"/>
        <v>0</v>
      </c>
      <c r="EO91" s="287">
        <f t="shared" si="92"/>
        <v>0</v>
      </c>
      <c r="EP91" s="287">
        <f t="shared" si="92"/>
        <v>0</v>
      </c>
    </row>
    <row r="92" spans="1:146" ht="15" customHeight="1" x14ac:dyDescent="0.15">
      <c r="A92" s="2144"/>
      <c r="B92" s="364" t="s">
        <v>557</v>
      </c>
      <c r="C92" s="331">
        <f t="shared" si="91"/>
        <v>0</v>
      </c>
      <c r="D92" s="107">
        <f t="shared" si="87"/>
        <v>0</v>
      </c>
      <c r="E92" s="121">
        <f t="shared" si="87"/>
        <v>0</v>
      </c>
      <c r="F92" s="1706"/>
      <c r="G92" s="1713"/>
      <c r="H92" s="1706"/>
      <c r="I92" s="1713"/>
      <c r="J92" s="1706"/>
      <c r="K92" s="1713"/>
      <c r="L92" s="1706"/>
      <c r="M92" s="1713"/>
      <c r="N92" s="1706"/>
      <c r="O92" s="1713"/>
      <c r="P92" s="1706"/>
      <c r="Q92" s="1713"/>
      <c r="R92" s="1706"/>
      <c r="S92" s="1713"/>
      <c r="T92" s="1706"/>
      <c r="U92" s="1713"/>
      <c r="V92" s="1706"/>
      <c r="W92" s="1713"/>
      <c r="X92" s="1706"/>
      <c r="Y92" s="1713"/>
      <c r="Z92" s="1706"/>
      <c r="AA92" s="1713"/>
      <c r="AB92" s="1706"/>
      <c r="AC92" s="1713"/>
      <c r="AD92" s="1706"/>
      <c r="AE92" s="1713"/>
      <c r="AF92" s="1701"/>
      <c r="AG92" s="1703"/>
      <c r="AH92" s="1704"/>
      <c r="AI92" s="1713"/>
      <c r="AJ92" s="1736"/>
      <c r="AK92" s="1705"/>
      <c r="AL92" s="48" t="str">
        <f t="shared" si="53"/>
        <v/>
      </c>
      <c r="CA92" s="80" t="str">
        <f t="shared" si="86"/>
        <v/>
      </c>
      <c r="CB92" s="80" t="str">
        <f t="shared" si="88"/>
        <v/>
      </c>
      <c r="CC92" s="80" t="str">
        <f t="shared" si="89"/>
        <v/>
      </c>
      <c r="CD92" s="80" t="str">
        <f t="shared" si="90"/>
        <v/>
      </c>
      <c r="DK92" s="287">
        <f t="shared" si="46"/>
        <v>0</v>
      </c>
      <c r="DL92" s="287">
        <f t="shared" si="47"/>
        <v>0</v>
      </c>
      <c r="DM92" s="287">
        <f t="shared" si="48"/>
        <v>0</v>
      </c>
      <c r="DN92" s="287">
        <f t="shared" si="49"/>
        <v>0</v>
      </c>
    </row>
    <row r="93" spans="1:146" ht="15" customHeight="1" x14ac:dyDescent="0.15">
      <c r="A93" s="2144"/>
      <c r="B93" s="364" t="s">
        <v>558</v>
      </c>
      <c r="C93" s="331">
        <f t="shared" si="91"/>
        <v>0</v>
      </c>
      <c r="D93" s="107">
        <f t="shared" si="87"/>
        <v>0</v>
      </c>
      <c r="E93" s="121">
        <f t="shared" si="87"/>
        <v>0</v>
      </c>
      <c r="F93" s="1706"/>
      <c r="G93" s="1713"/>
      <c r="H93" s="1706"/>
      <c r="I93" s="1713"/>
      <c r="J93" s="1706"/>
      <c r="K93" s="1713"/>
      <c r="L93" s="1706"/>
      <c r="M93" s="1713"/>
      <c r="N93" s="1706"/>
      <c r="O93" s="1713"/>
      <c r="P93" s="1706"/>
      <c r="Q93" s="1713"/>
      <c r="R93" s="1706"/>
      <c r="S93" s="1713"/>
      <c r="T93" s="1706"/>
      <c r="U93" s="1713"/>
      <c r="V93" s="1706"/>
      <c r="W93" s="1713"/>
      <c r="X93" s="1706"/>
      <c r="Y93" s="1713"/>
      <c r="Z93" s="1706"/>
      <c r="AA93" s="1713"/>
      <c r="AB93" s="1706"/>
      <c r="AC93" s="1713"/>
      <c r="AD93" s="1706"/>
      <c r="AE93" s="1713"/>
      <c r="AF93" s="1701"/>
      <c r="AG93" s="1703"/>
      <c r="AH93" s="1704"/>
      <c r="AI93" s="1713"/>
      <c r="AJ93" s="1725"/>
      <c r="AK93" s="1705"/>
      <c r="AL93" s="48" t="str">
        <f t="shared" si="53"/>
        <v/>
      </c>
      <c r="CA93" s="80" t="str">
        <f>IF(AND(D93&gt;0,OR(AH93=""))," * No olvide digitar la variable Pueblos Originarios Hombres. Digite Cero si no tiene.",IF(AH93&gt;D93," * La variable Pueblos Originarios Hombres no puede ser Mayor al Total Hombres.",""))</f>
        <v/>
      </c>
      <c r="CB93" s="80" t="str">
        <f t="shared" si="88"/>
        <v/>
      </c>
      <c r="CC93" s="80" t="str">
        <f t="shared" si="89"/>
        <v/>
      </c>
      <c r="CD93" s="80" t="str">
        <f t="shared" si="90"/>
        <v/>
      </c>
      <c r="DK93" s="287">
        <f t="shared" si="46"/>
        <v>0</v>
      </c>
      <c r="DL93" s="287">
        <f t="shared" si="47"/>
        <v>0</v>
      </c>
      <c r="DM93" s="287">
        <f t="shared" si="48"/>
        <v>0</v>
      </c>
      <c r="DN93" s="287">
        <f t="shared" si="49"/>
        <v>0</v>
      </c>
    </row>
    <row r="94" spans="1:146" ht="15" customHeight="1" x14ac:dyDescent="0.15">
      <c r="A94" s="2144"/>
      <c r="B94" s="364" t="s">
        <v>559</v>
      </c>
      <c r="C94" s="331">
        <f t="shared" si="91"/>
        <v>0</v>
      </c>
      <c r="D94" s="107">
        <f t="shared" si="87"/>
        <v>0</v>
      </c>
      <c r="E94" s="121">
        <f t="shared" si="87"/>
        <v>0</v>
      </c>
      <c r="F94" s="1706"/>
      <c r="G94" s="1713"/>
      <c r="H94" s="1706"/>
      <c r="I94" s="1713"/>
      <c r="J94" s="1706"/>
      <c r="K94" s="1713"/>
      <c r="L94" s="1706"/>
      <c r="M94" s="1713"/>
      <c r="N94" s="1706"/>
      <c r="O94" s="1713"/>
      <c r="P94" s="1706"/>
      <c r="Q94" s="1713"/>
      <c r="R94" s="1706"/>
      <c r="S94" s="1713"/>
      <c r="T94" s="1706"/>
      <c r="U94" s="1713"/>
      <c r="V94" s="1706"/>
      <c r="W94" s="1713"/>
      <c r="X94" s="1706"/>
      <c r="Y94" s="1713"/>
      <c r="Z94" s="1706"/>
      <c r="AA94" s="1713"/>
      <c r="AB94" s="1706"/>
      <c r="AC94" s="1713"/>
      <c r="AD94" s="1706"/>
      <c r="AE94" s="1713"/>
      <c r="AF94" s="1701"/>
      <c r="AG94" s="1703"/>
      <c r="AH94" s="1704"/>
      <c r="AI94" s="1713"/>
      <c r="AJ94" s="1736"/>
      <c r="AK94" s="1705"/>
      <c r="AL94" s="48" t="str">
        <f t="shared" si="53"/>
        <v/>
      </c>
      <c r="CA94" s="80" t="str">
        <f t="shared" si="86"/>
        <v/>
      </c>
      <c r="CB94" s="80" t="str">
        <f t="shared" si="88"/>
        <v/>
      </c>
      <c r="CC94" s="80" t="str">
        <f t="shared" si="89"/>
        <v/>
      </c>
      <c r="CD94" s="80" t="str">
        <f t="shared" si="90"/>
        <v/>
      </c>
      <c r="DK94" s="287">
        <f t="shared" si="46"/>
        <v>0</v>
      </c>
      <c r="DL94" s="287">
        <f t="shared" si="47"/>
        <v>0</v>
      </c>
      <c r="DM94" s="287">
        <f t="shared" si="48"/>
        <v>0</v>
      </c>
      <c r="DN94" s="287">
        <f t="shared" si="49"/>
        <v>0</v>
      </c>
    </row>
    <row r="95" spans="1:146" ht="15" customHeight="1" x14ac:dyDescent="0.15">
      <c r="A95" s="2144"/>
      <c r="B95" s="364" t="s">
        <v>560</v>
      </c>
      <c r="C95" s="331">
        <f t="shared" si="91"/>
        <v>0</v>
      </c>
      <c r="D95" s="107">
        <f t="shared" si="87"/>
        <v>0</v>
      </c>
      <c r="E95" s="121">
        <f t="shared" si="87"/>
        <v>0</v>
      </c>
      <c r="F95" s="1706"/>
      <c r="G95" s="1713"/>
      <c r="H95" s="1706"/>
      <c r="I95" s="1713"/>
      <c r="J95" s="1706"/>
      <c r="K95" s="1713"/>
      <c r="L95" s="1706"/>
      <c r="M95" s="1713"/>
      <c r="N95" s="1706"/>
      <c r="O95" s="1713"/>
      <c r="P95" s="1706"/>
      <c r="Q95" s="1713"/>
      <c r="R95" s="1706"/>
      <c r="S95" s="1713"/>
      <c r="T95" s="1706"/>
      <c r="U95" s="1713"/>
      <c r="V95" s="1706"/>
      <c r="W95" s="1713"/>
      <c r="X95" s="1706"/>
      <c r="Y95" s="1713"/>
      <c r="Z95" s="1706"/>
      <c r="AA95" s="1713"/>
      <c r="AB95" s="1706"/>
      <c r="AC95" s="1713"/>
      <c r="AD95" s="1706"/>
      <c r="AE95" s="1713"/>
      <c r="AF95" s="1701"/>
      <c r="AG95" s="1703"/>
      <c r="AH95" s="1704"/>
      <c r="AI95" s="1713"/>
      <c r="AJ95" s="1725"/>
      <c r="AK95" s="1705"/>
      <c r="AL95" s="48" t="str">
        <f t="shared" si="53"/>
        <v/>
      </c>
      <c r="CA95" s="80" t="str">
        <f t="shared" si="86"/>
        <v/>
      </c>
      <c r="CB95" s="80" t="str">
        <f t="shared" si="88"/>
        <v/>
      </c>
      <c r="CC95" s="80" t="str">
        <f t="shared" si="89"/>
        <v/>
      </c>
      <c r="CD95" s="80" t="str">
        <f t="shared" si="90"/>
        <v/>
      </c>
      <c r="DK95" s="287">
        <f t="shared" si="46"/>
        <v>0</v>
      </c>
      <c r="DL95" s="287">
        <f t="shared" si="47"/>
        <v>0</v>
      </c>
      <c r="DM95" s="287">
        <f t="shared" si="48"/>
        <v>0</v>
      </c>
      <c r="DN95" s="287">
        <f t="shared" si="49"/>
        <v>0</v>
      </c>
    </row>
    <row r="96" spans="1:146" ht="15" customHeight="1" x14ac:dyDescent="0.15">
      <c r="A96" s="2144"/>
      <c r="B96" s="365" t="s">
        <v>561</v>
      </c>
      <c r="C96" s="331">
        <f>SUM(D96:E96)</f>
        <v>0</v>
      </c>
      <c r="D96" s="107">
        <f>+F96+H96+J96+L96+N96+P96+R96+T96+V96+X96+Z96+AB96+AD96+AF96</f>
        <v>0</v>
      </c>
      <c r="E96" s="121">
        <f>+G96+I96+K96+M96+O96+Q96+S96+U96+W96+Y96+AA96+AC96+AE96+AG96</f>
        <v>0</v>
      </c>
      <c r="F96" s="1715"/>
      <c r="G96" s="1735"/>
      <c r="H96" s="1715"/>
      <c r="I96" s="1735"/>
      <c r="J96" s="1715"/>
      <c r="K96" s="1735"/>
      <c r="L96" s="1715"/>
      <c r="M96" s="1735"/>
      <c r="N96" s="1715"/>
      <c r="O96" s="1735"/>
      <c r="P96" s="1715"/>
      <c r="Q96" s="1735"/>
      <c r="R96" s="1715"/>
      <c r="S96" s="1735"/>
      <c r="T96" s="1715"/>
      <c r="U96" s="1735"/>
      <c r="V96" s="1715"/>
      <c r="W96" s="1735"/>
      <c r="X96" s="1715"/>
      <c r="Y96" s="1735"/>
      <c r="Z96" s="1715"/>
      <c r="AA96" s="1735"/>
      <c r="AB96" s="1715"/>
      <c r="AC96" s="1735"/>
      <c r="AD96" s="1715"/>
      <c r="AE96" s="1735"/>
      <c r="AF96" s="1715"/>
      <c r="AG96" s="1737"/>
      <c r="AH96" s="1741"/>
      <c r="AI96" s="1735"/>
      <c r="AJ96" s="1736"/>
      <c r="AK96" s="1705"/>
      <c r="AL96" s="48" t="str">
        <f t="shared" si="53"/>
        <v/>
      </c>
      <c r="CA96" s="80" t="str">
        <f t="shared" si="86"/>
        <v/>
      </c>
      <c r="CB96" s="80" t="str">
        <f t="shared" si="88"/>
        <v/>
      </c>
      <c r="CC96" s="80" t="str">
        <f t="shared" si="89"/>
        <v/>
      </c>
      <c r="CD96" s="80" t="str">
        <f t="shared" si="90"/>
        <v/>
      </c>
      <c r="DK96" s="287">
        <f t="shared" si="46"/>
        <v>0</v>
      </c>
      <c r="DL96" s="287">
        <f t="shared" si="47"/>
        <v>0</v>
      </c>
      <c r="DM96" s="287">
        <f t="shared" si="48"/>
        <v>0</v>
      </c>
      <c r="DN96" s="287">
        <f t="shared" si="49"/>
        <v>0</v>
      </c>
    </row>
    <row r="97" spans="1:118" ht="15" customHeight="1" x14ac:dyDescent="0.15">
      <c r="A97" s="2144"/>
      <c r="B97" s="366" t="s">
        <v>562</v>
      </c>
      <c r="C97" s="327">
        <f t="shared" si="91"/>
        <v>0</v>
      </c>
      <c r="D97" s="105">
        <f t="shared" si="87"/>
        <v>0</v>
      </c>
      <c r="E97" s="123">
        <f t="shared" si="87"/>
        <v>0</v>
      </c>
      <c r="F97" s="1712"/>
      <c r="G97" s="1721"/>
      <c r="H97" s="1712"/>
      <c r="I97" s="1721"/>
      <c r="J97" s="1712"/>
      <c r="K97" s="1721"/>
      <c r="L97" s="1712"/>
      <c r="M97" s="1721"/>
      <c r="N97" s="1712"/>
      <c r="O97" s="1721"/>
      <c r="P97" s="1712"/>
      <c r="Q97" s="1721"/>
      <c r="R97" s="1712"/>
      <c r="S97" s="1721"/>
      <c r="T97" s="1712"/>
      <c r="U97" s="1721"/>
      <c r="V97" s="1712"/>
      <c r="W97" s="1721"/>
      <c r="X97" s="1712"/>
      <c r="Y97" s="1721"/>
      <c r="Z97" s="1712"/>
      <c r="AA97" s="1721"/>
      <c r="AB97" s="1712"/>
      <c r="AC97" s="1721"/>
      <c r="AD97" s="1712"/>
      <c r="AE97" s="1721"/>
      <c r="AF97" s="1712"/>
      <c r="AG97" s="1722"/>
      <c r="AH97" s="1710"/>
      <c r="AI97" s="1721"/>
      <c r="AJ97" s="1736"/>
      <c r="AK97" s="1705"/>
      <c r="AL97" s="48" t="str">
        <f t="shared" si="53"/>
        <v/>
      </c>
      <c r="CA97" s="80" t="str">
        <f t="shared" si="86"/>
        <v/>
      </c>
      <c r="CB97" s="80" t="str">
        <f t="shared" si="88"/>
        <v/>
      </c>
      <c r="CC97" s="80" t="str">
        <f t="shared" si="89"/>
        <v/>
      </c>
      <c r="CD97" s="80" t="str">
        <f t="shared" si="90"/>
        <v/>
      </c>
      <c r="DK97" s="287">
        <f t="shared" si="46"/>
        <v>0</v>
      </c>
      <c r="DL97" s="287">
        <f t="shared" si="47"/>
        <v>0</v>
      </c>
      <c r="DM97" s="287">
        <f t="shared" si="48"/>
        <v>0</v>
      </c>
      <c r="DN97" s="287">
        <f t="shared" si="49"/>
        <v>0</v>
      </c>
    </row>
    <row r="98" spans="1:118" ht="15" customHeight="1" x14ac:dyDescent="0.15">
      <c r="A98" s="2144"/>
      <c r="B98" s="366" t="s">
        <v>49</v>
      </c>
      <c r="C98" s="327">
        <f>SUM(D98:E98)</f>
        <v>0</v>
      </c>
      <c r="D98" s="105">
        <f>+F98+H98+J98+L98+N98+P98+R98+T98+V98+X98+Z98+AB98+AD98+AF98</f>
        <v>0</v>
      </c>
      <c r="E98" s="123">
        <f>+G98+I98+K98+M98+O98+Q98+S98+U98+W98+Y98+AA98+AC98+AE98+AG98</f>
        <v>0</v>
      </c>
      <c r="F98" s="354">
        <f>SUM(F90:F97)</f>
        <v>0</v>
      </c>
      <c r="G98" s="283">
        <f t="shared" ref="G98:AK98" si="93">SUM(G90:G97)</f>
        <v>0</v>
      </c>
      <c r="H98" s="354">
        <f t="shared" si="93"/>
        <v>0</v>
      </c>
      <c r="I98" s="283">
        <f t="shared" si="93"/>
        <v>0</v>
      </c>
      <c r="J98" s="354">
        <f t="shared" si="93"/>
        <v>0</v>
      </c>
      <c r="K98" s="283">
        <f t="shared" si="93"/>
        <v>0</v>
      </c>
      <c r="L98" s="354">
        <f t="shared" si="93"/>
        <v>0</v>
      </c>
      <c r="M98" s="283">
        <f t="shared" si="93"/>
        <v>0</v>
      </c>
      <c r="N98" s="354">
        <f t="shared" si="93"/>
        <v>0</v>
      </c>
      <c r="O98" s="283">
        <f t="shared" si="93"/>
        <v>0</v>
      </c>
      <c r="P98" s="354">
        <f t="shared" si="93"/>
        <v>0</v>
      </c>
      <c r="Q98" s="283">
        <f t="shared" si="93"/>
        <v>0</v>
      </c>
      <c r="R98" s="354">
        <f t="shared" si="93"/>
        <v>0</v>
      </c>
      <c r="S98" s="283">
        <f t="shared" si="93"/>
        <v>0</v>
      </c>
      <c r="T98" s="354">
        <f t="shared" si="93"/>
        <v>0</v>
      </c>
      <c r="U98" s="283">
        <f t="shared" si="93"/>
        <v>0</v>
      </c>
      <c r="V98" s="354">
        <f t="shared" si="93"/>
        <v>0</v>
      </c>
      <c r="W98" s="283">
        <f t="shared" si="93"/>
        <v>0</v>
      </c>
      <c r="X98" s="354">
        <f t="shared" si="93"/>
        <v>0</v>
      </c>
      <c r="Y98" s="283">
        <f t="shared" si="93"/>
        <v>0</v>
      </c>
      <c r="Z98" s="354">
        <f t="shared" si="93"/>
        <v>0</v>
      </c>
      <c r="AA98" s="283">
        <f t="shared" si="93"/>
        <v>0</v>
      </c>
      <c r="AB98" s="354">
        <f t="shared" si="93"/>
        <v>0</v>
      </c>
      <c r="AC98" s="283">
        <f t="shared" si="93"/>
        <v>0</v>
      </c>
      <c r="AD98" s="354">
        <f t="shared" si="93"/>
        <v>0</v>
      </c>
      <c r="AE98" s="283">
        <f t="shared" si="93"/>
        <v>0</v>
      </c>
      <c r="AF98" s="354">
        <f t="shared" si="93"/>
        <v>0</v>
      </c>
      <c r="AG98" s="124">
        <f t="shared" si="93"/>
        <v>0</v>
      </c>
      <c r="AH98" s="284">
        <f t="shared" si="93"/>
        <v>0</v>
      </c>
      <c r="AI98" s="283">
        <f t="shared" si="93"/>
        <v>0</v>
      </c>
      <c r="AJ98" s="407">
        <f t="shared" si="93"/>
        <v>0</v>
      </c>
      <c r="AK98" s="408">
        <f t="shared" si="93"/>
        <v>0</v>
      </c>
    </row>
    <row r="99" spans="1:118" ht="14.25" customHeight="1" x14ac:dyDescent="0.15">
      <c r="A99" s="48" t="s">
        <v>563</v>
      </c>
    </row>
    <row r="100" spans="1:118" x14ac:dyDescent="0.15">
      <c r="Z100" s="32"/>
    </row>
    <row r="112" spans="1:118" ht="21" hidden="1" customHeight="1" x14ac:dyDescent="0.15">
      <c r="A112" s="403">
        <f>SUM(C12:C23,C29:C43,C49:C74,C77:C82,C84:C97)</f>
        <v>0</v>
      </c>
      <c r="B112" s="78" t="s">
        <v>204</v>
      </c>
    </row>
    <row r="113" spans="1:2" ht="18.75" hidden="1" customHeight="1" x14ac:dyDescent="0.15">
      <c r="A113" s="403">
        <f>SUM(DK13:ER97)</f>
        <v>0</v>
      </c>
      <c r="B113" s="78" t="s">
        <v>205</v>
      </c>
    </row>
  </sheetData>
  <sheetProtection algorithmName="SHA-512" hashValue="v0QHr6ZvEkLsdFLU6s6Or4vgnnZ5AUHMkv8nJnF+VGJUtDAQytT3eJNprNZAnWYQEs/YbgUOn+Xpe0WVZhcOXg==" saltValue="K6HxiCm6knuCC0pWwiGSvw==" spinCount="100000" sheet="1" objects="1" scenarios="1"/>
  <mergeCells count="117">
    <mergeCell ref="DM45:DN46"/>
    <mergeCell ref="CH9:CH10"/>
    <mergeCell ref="A58:B58"/>
    <mergeCell ref="A60:B60"/>
    <mergeCell ref="A72:B72"/>
    <mergeCell ref="A73:B73"/>
    <mergeCell ref="A74:B74"/>
    <mergeCell ref="CA9:CB10"/>
    <mergeCell ref="CA45:CB46"/>
    <mergeCell ref="DK45:DL46"/>
    <mergeCell ref="CJ45:CJ46"/>
    <mergeCell ref="P46:Q46"/>
    <mergeCell ref="H27:I27"/>
    <mergeCell ref="F46:G46"/>
    <mergeCell ref="H46:I46"/>
    <mergeCell ref="J46:K46"/>
    <mergeCell ref="J27:K27"/>
    <mergeCell ref="A38:A40"/>
    <mergeCell ref="CI9:CI10"/>
    <mergeCell ref="CC9:CD10"/>
    <mergeCell ref="CG9:CG11"/>
    <mergeCell ref="AJ45:AK46"/>
    <mergeCell ref="L27:M27"/>
    <mergeCell ref="A41:A43"/>
    <mergeCell ref="A83:B83"/>
    <mergeCell ref="AB27:AC27"/>
    <mergeCell ref="R27:S27"/>
    <mergeCell ref="T27:U27"/>
    <mergeCell ref="L46:M46"/>
    <mergeCell ref="N46:O46"/>
    <mergeCell ref="AF27:AG27"/>
    <mergeCell ref="Z27:AA27"/>
    <mergeCell ref="C26:E27"/>
    <mergeCell ref="F27:G27"/>
    <mergeCell ref="A35:A37"/>
    <mergeCell ref="A29:A30"/>
    <mergeCell ref="A49:B49"/>
    <mergeCell ref="A78:B78"/>
    <mergeCell ref="A80:B80"/>
    <mergeCell ref="A66:A68"/>
    <mergeCell ref="A59:B59"/>
    <mergeCell ref="A77:B77"/>
    <mergeCell ref="A79:B79"/>
    <mergeCell ref="A69:B69"/>
    <mergeCell ref="A70:B70"/>
    <mergeCell ref="CI45:CI46"/>
    <mergeCell ref="V27:W27"/>
    <mergeCell ref="X27:Y27"/>
    <mergeCell ref="X46:Y46"/>
    <mergeCell ref="Z46:AA46"/>
    <mergeCell ref="T46:U46"/>
    <mergeCell ref="V46:W46"/>
    <mergeCell ref="A57:B57"/>
    <mergeCell ref="A8:AG8"/>
    <mergeCell ref="AJ9:AK10"/>
    <mergeCell ref="A12:B12"/>
    <mergeCell ref="Z10:AA10"/>
    <mergeCell ref="AH9:AI10"/>
    <mergeCell ref="A16:A24"/>
    <mergeCell ref="C45:E46"/>
    <mergeCell ref="F45:AG45"/>
    <mergeCell ref="A52:B52"/>
    <mergeCell ref="A54:B54"/>
    <mergeCell ref="A53:B53"/>
    <mergeCell ref="A56:B56"/>
    <mergeCell ref="A25:B25"/>
    <mergeCell ref="A26:B28"/>
    <mergeCell ref="AD27:AE27"/>
    <mergeCell ref="R46:S46"/>
    <mergeCell ref="A88:B88"/>
    <mergeCell ref="CC45:CD46"/>
    <mergeCell ref="AF46:AG46"/>
    <mergeCell ref="A71:B71"/>
    <mergeCell ref="AH26:AI27"/>
    <mergeCell ref="AJ26:AK27"/>
    <mergeCell ref="N27:O27"/>
    <mergeCell ref="P27:Q27"/>
    <mergeCell ref="A86:B86"/>
    <mergeCell ref="F26:AG26"/>
    <mergeCell ref="A81:B81"/>
    <mergeCell ref="AH45:AI46"/>
    <mergeCell ref="A55:B55"/>
    <mergeCell ref="A85:B85"/>
    <mergeCell ref="A82:B82"/>
    <mergeCell ref="C76:AK76"/>
    <mergeCell ref="A50:B50"/>
    <mergeCell ref="A51:B51"/>
    <mergeCell ref="C48:AK48"/>
    <mergeCell ref="AD46:AE46"/>
    <mergeCell ref="A45:B47"/>
    <mergeCell ref="C83:AK83"/>
    <mergeCell ref="A62:A65"/>
    <mergeCell ref="A61:B61"/>
    <mergeCell ref="A89:B89"/>
    <mergeCell ref="A90:A98"/>
    <mergeCell ref="A87:B87"/>
    <mergeCell ref="A84:B84"/>
    <mergeCell ref="A7:U7"/>
    <mergeCell ref="A9:B11"/>
    <mergeCell ref="C9:E10"/>
    <mergeCell ref="P10:Q10"/>
    <mergeCell ref="R10:S10"/>
    <mergeCell ref="T10:U10"/>
    <mergeCell ref="J10:K10"/>
    <mergeCell ref="L10:M10"/>
    <mergeCell ref="N10:O10"/>
    <mergeCell ref="F9:AG9"/>
    <mergeCell ref="F10:G10"/>
    <mergeCell ref="H10:I10"/>
    <mergeCell ref="AB10:AC10"/>
    <mergeCell ref="V10:W10"/>
    <mergeCell ref="AD10:AE10"/>
    <mergeCell ref="AF10:AG10"/>
    <mergeCell ref="X10:Y10"/>
    <mergeCell ref="A13:A15"/>
    <mergeCell ref="AB46:AC46"/>
    <mergeCell ref="A31:A33"/>
  </mergeCells>
  <phoneticPr fontId="26" type="noConversion"/>
  <dataValidations count="2">
    <dataValidation allowBlank="1" showInputMessage="1" showErrorMessage="1" errorTitle=" Error de ingreso" error="Debe ingresar sólo números enteros positivos." sqref="B44 C9:E37 B76 B62:B67 B48 F44:AK47 D77:E82 A48:A62 A34:A35 F25:AK28 DM9:DP12 AL90:BZ1048576 A44:A45 B9:B36 D38:E47 DI29:XFD43 A99:AK1048576 A90:B98 F98:AK98 C38:C82 AL89:BA89 D49:E75 A66:A80 A38 BA45:BA88 CA83:CD83 DO49:XFD1048576 AM1:XFD7 CA8:XFD8 B83 CH9 AL25:BA44 A83:A88 AM8:BA8 CA25:XFD28 CC9:CD12 CA9 CA11:CB12 CA44:XFD44 CC45:CD47 CA45 CA47:CB47 DK98:DN1048576 CA48:XFD48 CE49:DH89 CA76:CD76 CA98:CD1048576 CE29:DF43 CE90:DJ1048576 DK49:DL97 DQ45:XFD47 CG45:DJ47 DK45 DK47:DN47 DM45 AL45:AV88 AH1:AL12 B1:AG7 F9:AG12 A16 A25:A31 A6:A13 CK9:DL24 CG9:CG21 CI9:CI21 CG22:CI24 CH11:CH21 AL9:AZ24 DQ9:XFD24 A41 B41:B42 B38:B39 C84:E98" xr:uid="{00000000-0002-0000-0400-000000000000}"/>
    <dataValidation type="whole" operator="greaterThanOrEqual" allowBlank="1" showInputMessage="1" showErrorMessage="1" errorTitle=" Error de ingreso" error="Debe ingresar sólo números enteros positivos." sqref="F29:AK43 F77:AK82 F49:AK75 F84:AK98 F13:AK24" xr:uid="{00000000-0002-0000-0400-000001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pageOrder="overThenDown" orientation="portrait" r:id="rId1"/>
  <rowBreaks count="1" manualBreakCount="1">
    <brk id="43" max="35" man="1"/>
  </rowBreaks>
  <colBreaks count="2" manualBreakCount="2">
    <brk id="15" max="57" man="1"/>
    <brk id="36" max="1048575" man="1"/>
  </colBreaks>
  <ignoredErrors>
    <ignoredError sqref="AL9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CW82"/>
  <sheetViews>
    <sheetView showGridLines="0" zoomScaleNormal="100" workbookViewId="0"/>
  </sheetViews>
  <sheetFormatPr baseColWidth="10" defaultColWidth="11.42578125" defaultRowHeight="15" x14ac:dyDescent="0.25"/>
  <cols>
    <col min="1" max="1" width="21.5703125" style="48" customWidth="1"/>
    <col min="2" max="2" width="18.140625" style="48" customWidth="1"/>
    <col min="3" max="3" width="12.85546875" style="48" customWidth="1"/>
    <col min="4" max="4" width="11.42578125" style="48"/>
    <col min="5" max="5" width="12.42578125" style="48" bestFit="1" customWidth="1"/>
    <col min="6" max="21" width="10.140625" style="48" customWidth="1"/>
    <col min="22" max="24" width="9.7109375" style="48" customWidth="1"/>
    <col min="25" max="25" width="9.140625" style="48" customWidth="1"/>
    <col min="26" max="26" width="11.42578125" style="48" customWidth="1"/>
    <col min="27" max="27" width="11.7109375" style="48" customWidth="1"/>
    <col min="28" max="28" width="11.42578125" style="382"/>
    <col min="52" max="53" width="11.42578125" style="48" customWidth="1"/>
    <col min="54" max="77" width="11.42578125" style="48"/>
    <col min="78" max="78" width="11.42578125" style="48" hidden="1" customWidth="1"/>
    <col min="79" max="80" width="12.28515625" style="48" hidden="1" customWidth="1"/>
    <col min="81" max="89" width="9.7109375" style="48" hidden="1" customWidth="1"/>
    <col min="90" max="90" width="12.5703125" style="48" hidden="1" customWidth="1"/>
    <col min="91" max="91" width="9.28515625" style="48" hidden="1" customWidth="1"/>
    <col min="92" max="101" width="9.7109375" style="48" hidden="1" customWidth="1"/>
    <col min="102" max="102" width="11.5703125" style="48" customWidth="1"/>
    <col min="103" max="108" width="11.42578125" style="48" customWidth="1"/>
    <col min="109" max="16384" width="11.42578125" style="48"/>
  </cols>
  <sheetData>
    <row r="1" spans="1:98" s="31" customFormat="1" ht="13.5" customHeight="1" x14ac:dyDescent="0.15">
      <c r="A1" s="30" t="s">
        <v>0</v>
      </c>
    </row>
    <row r="2" spans="1:98" s="31" customFormat="1" ht="13.5" customHeight="1" x14ac:dyDescent="0.15">
      <c r="A2" s="30" t="str">
        <f>CONCATENATE("COMUNA: ",NOMBRE!$B$2,"   ","( ",NOMBRE!$C$2,NOMBRE!$D$2,NOMBRE!$E$2,NOMBRE!$F$2,NOMBRE!$G$2," )")</f>
        <v>COMUNA:    (  )</v>
      </c>
    </row>
    <row r="3" spans="1:98" s="31" customFormat="1" ht="13.5" customHeight="1" x14ac:dyDescent="0.15">
      <c r="A3" s="30" t="str">
        <f>CONCATENATE("ESTABLECIMIENTO/ESTRATEGIA: ",NOMBRE!$B$3,"   ","( ",NOMBRE!$C$3,NOMBRE!$D$3,NOMBRE!$E$3,NOMBRE!$F$3,NOMBRE!$G$3,NOMBRE!$H$3," )")</f>
        <v>ESTABLECIMIENTO/ESTRATEGIA:    (  )</v>
      </c>
      <c r="D3" s="36"/>
    </row>
    <row r="4" spans="1:98" s="31" customFormat="1" ht="13.5" customHeight="1" x14ac:dyDescent="0.15">
      <c r="A4" s="30" t="str">
        <f>CONCATENATE("MES: ",NOMBRE!$B$6,"   ","( ",NOMBRE!$C$6,NOMBRE!$D$6," )")</f>
        <v>MES:    (  )</v>
      </c>
    </row>
    <row r="5" spans="1:98" s="31" customFormat="1" ht="13.5" customHeight="1" x14ac:dyDescent="0.15">
      <c r="A5" s="30" t="str">
        <f>CONCATENATE("AÑO: ",NOMBRE!$B$7)</f>
        <v>AÑO: 2026</v>
      </c>
    </row>
    <row r="6" spans="1:98" s="31" customFormat="1" ht="15" customHeight="1" x14ac:dyDescent="0.15">
      <c r="A6" s="35"/>
    </row>
    <row r="7" spans="1:98" ht="33" customHeight="1" x14ac:dyDescent="0.25">
      <c r="A7" s="2235" t="s">
        <v>564</v>
      </c>
      <c r="B7" s="2235"/>
      <c r="C7" s="2235"/>
      <c r="D7" s="2235"/>
      <c r="E7" s="2235"/>
      <c r="F7" s="2235"/>
      <c r="G7" s="2235"/>
      <c r="H7" s="2235"/>
      <c r="I7" s="2235"/>
      <c r="J7" s="2235"/>
      <c r="K7" s="2235"/>
      <c r="L7" s="2235"/>
      <c r="M7" s="2235"/>
      <c r="N7" s="2235"/>
      <c r="O7" s="2235"/>
      <c r="P7" s="2235"/>
      <c r="Q7" s="2235"/>
      <c r="R7" s="2235"/>
      <c r="S7" s="2235"/>
      <c r="T7" s="2235"/>
      <c r="U7" s="2235"/>
    </row>
    <row r="8" spans="1:98" s="297" customFormat="1" ht="17.100000000000001" customHeight="1" x14ac:dyDescent="0.2">
      <c r="A8" s="300" t="s">
        <v>565</v>
      </c>
      <c r="B8" s="300"/>
      <c r="C8" s="300"/>
      <c r="D8" s="300"/>
      <c r="E8" s="301"/>
      <c r="F8" s="301"/>
      <c r="G8" s="301"/>
      <c r="H8" s="298"/>
      <c r="M8" s="299"/>
      <c r="AB8" s="382"/>
      <c r="AC8" s="296"/>
      <c r="AD8" s="296"/>
      <c r="AE8" s="296"/>
      <c r="AF8" s="296"/>
      <c r="AG8" s="296"/>
      <c r="AH8" s="296"/>
      <c r="AI8" s="296"/>
      <c r="AJ8" s="296"/>
      <c r="AK8" s="296"/>
      <c r="AL8" s="296"/>
      <c r="AM8" s="296"/>
      <c r="AN8" s="296"/>
      <c r="AO8" s="296"/>
      <c r="AP8" s="296"/>
      <c r="AQ8" s="296"/>
      <c r="AR8" s="296"/>
      <c r="AS8" s="296"/>
      <c r="AT8" s="296"/>
      <c r="AU8" s="296"/>
      <c r="AV8" s="296"/>
      <c r="AW8" s="296"/>
      <c r="AX8" s="296"/>
      <c r="AY8" s="296"/>
      <c r="CB8" s="2278" t="s">
        <v>51</v>
      </c>
      <c r="CC8" s="2177"/>
      <c r="CD8" s="2278" t="s">
        <v>566</v>
      </c>
      <c r="CE8" s="2177"/>
      <c r="CF8" s="2278" t="s">
        <v>567</v>
      </c>
      <c r="CG8" s="2177"/>
      <c r="CJ8" s="302"/>
      <c r="CK8" s="302"/>
      <c r="CL8" s="302"/>
      <c r="CM8" s="302"/>
      <c r="CO8" s="2278" t="s">
        <v>51</v>
      </c>
      <c r="CP8" s="2177"/>
      <c r="CQ8" s="2278" t="s">
        <v>566</v>
      </c>
      <c r="CR8" s="2177"/>
      <c r="CS8" s="2278" t="s">
        <v>567</v>
      </c>
      <c r="CT8" s="2177"/>
    </row>
    <row r="9" spans="1:98" ht="21" customHeight="1" x14ac:dyDescent="0.25">
      <c r="A9" s="2264" t="s">
        <v>568</v>
      </c>
      <c r="B9" s="2265"/>
      <c r="C9" s="2241" t="s">
        <v>49</v>
      </c>
      <c r="D9" s="2241"/>
      <c r="E9" s="2241"/>
      <c r="F9" s="2245" t="s">
        <v>370</v>
      </c>
      <c r="G9" s="2246"/>
      <c r="H9" s="2246"/>
      <c r="I9" s="2246"/>
      <c r="J9" s="2246"/>
      <c r="K9" s="2246"/>
      <c r="L9" s="2246"/>
      <c r="M9" s="2246"/>
      <c r="N9" s="2246"/>
      <c r="O9" s="2246"/>
      <c r="P9" s="2246"/>
      <c r="Q9" s="2246"/>
      <c r="R9" s="2246"/>
      <c r="S9" s="2246"/>
      <c r="T9" s="2246"/>
      <c r="U9" s="2247"/>
      <c r="V9" s="2263" t="s">
        <v>51</v>
      </c>
      <c r="W9" s="2262"/>
      <c r="X9" s="2159" t="s">
        <v>52</v>
      </c>
      <c r="Y9" s="2262"/>
      <c r="Z9" s="2159" t="s">
        <v>567</v>
      </c>
      <c r="AA9" s="2262"/>
      <c r="CB9" s="2279"/>
      <c r="CC9" s="2179"/>
      <c r="CD9" s="2279"/>
      <c r="CE9" s="2179"/>
      <c r="CF9" s="2279"/>
      <c r="CG9" s="2179"/>
      <c r="CJ9" s="76"/>
      <c r="CK9" s="76"/>
      <c r="CL9" s="76"/>
      <c r="CM9" s="76"/>
      <c r="CO9" s="2279"/>
      <c r="CP9" s="2179"/>
      <c r="CQ9" s="2279"/>
      <c r="CR9" s="2179"/>
      <c r="CS9" s="2279"/>
      <c r="CT9" s="2179"/>
    </row>
    <row r="10" spans="1:98" ht="18" customHeight="1" x14ac:dyDescent="0.25">
      <c r="A10" s="2266"/>
      <c r="B10" s="2267"/>
      <c r="C10" s="2241"/>
      <c r="D10" s="2241"/>
      <c r="E10" s="2241"/>
      <c r="F10" s="2167" t="s">
        <v>67</v>
      </c>
      <c r="G10" s="2166"/>
      <c r="H10" s="2165" t="s">
        <v>396</v>
      </c>
      <c r="I10" s="2166"/>
      <c r="J10" s="2165" t="s">
        <v>397</v>
      </c>
      <c r="K10" s="2166"/>
      <c r="L10" s="2165" t="s">
        <v>569</v>
      </c>
      <c r="M10" s="2167"/>
      <c r="N10" s="2165" t="s">
        <v>570</v>
      </c>
      <c r="O10" s="2167"/>
      <c r="P10" s="2165" t="s">
        <v>571</v>
      </c>
      <c r="Q10" s="2167"/>
      <c r="R10" s="2165" t="s">
        <v>572</v>
      </c>
      <c r="S10" s="2167"/>
      <c r="T10" s="2165" t="s">
        <v>573</v>
      </c>
      <c r="U10" s="2167"/>
      <c r="V10" s="2263"/>
      <c r="W10" s="2262"/>
      <c r="X10" s="2159"/>
      <c r="Y10" s="2262"/>
      <c r="Z10" s="2159"/>
      <c r="AA10" s="2262"/>
      <c r="CB10" s="416" t="s">
        <v>86</v>
      </c>
      <c r="CC10" s="416" t="s">
        <v>225</v>
      </c>
      <c r="CD10" s="416" t="s">
        <v>86</v>
      </c>
      <c r="CE10" s="416" t="s">
        <v>225</v>
      </c>
      <c r="CF10" s="416" t="s">
        <v>86</v>
      </c>
      <c r="CG10" s="416" t="s">
        <v>225</v>
      </c>
      <c r="CJ10" s="290"/>
      <c r="CK10" s="290"/>
      <c r="CL10" s="290"/>
      <c r="CM10" s="290"/>
      <c r="CO10" s="416" t="s">
        <v>86</v>
      </c>
      <c r="CP10" s="416" t="s">
        <v>225</v>
      </c>
      <c r="CQ10" s="416" t="s">
        <v>86</v>
      </c>
      <c r="CR10" s="416" t="s">
        <v>225</v>
      </c>
      <c r="CS10" s="416" t="s">
        <v>86</v>
      </c>
      <c r="CT10" s="416" t="s">
        <v>225</v>
      </c>
    </row>
    <row r="11" spans="1:98" ht="21" x14ac:dyDescent="0.25">
      <c r="A11" s="2268"/>
      <c r="B11" s="2269"/>
      <c r="C11" s="400" t="s">
        <v>399</v>
      </c>
      <c r="D11" s="417" t="s">
        <v>86</v>
      </c>
      <c r="E11" s="345" t="s">
        <v>225</v>
      </c>
      <c r="F11" s="352" t="s">
        <v>400</v>
      </c>
      <c r="G11" s="259" t="s">
        <v>225</v>
      </c>
      <c r="H11" s="352" t="s">
        <v>400</v>
      </c>
      <c r="I11" s="259" t="s">
        <v>225</v>
      </c>
      <c r="J11" s="352" t="s">
        <v>400</v>
      </c>
      <c r="K11" s="259" t="s">
        <v>225</v>
      </c>
      <c r="L11" s="352" t="s">
        <v>400</v>
      </c>
      <c r="M11" s="38" t="s">
        <v>225</v>
      </c>
      <c r="N11" s="352" t="s">
        <v>400</v>
      </c>
      <c r="O11" s="38" t="s">
        <v>225</v>
      </c>
      <c r="P11" s="352" t="s">
        <v>400</v>
      </c>
      <c r="Q11" s="38" t="s">
        <v>225</v>
      </c>
      <c r="R11" s="352" t="s">
        <v>400</v>
      </c>
      <c r="S11" s="38" t="s">
        <v>225</v>
      </c>
      <c r="T11" s="352" t="s">
        <v>400</v>
      </c>
      <c r="U11" s="38" t="s">
        <v>225</v>
      </c>
      <c r="V11" s="79" t="s">
        <v>86</v>
      </c>
      <c r="W11" s="396" t="s">
        <v>225</v>
      </c>
      <c r="X11" s="394" t="s">
        <v>86</v>
      </c>
      <c r="Y11" s="396" t="s">
        <v>225</v>
      </c>
      <c r="Z11" s="394" t="s">
        <v>86</v>
      </c>
      <c r="AA11" s="396" t="s">
        <v>225</v>
      </c>
    </row>
    <row r="12" spans="1:98" ht="15" customHeight="1" x14ac:dyDescent="0.25">
      <c r="A12" s="2270" t="s">
        <v>574</v>
      </c>
      <c r="B12" s="2271"/>
      <c r="C12" s="332">
        <f t="shared" ref="C12:C21" si="0">SUM(D12:E12)</f>
        <v>0</v>
      </c>
      <c r="D12" s="125">
        <f>+F12+H12+J12+L12+N12+P12+R12+T12</f>
        <v>0</v>
      </c>
      <c r="E12" s="126">
        <f>+G12+I12+K12+M12+O12+Q12+S12+U12</f>
        <v>0</v>
      </c>
      <c r="F12" s="127"/>
      <c r="G12" s="128"/>
      <c r="H12" s="127"/>
      <c r="I12" s="128"/>
      <c r="J12" s="127"/>
      <c r="K12" s="128"/>
      <c r="L12" s="127"/>
      <c r="M12" s="129"/>
      <c r="N12" s="127"/>
      <c r="O12" s="129"/>
      <c r="P12" s="127"/>
      <c r="Q12" s="129"/>
      <c r="R12" s="127"/>
      <c r="S12" s="129"/>
      <c r="T12" s="127"/>
      <c r="U12" s="129"/>
      <c r="V12" s="130"/>
      <c r="W12" s="128"/>
      <c r="X12" s="131"/>
      <c r="Y12" s="128"/>
      <c r="Z12" s="131"/>
      <c r="AA12" s="128"/>
      <c r="AB12" s="48" t="str">
        <f>CB12&amp;CC12&amp;CD12&amp;CE12&amp;CF12&amp;CG12</f>
        <v/>
      </c>
      <c r="CB12" s="80" t="str">
        <f>IF(AND(D12&gt;0,OR(V12=""))," * No olvide digitar la variable Pueblos Originarios Hombres. Digite Cero si no tiene.",IF(V12&gt;D12," * La variable Pueblos Originarios Hombres no puede ser Mayor al Total Hombres.",""))</f>
        <v/>
      </c>
      <c r="CC12" s="80" t="str">
        <f>IF(AND(E12&gt;0,OR(W12=""))," * No olvide digitar la variable Pueblos Originarios Mujeres. Digite Cero si no tiene.",IF(W12&gt;E12," * La variable Pueblos Originarios Mujeres no puede ser Mayor al Total Mujeres.",""))</f>
        <v/>
      </c>
      <c r="CD12" s="80" t="str">
        <f>IF(AND($D12&gt;0,OR(X12=""))," * No olvide digitar la variable Migrantes Hombres. Digite Cero si no tiene.",IF(X12&gt;$D12," * La variable Migrantes Hombres no puede ser Mayor al Total Hombres.",""))</f>
        <v/>
      </c>
      <c r="CE12" s="80" t="str">
        <f>IF(AND($E12&gt;0,OR(Y12=""))," * No olvide digitar la variable Migrantes Mujeres. Digite Cero si no tiene.",IF(Y12&gt;$E12," * La variable Migrantes Mujeres no puede ser Mayor al Total Mujeres.",""))</f>
        <v/>
      </c>
      <c r="CF12" s="80" t="str">
        <f>IF(AND($D12&gt;0,OR(Z12=""))," * No olvide digitar la variable Personas Mayores en ELEAM Hombres. Digite Cero si no tiene.",IF(Z12&gt;$D12," * La variable Personas Mayores en ELEAM Hombres no puede ser Mayor al Total Hombres.",""))</f>
        <v/>
      </c>
      <c r="CG12" s="80" t="str">
        <f>IF(AND($E12&gt;0,OR(AA12=""))," * No olvide digitar la variable Personas Mayores en ELEAM Mujeres. Digite Cero si no tiene.",IF(AA12&gt;$E12," * La variable Personas Mayores en ELEAM Mujeres no puede ser Mayor al Total Mujeres.",""))</f>
        <v/>
      </c>
      <c r="CO12" s="287">
        <f>IF(AND(D12&gt;0,OR(V12="")),1,IF(V12&gt;D12,1,0))</f>
        <v>0</v>
      </c>
      <c r="CP12" s="287">
        <f>IF(AND(E12&gt;0,OR(W12="")),1,IF(W12&gt;E12,1,0))</f>
        <v>0</v>
      </c>
      <c r="CQ12" s="287">
        <f>IF(AND($D12&gt;0,OR(X12="")),1,IF(X12&gt;$D12,1,0))</f>
        <v>0</v>
      </c>
      <c r="CR12" s="287">
        <f>IF(AND(E12&gt;0,OR(Y12="")),1,IF(Y12&gt;E12,1,0))</f>
        <v>0</v>
      </c>
      <c r="CS12" s="287">
        <f>IF(AND($D12&gt;0,OR(Z12="")),1,IF(Z12&gt;$D12,1,0))</f>
        <v>0</v>
      </c>
      <c r="CT12" s="287">
        <f>IF(AND($E12&gt;0,OR(AA12="")),1,IF(AA12&gt;$E12,1,0))</f>
        <v>0</v>
      </c>
    </row>
    <row r="13" spans="1:98" ht="15" customHeight="1" x14ac:dyDescent="0.25">
      <c r="A13" s="2272" t="s">
        <v>575</v>
      </c>
      <c r="B13" s="2273"/>
      <c r="C13" s="333">
        <f t="shared" si="0"/>
        <v>0</v>
      </c>
      <c r="D13" s="132">
        <f t="shared" ref="D13:D14" si="1">+F13+H13+J13+L13+N13+P13+R13+T13</f>
        <v>0</v>
      </c>
      <c r="E13" s="133">
        <f t="shared" ref="E13:E14" si="2">+G13+I13+K13+M13+O13+Q13+S13+U13</f>
        <v>0</v>
      </c>
      <c r="F13" s="134"/>
      <c r="G13" s="135"/>
      <c r="H13" s="134"/>
      <c r="I13" s="135"/>
      <c r="J13" s="134"/>
      <c r="K13" s="135"/>
      <c r="L13" s="134"/>
      <c r="M13" s="136"/>
      <c r="N13" s="134"/>
      <c r="O13" s="136"/>
      <c r="P13" s="134"/>
      <c r="Q13" s="136"/>
      <c r="R13" s="134"/>
      <c r="S13" s="136"/>
      <c r="T13" s="134"/>
      <c r="U13" s="136"/>
      <c r="V13" s="137"/>
      <c r="W13" s="135"/>
      <c r="X13" s="138"/>
      <c r="Y13" s="135"/>
      <c r="Z13" s="138"/>
      <c r="AA13" s="135"/>
      <c r="AB13" s="48" t="str">
        <f>CB13&amp;CC13&amp;CD13&amp;CE13&amp;CF13&amp;CG13</f>
        <v/>
      </c>
      <c r="CB13" s="80" t="str">
        <f>IF(AND(D13&gt;0,OR(V13=""))," * No olvide digitar la variable Pueblos Originarios Hombres. Digite Cero si no tiene.",IF(V13&gt;D13," * La variable Pueblos Originarios Hombres no puede ser Mayor al Total Hombres.",""))</f>
        <v/>
      </c>
      <c r="CC13" s="80" t="str">
        <f>IF(AND(E13&gt;0,OR(W13=""))," * No olvide digitar la variable Pueblos Originarios Mujeres. Digite Cero si no tiene.",IF(W13&gt;E13," * La variable Pueblos Originarios Mujeres no puede ser Mayor al Total Mujeres.",""))</f>
        <v/>
      </c>
      <c r="CD13" s="80" t="str">
        <f>IF(AND($D13&gt;0,OR(X13=""))," * No olvide digitar la variable Migrantes Hombres. Digite Cero si no tiene.",IF(X13&gt;$D13," * La variable Migrantes Hombres no puede ser Mayor al Total Hombres.",""))</f>
        <v/>
      </c>
      <c r="CE13" s="80" t="str">
        <f>IF(AND($E13&gt;0,OR(Y13=""))," * No olvide digitar la variable Migrantes Mujeres. Digite Cero si no tiene.",IF(Y13&gt;$E13," * La variable Migrantes Mujeres no puede ser Mayor al Total Mujeres.",""))</f>
        <v/>
      </c>
      <c r="CF13" s="80" t="str">
        <f>IF(AND($D13&gt;0,OR(Z13=""))," * No olvide digitar la variable Personas Mayores en ELEAM Hombres. Digite Cero si no tiene.",IF(Z13&gt;$D13," * La variable Personas Mayores en ELEAM Hombres no puede ser Mayor al Total Hombres.",""))</f>
        <v/>
      </c>
      <c r="CG13" s="80" t="str">
        <f>IF(AND($E13&gt;0,OR(AA13=""))," * No olvide digitar la variable Personas Mayores en ELEAM Mujeres. Digite Cero si no tiene.",IF(AA13&gt;$E13," * La variable Personas Mayores en ELEAM Mujeres no puede ser Mayor al Total Mujeres.",""))</f>
        <v/>
      </c>
      <c r="CO13" s="287">
        <f t="shared" ref="CO13:CP14" si="3">IF(AND(D13&gt;0,OR(V13="")),1,IF(V13&gt;D13,1,0))</f>
        <v>0</v>
      </c>
      <c r="CP13" s="287">
        <f t="shared" si="3"/>
        <v>0</v>
      </c>
      <c r="CQ13" s="287">
        <f>IF(AND($D13&gt;0,OR(X13="")),1,IF(X13&gt;$D13,1,0))</f>
        <v>0</v>
      </c>
      <c r="CR13" s="287">
        <f>IF(AND(E13&gt;0,OR(Y13="")),1,IF(Y13&gt;E13,1,0))</f>
        <v>0</v>
      </c>
      <c r="CS13" s="287">
        <f>IF(AND($D13&gt;0,OR(Z13="")),1,IF(Z13&gt;$D13,1,0))</f>
        <v>0</v>
      </c>
      <c r="CT13" s="287">
        <f>IF(AND($E13&gt;0,OR(AA13="")),1,IF(AA13&gt;$E13,1,0))</f>
        <v>0</v>
      </c>
    </row>
    <row r="14" spans="1:98" ht="15" customHeight="1" x14ac:dyDescent="0.25">
      <c r="A14" s="2274" t="s">
        <v>576</v>
      </c>
      <c r="B14" s="2275"/>
      <c r="C14" s="333">
        <f t="shared" si="0"/>
        <v>0</v>
      </c>
      <c r="D14" s="132">
        <f t="shared" si="1"/>
        <v>0</v>
      </c>
      <c r="E14" s="133">
        <f t="shared" si="2"/>
        <v>0</v>
      </c>
      <c r="F14" s="139"/>
      <c r="G14" s="140"/>
      <c r="H14" s="139"/>
      <c r="I14" s="140"/>
      <c r="J14" s="139"/>
      <c r="K14" s="140"/>
      <c r="L14" s="139"/>
      <c r="M14" s="141"/>
      <c r="N14" s="139"/>
      <c r="O14" s="141"/>
      <c r="P14" s="139"/>
      <c r="Q14" s="141"/>
      <c r="R14" s="139"/>
      <c r="S14" s="141"/>
      <c r="T14" s="277"/>
      <c r="U14" s="141"/>
      <c r="V14" s="142"/>
      <c r="W14" s="140"/>
      <c r="X14" s="143"/>
      <c r="Y14" s="140"/>
      <c r="Z14" s="143"/>
      <c r="AA14" s="140"/>
      <c r="AB14" s="48" t="str">
        <f>CB14&amp;CC14&amp;CD14&amp;CE14&amp;CF14&amp;CG14</f>
        <v/>
      </c>
      <c r="CB14" s="80" t="str">
        <f>IF(AND(D14&gt;0,OR(V14=""))," * No olvide digitar la variable Pueblos Originarios Hombres. Digite Cero si no tiene.",IF(V14&gt;D14," * La variable Pueblos Originarios Hombres no puede ser Mayor al Total Hombres.",""))</f>
        <v/>
      </c>
      <c r="CC14" s="80" t="str">
        <f>IF(AND(E14&gt;0,OR(W14=""))," * No olvide digitar la variable Pueblos Originarios Mujeres. Digite Cero si no tiene.",IF(W14&gt;E14," * La variable Pueblos Originarios Mujeres no puede ser Mayor al Total Mujeres.",""))</f>
        <v/>
      </c>
      <c r="CD14" s="80" t="str">
        <f>IF(AND($D14&gt;0,OR(X14=""))," * No olvide digitar la variable Migrantes Hombres. Digite Cero si no tiene.",IF(X14&gt;$D14," * La variable Migrantes Hombres no puede ser Mayor al Total Hombres.",""))</f>
        <v/>
      </c>
      <c r="CE14" s="80" t="str">
        <f>IF(AND($E14&gt;0,OR(Y14=""))," * No olvide digitar la variable Migrantes Mujeres. Digite Cero si no tiene.",IF(Y14&gt;$E14," * La variable Migrantes Mujeres no puede ser Mayor al Total Mujeres.",""))</f>
        <v/>
      </c>
      <c r="CF14" s="80" t="str">
        <f>IF(AND($D14&gt;0,OR(Z14=""))," * No olvide digitar la variable Personas Mayores en ELEAM Hombres. Digite Cero si no tiene.",IF(Z14&gt;$D14," * La variable Personas Mayores en ELEAM Hombres no puede ser Mayor al Total Hombres.",""))</f>
        <v/>
      </c>
      <c r="CG14" s="80" t="str">
        <f>IF(AND($E14&gt;0,OR(AA14=""))," * No olvide digitar la variable Personas Mayores en ELEAM Mujeres. Digite Cero si no tiene.",IF(AA14&gt;$E14," * La variable Personas Mayores en ELEAM Mujeres no puede ser Mayor al Total Mujeres.",""))</f>
        <v/>
      </c>
      <c r="CO14" s="287">
        <f t="shared" si="3"/>
        <v>0</v>
      </c>
      <c r="CP14" s="287">
        <f t="shared" si="3"/>
        <v>0</v>
      </c>
      <c r="CQ14" s="287">
        <f>IF(AND($D14&gt;0,OR(X14="")),1,IF(X14&gt;$D14,1,0))</f>
        <v>0</v>
      </c>
      <c r="CR14" s="287">
        <f>IF(AND(E14&gt;0,OR(Y14="")),1,IF(Y14&gt;E14,1,0))</f>
        <v>0</v>
      </c>
      <c r="CS14" s="287">
        <f>IF(AND($D14&gt;0,OR(Z14="")),1,IF(Z14&gt;$D14,1,0))</f>
        <v>0</v>
      </c>
      <c r="CT14" s="287">
        <f>IF(AND($E14&gt;0,OR(AA14="")),1,IF(AA14&gt;$E14,1,0))</f>
        <v>0</v>
      </c>
    </row>
    <row r="15" spans="1:98" ht="15" customHeight="1" x14ac:dyDescent="0.25">
      <c r="A15" s="2276" t="s">
        <v>577</v>
      </c>
      <c r="B15" s="2277"/>
      <c r="C15" s="418">
        <f>SUM(D15:E15)</f>
        <v>0</v>
      </c>
      <c r="D15" s="419">
        <f>+F15+H15+J15+L15+N15+P15+R15+T15</f>
        <v>0</v>
      </c>
      <c r="E15" s="346">
        <f>+G15+I15+K15+M15+O15+Q15+S15+U15</f>
        <v>0</v>
      </c>
      <c r="F15" s="355">
        <f>SUM(F12:F14)</f>
        <v>0</v>
      </c>
      <c r="G15" s="346">
        <f t="shared" ref="G15:X15" si="4">SUM(G12:G14)</f>
        <v>0</v>
      </c>
      <c r="H15" s="355">
        <f t="shared" si="4"/>
        <v>0</v>
      </c>
      <c r="I15" s="346">
        <f t="shared" si="4"/>
        <v>0</v>
      </c>
      <c r="J15" s="355">
        <f t="shared" si="4"/>
        <v>0</v>
      </c>
      <c r="K15" s="346">
        <f t="shared" si="4"/>
        <v>0</v>
      </c>
      <c r="L15" s="355">
        <f t="shared" si="4"/>
        <v>0</v>
      </c>
      <c r="M15" s="144">
        <f t="shared" si="4"/>
        <v>0</v>
      </c>
      <c r="N15" s="355">
        <f t="shared" ref="N15:O15" si="5">SUM(N12:N14)</f>
        <v>0</v>
      </c>
      <c r="O15" s="144">
        <f t="shared" si="5"/>
        <v>0</v>
      </c>
      <c r="P15" s="355">
        <f t="shared" ref="P15:Q15" si="6">SUM(P12:P14)</f>
        <v>0</v>
      </c>
      <c r="Q15" s="144">
        <f t="shared" si="6"/>
        <v>0</v>
      </c>
      <c r="R15" s="355">
        <f t="shared" ref="R15:S15" si="7">SUM(R12:R14)</f>
        <v>0</v>
      </c>
      <c r="S15" s="144">
        <f t="shared" si="7"/>
        <v>0</v>
      </c>
      <c r="T15" s="355">
        <f t="shared" si="4"/>
        <v>0</v>
      </c>
      <c r="U15" s="144">
        <f t="shared" si="4"/>
        <v>0</v>
      </c>
      <c r="V15" s="145">
        <f>SUM(V12:V14)</f>
        <v>0</v>
      </c>
      <c r="W15" s="346">
        <f>SUM(W12:W14)</f>
        <v>0</v>
      </c>
      <c r="X15" s="419">
        <f t="shared" si="4"/>
        <v>0</v>
      </c>
      <c r="Y15" s="346">
        <f>SUM(Y12:Y14)</f>
        <v>0</v>
      </c>
      <c r="Z15" s="419">
        <f t="shared" ref="Z15" si="8">SUM(Z12:Z14)</f>
        <v>0</v>
      </c>
      <c r="AA15" s="346">
        <f>SUM(AA12:AA14)</f>
        <v>0</v>
      </c>
      <c r="AB15" s="48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</row>
    <row r="16" spans="1:98" ht="15" customHeight="1" x14ac:dyDescent="0.25">
      <c r="A16" s="2270" t="s">
        <v>578</v>
      </c>
      <c r="B16" s="2271"/>
      <c r="C16" s="332">
        <f t="shared" si="0"/>
        <v>0</v>
      </c>
      <c r="D16" s="125">
        <f>+F16+H16+J16+L16+N16+P16+R16+T16</f>
        <v>0</v>
      </c>
      <c r="E16" s="126">
        <f t="shared" ref="E16:E19" si="9">+G16+I16+K16+M16+O16+Q16+S16+U16</f>
        <v>0</v>
      </c>
      <c r="F16" s="127"/>
      <c r="G16" s="128"/>
      <c r="H16" s="127"/>
      <c r="I16" s="128"/>
      <c r="J16" s="127"/>
      <c r="K16" s="128"/>
      <c r="L16" s="127"/>
      <c r="M16" s="129"/>
      <c r="N16" s="127"/>
      <c r="O16" s="129"/>
      <c r="P16" s="127"/>
      <c r="Q16" s="129"/>
      <c r="R16" s="127"/>
      <c r="S16" s="129"/>
      <c r="T16" s="127"/>
      <c r="U16" s="129"/>
      <c r="V16" s="130"/>
      <c r="W16" s="128"/>
      <c r="X16" s="131"/>
      <c r="Y16" s="128"/>
      <c r="Z16" s="131"/>
      <c r="AA16" s="128"/>
      <c r="AB16" s="48" t="str">
        <f>CB16&amp;CC16&amp;CD16&amp;CE16&amp;CF16&amp;CG16</f>
        <v/>
      </c>
      <c r="CB16" s="80" t="str">
        <f>IF(AND(D16&gt;0,OR(V16=""))," * No olvide digitar la variable Pueblos Originarios Hombres. Digite Cero si no tiene.",IF(V16&gt;D16," * La variable Pueblos Originarios Hombres no puede ser Mayor al Total Hombres.",""))</f>
        <v/>
      </c>
      <c r="CC16" s="80" t="str">
        <f>IF(AND(E16&gt;0,OR(W16=""))," * No olvide digitar la variable Pueblos Originarios Mujeres. Digite Cero si no tiene.",IF(W16&gt;E16," * La variable Pueblos Originarios Mujeres no puede ser Mayor al Total Mujeres.",""))</f>
        <v/>
      </c>
      <c r="CD16" s="80" t="str">
        <f>IF(AND($D16&gt;0,OR(X16=""))," * No olvide digitar la variable Migrantes Hombres. Digite Cero si no tiene.",IF(X16&gt;$D16," * La variable Migrantes Hombres no puede ser Mayor al Total Hombres.",""))</f>
        <v/>
      </c>
      <c r="CE16" s="80" t="str">
        <f>IF(AND($E16&gt;0,OR(Y16=""))," * No olvide digitar la variable Migrantes Mujeres. Digite Cero si no tiene.",IF(Y16&gt;$E16," * La variable Migrantes Mujeres no puede ser Mayor al Total Mujeres.",""))</f>
        <v/>
      </c>
      <c r="CF16" s="80" t="str">
        <f>IF(AND($D16&gt;0,OR(Z16=""))," * No olvide digitar la variable Personas Mayores en ELEAM Hombres. Digite Cero si no tiene.",IF(Z16&gt;$D16," * La variable Personas Mayores en ELEAM Hombres no puede ser Mayor al Total Hombres.",""))</f>
        <v/>
      </c>
      <c r="CG16" s="80" t="str">
        <f>IF(AND($E16&gt;0,OR(AA16=""))," * No olvide digitar la variable Personas Mayores en ELEAM Mujeres. Digite Cero si no tiene.",IF(AA16&gt;$E16," * La variable Personas Mayores en ELEAM Mujeres no puede ser Mayor al Total Mujeres.",""))</f>
        <v/>
      </c>
      <c r="CO16" s="287">
        <f t="shared" ref="CO16:CP19" si="10">IF(AND(D16&gt;0,OR(V16="")),1,IF(V16&gt;D16,1,0))</f>
        <v>0</v>
      </c>
      <c r="CP16" s="287">
        <f t="shared" si="10"/>
        <v>0</v>
      </c>
      <c r="CQ16" s="287">
        <f>IF(AND($D16&gt;0,OR(X16="")),1,IF(X16&gt;$D16,1,0))</f>
        <v>0</v>
      </c>
      <c r="CR16" s="287">
        <f>IF(AND($E16&gt;0,OR(Y16="")),1,IF(Y16&gt;$E16,1,0))</f>
        <v>0</v>
      </c>
      <c r="CS16" s="287">
        <f>IF(AND($D16&gt;0,OR(Z16="")),1,IF(Z16&gt;$D16,1,0))</f>
        <v>0</v>
      </c>
      <c r="CT16" s="287">
        <f>IF(AND($E16&gt;0,OR(AA16="")),1,IF(AA16&gt;$E16,1,0))</f>
        <v>0</v>
      </c>
    </row>
    <row r="17" spans="1:100" ht="15" customHeight="1" x14ac:dyDescent="0.25">
      <c r="A17" s="2254" t="s">
        <v>579</v>
      </c>
      <c r="B17" s="2255"/>
      <c r="C17" s="333">
        <f t="shared" si="0"/>
        <v>0</v>
      </c>
      <c r="D17" s="132">
        <f t="shared" ref="D17:D18" si="11">+F17+H17+J17+L17+N17+P17+R17+T17</f>
        <v>0</v>
      </c>
      <c r="E17" s="146">
        <f t="shared" si="9"/>
        <v>0</v>
      </c>
      <c r="F17" s="134"/>
      <c r="G17" s="135"/>
      <c r="H17" s="134"/>
      <c r="I17" s="135"/>
      <c r="J17" s="134"/>
      <c r="K17" s="135"/>
      <c r="L17" s="134"/>
      <c r="M17" s="136"/>
      <c r="N17" s="134"/>
      <c r="O17" s="136"/>
      <c r="P17" s="134"/>
      <c r="Q17" s="136"/>
      <c r="R17" s="134"/>
      <c r="S17" s="136"/>
      <c r="T17" s="134"/>
      <c r="U17" s="136"/>
      <c r="V17" s="137"/>
      <c r="W17" s="135"/>
      <c r="X17" s="138"/>
      <c r="Y17" s="135"/>
      <c r="Z17" s="138"/>
      <c r="AA17" s="135"/>
      <c r="AB17" s="48" t="str">
        <f>CB17&amp;CC17&amp;CD17&amp;CE17&amp;CF17&amp;CG17</f>
        <v/>
      </c>
      <c r="CB17" s="80" t="str">
        <f>IF(AND(D17&gt;0,OR(V17=""))," * No olvide digitar la variable Pueblos Originarios Hombres. Digite Cero si no tiene.",IF(V17&gt;D17," * La variable Pueblos Originarios Hombres no puede ser Mayor al Total Hombres.",""))</f>
        <v/>
      </c>
      <c r="CC17" s="80" t="str">
        <f>IF(AND(E17&gt;0,OR(W17=""))," * No olvide digitar la variable Pueblos Originarios Mujeres. Digite Cero si no tiene.",IF(W17&gt;E17," * La variable Pueblos Originarios Mujeres no puede ser Mayor al Total Mujeres.",""))</f>
        <v/>
      </c>
      <c r="CD17" s="80" t="str">
        <f>IF(AND($D17&gt;0,OR(X17=""))," * No olvide digitar la variable Migrantes Hombres. Digite Cero si no tiene.",IF(X17&gt;$D17," * La variable Migrantes Hombres no puede ser Mayor al Total Hombres.",""))</f>
        <v/>
      </c>
      <c r="CE17" s="80" t="str">
        <f>IF(AND($E17&gt;0,OR(Y17=""))," * No olvide digitar la variable Migrantes Mujeres. Digite Cero si no tiene.",IF(Y17&gt;$E17," * La variable Migrantes Mujeres no puede ser Mayor al Total Mujeres.",""))</f>
        <v/>
      </c>
      <c r="CF17" s="80" t="str">
        <f>IF(AND($D17&gt;0,OR(Z17=""))," * No olvide digitar la variable Personas Mayores en ELEAM Hombres. Digite Cero si no tiene.",IF(Z17&gt;$D17," * La variable Personas Mayores en ELEAM Hombres no puede ser Mayor al Total Hombres.",""))</f>
        <v/>
      </c>
      <c r="CG17" s="80" t="str">
        <f>IF(AND($E17&gt;0,OR(AA17=""))," * No olvide digitar la variable Personas Mayores en ELEAM Mujeres. Digite Cero si no tiene.",IF(AA17&gt;$E17," * La variable Personas Mayores en ELEAM Mujeres no puede ser Mayor al Total Mujeres.",""))</f>
        <v/>
      </c>
      <c r="CO17" s="287">
        <f t="shared" si="10"/>
        <v>0</v>
      </c>
      <c r="CP17" s="287">
        <f t="shared" si="10"/>
        <v>0</v>
      </c>
      <c r="CQ17" s="287">
        <f>IF(AND($D17&gt;0,OR(X17="")),1,IF(X17&gt;$D17,1,0))</f>
        <v>0</v>
      </c>
      <c r="CR17" s="287">
        <f>IF(AND($E17&gt;0,OR(Y17="")),1,IF(Y17&gt;$E17,1,0))</f>
        <v>0</v>
      </c>
      <c r="CS17" s="287">
        <f>IF(AND($D17&gt;0,OR(Z17="")),1,IF(Z17&gt;$D17,1,0))</f>
        <v>0</v>
      </c>
      <c r="CT17" s="287">
        <f>IF(AND($E17&gt;0,OR(AA17="")),1,IF(AA17&gt;$E17,1,0))</f>
        <v>0</v>
      </c>
    </row>
    <row r="18" spans="1:100" ht="15" customHeight="1" x14ac:dyDescent="0.25">
      <c r="A18" s="2254" t="s">
        <v>580</v>
      </c>
      <c r="B18" s="2255"/>
      <c r="C18" s="333">
        <f t="shared" si="0"/>
        <v>0</v>
      </c>
      <c r="D18" s="132">
        <f t="shared" si="11"/>
        <v>0</v>
      </c>
      <c r="E18" s="146">
        <f t="shared" si="9"/>
        <v>0</v>
      </c>
      <c r="F18" s="134"/>
      <c r="G18" s="135"/>
      <c r="H18" s="134"/>
      <c r="I18" s="135"/>
      <c r="J18" s="134"/>
      <c r="K18" s="135"/>
      <c r="L18" s="134"/>
      <c r="M18" s="136"/>
      <c r="N18" s="134"/>
      <c r="O18" s="136"/>
      <c r="P18" s="134"/>
      <c r="Q18" s="136"/>
      <c r="R18" s="134"/>
      <c r="S18" s="136"/>
      <c r="T18" s="134"/>
      <c r="U18" s="136"/>
      <c r="V18" s="137"/>
      <c r="W18" s="135"/>
      <c r="X18" s="138"/>
      <c r="Y18" s="135"/>
      <c r="Z18" s="138"/>
      <c r="AA18" s="135"/>
      <c r="AB18" s="48" t="str">
        <f>CB18&amp;CC18&amp;CD18&amp;CE18&amp;CF18&amp;CG18</f>
        <v/>
      </c>
      <c r="CB18" s="80" t="str">
        <f>IF(AND(D18&gt;0,OR(V18=""))," * No olvide digitar la variable Pueblos Originarios Hombres. Digite Cero si no tiene.",IF(V18&gt;D18," * La variable Pueblos Originarios Hombres no puede ser Mayor al Total Hombres.",""))</f>
        <v/>
      </c>
      <c r="CC18" s="80" t="str">
        <f>IF(AND(E18&gt;0,OR(W18=""))," * No olvide digitar la variable Pueblos Originarios Mujeres. Digite Cero si no tiene.",IF(W18&gt;E18," * La variable Pueblos Originarios Mujeres no puede ser Mayor al Total Mujeres.",""))</f>
        <v/>
      </c>
      <c r="CD18" s="80" t="str">
        <f>IF(AND($D18&gt;0,OR(X18=""))," * No olvide digitar la variable Migrantes Hombres. Digite Cero si no tiene.",IF(X18&gt;$D18," * La variable Migrantes Hombres no puede ser Mayor al Total Hombres.",""))</f>
        <v/>
      </c>
      <c r="CE18" s="80" t="str">
        <f>IF(AND($E18&gt;0,OR(Y18=""))," * No olvide digitar la variable Migrantes Mujeres. Digite Cero si no tiene.",IF(Y18&gt;$E18," * La variable Migrantes Mujeres no puede ser Mayor al Total Mujeres.",""))</f>
        <v/>
      </c>
      <c r="CF18" s="80" t="str">
        <f>IF(AND($D18&gt;0,OR(Z18=""))," * No olvide digitar la variable Personas Mayores en ELEAM Hombres. Digite Cero si no tiene.",IF(Z18&gt;$D18," * La variable Personas Mayores en ELEAM Hombres no puede ser Mayor al Total Hombres.",""))</f>
        <v/>
      </c>
      <c r="CG18" s="80" t="str">
        <f>IF(AND($E18&gt;0,OR(AA18=""))," * No olvide digitar la variable Personas Mayores en ELEAM Mujeres. Digite Cero si no tiene.",IF(AA18&gt;$E18," * La variable Personas Mayores en ELEAM Mujeres no puede ser Mayor al Total Mujeres.",""))</f>
        <v/>
      </c>
      <c r="CO18" s="287">
        <f t="shared" si="10"/>
        <v>0</v>
      </c>
      <c r="CP18" s="287">
        <f t="shared" si="10"/>
        <v>0</v>
      </c>
      <c r="CQ18" s="287">
        <f>IF(AND($D18&gt;0,OR(X18="")),1,IF(X18&gt;$D18,1,0))</f>
        <v>0</v>
      </c>
      <c r="CR18" s="287">
        <f>IF(AND($E18&gt;0,OR(Y18="")),1,IF(Y18&gt;$E18,1,0))</f>
        <v>0</v>
      </c>
      <c r="CS18" s="287">
        <f>IF(AND($D18&gt;0,OR(Z18="")),1,IF(Z18&gt;$D18,1,0))</f>
        <v>0</v>
      </c>
      <c r="CT18" s="287">
        <f>IF(AND($E18&gt;0,OR(AA18="")),1,IF(AA18&gt;$E18,1,0))</f>
        <v>0</v>
      </c>
    </row>
    <row r="19" spans="1:100" ht="15" customHeight="1" x14ac:dyDescent="0.25">
      <c r="A19" s="2248" t="s">
        <v>581</v>
      </c>
      <c r="B19" s="2249"/>
      <c r="C19" s="378">
        <f t="shared" si="0"/>
        <v>0</v>
      </c>
      <c r="D19" s="147">
        <f>+F19+H19+J19+L19+N19+P19+R19+T19</f>
        <v>0</v>
      </c>
      <c r="E19" s="148">
        <f t="shared" si="9"/>
        <v>0</v>
      </c>
      <c r="F19" s="149"/>
      <c r="G19" s="150"/>
      <c r="H19" s="149"/>
      <c r="I19" s="150"/>
      <c r="J19" s="149"/>
      <c r="K19" s="150"/>
      <c r="L19" s="149"/>
      <c r="M19" s="151"/>
      <c r="N19" s="149"/>
      <c r="O19" s="151"/>
      <c r="P19" s="149"/>
      <c r="Q19" s="151"/>
      <c r="R19" s="149"/>
      <c r="S19" s="151"/>
      <c r="T19" s="149"/>
      <c r="U19" s="151"/>
      <c r="V19" s="152"/>
      <c r="W19" s="150"/>
      <c r="X19" s="154"/>
      <c r="Y19" s="150"/>
      <c r="Z19" s="154"/>
      <c r="AA19" s="150"/>
      <c r="AB19" s="48" t="str">
        <f>CB19&amp;CC19&amp;CD19&amp;CE19&amp;CF19&amp;CG19</f>
        <v/>
      </c>
      <c r="CB19" s="80" t="str">
        <f>IF(AND(D19&gt;0,OR(V19=""))," * No olvide digitar la variable Pueblos Originarios Hombres. Digite Cero si no tiene.",IF(V19&gt;D19," * La variable Pueblos Originarios Hombres no puede ser Mayor al Total Hombres.",""))</f>
        <v/>
      </c>
      <c r="CC19" s="80" t="str">
        <f>IF(AND(E19&gt;0,OR(W19=""))," * No olvide digitar la variable Pueblos Originarios Mujeres. Digite Cero si no tiene.",IF(W19&gt;E19," * La variable Pueblos Originarios Mujeres no puede ser Mayor al Total Mujeres.",""))</f>
        <v/>
      </c>
      <c r="CD19" s="80" t="str">
        <f>IF(AND($D19&gt;0,OR(X19=""))," * No olvide digitar la variable Migrantes Hombres. Digite Cero si no tiene.",IF(X19&gt;$D19," * La variable Migrantes Hombres no puede ser Mayor al Total Hombres.",""))</f>
        <v/>
      </c>
      <c r="CE19" s="80" t="str">
        <f>IF(AND($E19&gt;0,OR(Y19=""))," * No olvide digitar la variable Migrantes Mujeres. Digite Cero si no tiene.",IF(Y19&gt;$E19," * La variable Migrantes Mujeres no puede ser Mayor al Total Mujeres.",""))</f>
        <v/>
      </c>
      <c r="CF19" s="80" t="str">
        <f>IF(AND($D19&gt;0,OR(Z19=""))," * No olvide digitar la variable Personas Mayores en ELEAM Hombres. Digite Cero si no tiene.",IF(Z19&gt;$D19," * La variable Personas Mayores en ELEAM Hombres no puede ser Mayor al Total Hombres.",""))</f>
        <v/>
      </c>
      <c r="CG19" s="80" t="str">
        <f>IF(AND($E19&gt;0,OR(AA19=""))," * No olvide digitar la variable Personas Mayores en ELEAM Mujeres. Digite Cero si no tiene.",IF(AA19&gt;$E19," * La variable Personas Mayores en ELEAM Mujeres no puede ser Mayor al Total Mujeres.",""))</f>
        <v/>
      </c>
      <c r="CO19" s="287">
        <f t="shared" si="10"/>
        <v>0</v>
      </c>
      <c r="CP19" s="287">
        <f t="shared" si="10"/>
        <v>0</v>
      </c>
      <c r="CQ19" s="287">
        <f>IF(AND($D19&gt;0,OR(X19="")),1,IF(X19&gt;$D19,1,0))</f>
        <v>0</v>
      </c>
      <c r="CR19" s="287">
        <f>IF(AND($E19&gt;0,OR(Y19="")),1,IF(Y19&gt;$E19,1,0))</f>
        <v>0</v>
      </c>
      <c r="CS19" s="287">
        <f>IF(AND($D19&gt;0,OR(Z19="")),1,IF(Z19&gt;$D19,1,0))</f>
        <v>0</v>
      </c>
      <c r="CT19" s="287">
        <f>IF(AND($E19&gt;0,OR(AA19="")),1,IF(AA19&gt;$E19,1,0))</f>
        <v>0</v>
      </c>
    </row>
    <row r="20" spans="1:100" ht="15" customHeight="1" x14ac:dyDescent="0.25">
      <c r="A20" s="2280" t="s">
        <v>582</v>
      </c>
      <c r="B20" s="2281"/>
      <c r="C20" s="418">
        <f>SUM(D20:E20)</f>
        <v>0</v>
      </c>
      <c r="D20" s="419">
        <f>+F20+H20+J20+L20+N20+P20+R20+T20</f>
        <v>0</v>
      </c>
      <c r="E20" s="420">
        <f>+G20+I20+K20+M20+O20+Q20+S20+U20</f>
        <v>0</v>
      </c>
      <c r="F20" s="356">
        <f>SUM(F16:F19)</f>
        <v>0</v>
      </c>
      <c r="G20" s="421">
        <f t="shared" ref="G20:X20" si="12">SUM(G16:G19)</f>
        <v>0</v>
      </c>
      <c r="H20" s="356">
        <f t="shared" si="12"/>
        <v>0</v>
      </c>
      <c r="I20" s="421">
        <f t="shared" si="12"/>
        <v>0</v>
      </c>
      <c r="J20" s="155">
        <f t="shared" si="12"/>
        <v>0</v>
      </c>
      <c r="K20" s="421">
        <f t="shared" si="12"/>
        <v>0</v>
      </c>
      <c r="L20" s="356">
        <f t="shared" si="12"/>
        <v>0</v>
      </c>
      <c r="M20" s="156">
        <f t="shared" si="12"/>
        <v>0</v>
      </c>
      <c r="N20" s="356">
        <f t="shared" ref="N20:O20" si="13">SUM(N16:N19)</f>
        <v>0</v>
      </c>
      <c r="O20" s="156">
        <f t="shared" si="13"/>
        <v>0</v>
      </c>
      <c r="P20" s="356">
        <f t="shared" ref="P20:Q20" si="14">SUM(P16:P19)</f>
        <v>0</v>
      </c>
      <c r="Q20" s="156">
        <f t="shared" si="14"/>
        <v>0</v>
      </c>
      <c r="R20" s="356">
        <f t="shared" ref="R20:S20" si="15">SUM(R16:R19)</f>
        <v>0</v>
      </c>
      <c r="S20" s="156">
        <f t="shared" si="15"/>
        <v>0</v>
      </c>
      <c r="T20" s="356">
        <f t="shared" si="12"/>
        <v>0</v>
      </c>
      <c r="U20" s="156">
        <f t="shared" si="12"/>
        <v>0</v>
      </c>
      <c r="V20" s="157">
        <f>SUM(V16:V19)</f>
        <v>0</v>
      </c>
      <c r="W20" s="347">
        <f>SUM(W16:W19)</f>
        <v>0</v>
      </c>
      <c r="X20" s="422">
        <f t="shared" si="12"/>
        <v>0</v>
      </c>
      <c r="Y20" s="347">
        <f>SUM(Y16:Y19)</f>
        <v>0</v>
      </c>
      <c r="Z20" s="422">
        <f t="shared" ref="Z20" si="16">SUM(Z16:Z19)</f>
        <v>0</v>
      </c>
      <c r="AA20" s="347">
        <f>SUM(AA16:AA19)</f>
        <v>0</v>
      </c>
      <c r="AB20" s="48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</row>
    <row r="21" spans="1:100" ht="15" customHeight="1" x14ac:dyDescent="0.25">
      <c r="A21" s="2276" t="s">
        <v>583</v>
      </c>
      <c r="B21" s="2277"/>
      <c r="C21" s="418">
        <f t="shared" si="0"/>
        <v>0</v>
      </c>
      <c r="D21" s="419">
        <f>+F21+H21+J21+L21+N21+P21+R21+T21</f>
        <v>0</v>
      </c>
      <c r="E21" s="420">
        <f>+G21+I21+K21+M21+O21+Q21+S21+U21</f>
        <v>0</v>
      </c>
      <c r="F21" s="356">
        <f>+F15+F20</f>
        <v>0</v>
      </c>
      <c r="G21" s="421">
        <f t="shared" ref="G21:X21" si="17">+G15+G20</f>
        <v>0</v>
      </c>
      <c r="H21" s="356">
        <f t="shared" si="17"/>
        <v>0</v>
      </c>
      <c r="I21" s="421">
        <f t="shared" si="17"/>
        <v>0</v>
      </c>
      <c r="J21" s="356">
        <f t="shared" si="17"/>
        <v>0</v>
      </c>
      <c r="K21" s="421">
        <f t="shared" si="17"/>
        <v>0</v>
      </c>
      <c r="L21" s="356">
        <f t="shared" si="17"/>
        <v>0</v>
      </c>
      <c r="M21" s="156">
        <f t="shared" si="17"/>
        <v>0</v>
      </c>
      <c r="N21" s="356">
        <f t="shared" ref="N21:O21" si="18">+N15+N20</f>
        <v>0</v>
      </c>
      <c r="O21" s="156">
        <f t="shared" si="18"/>
        <v>0</v>
      </c>
      <c r="P21" s="356">
        <f t="shared" ref="P21:Q21" si="19">+P15+P20</f>
        <v>0</v>
      </c>
      <c r="Q21" s="156">
        <f t="shared" si="19"/>
        <v>0</v>
      </c>
      <c r="R21" s="356">
        <f t="shared" ref="R21:S21" si="20">+R15+R20</f>
        <v>0</v>
      </c>
      <c r="S21" s="156">
        <f t="shared" si="20"/>
        <v>0</v>
      </c>
      <c r="T21" s="356">
        <f t="shared" si="17"/>
        <v>0</v>
      </c>
      <c r="U21" s="156">
        <f t="shared" si="17"/>
        <v>0</v>
      </c>
      <c r="V21" s="157">
        <f>+V15+V20</f>
        <v>0</v>
      </c>
      <c r="W21" s="421">
        <f>+W15+W20</f>
        <v>0</v>
      </c>
      <c r="X21" s="422">
        <f t="shared" si="17"/>
        <v>0</v>
      </c>
      <c r="Y21" s="421">
        <f>+Y15+Y20</f>
        <v>0</v>
      </c>
      <c r="Z21" s="422">
        <f t="shared" ref="Z21" si="21">+Z15+Z20</f>
        <v>0</v>
      </c>
      <c r="AA21" s="421">
        <f>+AA15+AA20</f>
        <v>0</v>
      </c>
      <c r="AB21" s="48"/>
    </row>
    <row r="22" spans="1:100" s="297" customFormat="1" ht="17.100000000000001" customHeight="1" x14ac:dyDescent="0.2">
      <c r="A22" s="423" t="s">
        <v>584</v>
      </c>
      <c r="B22" s="423"/>
      <c r="C22" s="423"/>
      <c r="D22" s="423"/>
      <c r="E22" s="423"/>
      <c r="F22" s="423"/>
      <c r="G22" s="423"/>
      <c r="H22" s="423"/>
      <c r="I22" s="424"/>
      <c r="J22" s="424"/>
      <c r="K22" s="424"/>
      <c r="L22" s="424"/>
      <c r="M22" s="424"/>
      <c r="N22" s="424"/>
      <c r="O22" s="424"/>
      <c r="P22" s="424"/>
      <c r="Q22" s="425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382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  <c r="AV22" s="296"/>
      <c r="AW22" s="296"/>
      <c r="AX22" s="296"/>
      <c r="AY22" s="296"/>
    </row>
    <row r="23" spans="1:100" ht="19.5" customHeight="1" x14ac:dyDescent="0.25">
      <c r="A23" s="2264" t="s">
        <v>568</v>
      </c>
      <c r="B23" s="2265"/>
      <c r="C23" s="2241" t="s">
        <v>49</v>
      </c>
      <c r="D23" s="2241"/>
      <c r="E23" s="2241"/>
      <c r="F23" s="2282" t="s">
        <v>370</v>
      </c>
      <c r="G23" s="2283"/>
      <c r="H23" s="2283"/>
      <c r="I23" s="2283"/>
      <c r="J23" s="2283"/>
      <c r="K23" s="2283"/>
      <c r="L23" s="2283"/>
      <c r="M23" s="2283"/>
      <c r="N23" s="2283"/>
      <c r="O23" s="2283"/>
      <c r="P23" s="2283"/>
      <c r="Q23" s="2283"/>
      <c r="R23" s="2283"/>
      <c r="S23" s="2283"/>
      <c r="T23" s="2283"/>
      <c r="U23" s="2283"/>
      <c r="V23" s="2283"/>
      <c r="W23" s="2284"/>
      <c r="X23" s="2209" t="s">
        <v>51</v>
      </c>
      <c r="Y23" s="2205"/>
      <c r="Z23" s="2179" t="s">
        <v>52</v>
      </c>
      <c r="AA23" s="2205"/>
      <c r="CB23" s="76"/>
      <c r="CC23" s="76"/>
      <c r="CD23" s="76"/>
      <c r="CE23" s="76"/>
      <c r="CF23" s="76"/>
      <c r="CG23" s="76"/>
      <c r="CJ23" s="76"/>
      <c r="CK23" s="76"/>
      <c r="CL23" s="76"/>
      <c r="CM23" s="76"/>
      <c r="CO23" s="76"/>
      <c r="CP23" s="76"/>
      <c r="CQ23" s="76"/>
      <c r="CR23" s="76"/>
      <c r="CS23" s="76"/>
      <c r="CT23" s="76"/>
    </row>
    <row r="24" spans="1:100" ht="16.5" customHeight="1" x14ac:dyDescent="0.25">
      <c r="A24" s="2266"/>
      <c r="B24" s="2267"/>
      <c r="C24" s="2241"/>
      <c r="D24" s="2241"/>
      <c r="E24" s="2241"/>
      <c r="F24" s="2165" t="s">
        <v>66</v>
      </c>
      <c r="G24" s="2166"/>
      <c r="H24" s="2165" t="s">
        <v>67</v>
      </c>
      <c r="I24" s="2166"/>
      <c r="J24" s="2165" t="s">
        <v>396</v>
      </c>
      <c r="K24" s="2166"/>
      <c r="L24" s="2165" t="s">
        <v>397</v>
      </c>
      <c r="M24" s="2166"/>
      <c r="N24" s="2165" t="s">
        <v>569</v>
      </c>
      <c r="O24" s="2167"/>
      <c r="P24" s="2165" t="s">
        <v>570</v>
      </c>
      <c r="Q24" s="2167"/>
      <c r="R24" s="2165" t="s">
        <v>571</v>
      </c>
      <c r="S24" s="2167"/>
      <c r="T24" s="2165" t="s">
        <v>572</v>
      </c>
      <c r="U24" s="2167"/>
      <c r="V24" s="2165" t="s">
        <v>573</v>
      </c>
      <c r="W24" s="2167"/>
      <c r="X24" s="2263"/>
      <c r="Y24" s="2262"/>
      <c r="Z24" s="2159"/>
      <c r="AA24" s="2262"/>
      <c r="CB24" s="76"/>
      <c r="CC24" s="76"/>
      <c r="CD24" s="76"/>
      <c r="CE24" s="76"/>
      <c r="CF24" s="76"/>
      <c r="CG24" s="76"/>
      <c r="CJ24" s="76"/>
      <c r="CK24" s="76"/>
      <c r="CL24" s="76"/>
      <c r="CM24" s="76"/>
      <c r="CO24" s="76"/>
      <c r="CP24" s="76"/>
      <c r="CQ24" s="76"/>
      <c r="CR24" s="76"/>
      <c r="CS24" s="76"/>
      <c r="CT24" s="76"/>
    </row>
    <row r="25" spans="1:100" ht="21" x14ac:dyDescent="0.25">
      <c r="A25" s="2268"/>
      <c r="B25" s="2269"/>
      <c r="C25" s="400" t="s">
        <v>399</v>
      </c>
      <c r="D25" s="417" t="s">
        <v>86</v>
      </c>
      <c r="E25" s="414" t="s">
        <v>225</v>
      </c>
      <c r="F25" s="352" t="s">
        <v>400</v>
      </c>
      <c r="G25" s="259" t="s">
        <v>225</v>
      </c>
      <c r="H25" s="352" t="s">
        <v>400</v>
      </c>
      <c r="I25" s="259" t="s">
        <v>225</v>
      </c>
      <c r="J25" s="352" t="s">
        <v>400</v>
      </c>
      <c r="K25" s="259" t="s">
        <v>225</v>
      </c>
      <c r="L25" s="352" t="s">
        <v>400</v>
      </c>
      <c r="M25" s="259" t="s">
        <v>225</v>
      </c>
      <c r="N25" s="352" t="s">
        <v>400</v>
      </c>
      <c r="O25" s="38" t="s">
        <v>225</v>
      </c>
      <c r="P25" s="352" t="s">
        <v>400</v>
      </c>
      <c r="Q25" s="259" t="s">
        <v>225</v>
      </c>
      <c r="R25" s="352" t="s">
        <v>400</v>
      </c>
      <c r="S25" s="259" t="s">
        <v>225</v>
      </c>
      <c r="T25" s="352" t="s">
        <v>400</v>
      </c>
      <c r="U25" s="38" t="s">
        <v>225</v>
      </c>
      <c r="V25" s="352" t="s">
        <v>400</v>
      </c>
      <c r="W25" s="38" t="s">
        <v>225</v>
      </c>
      <c r="X25" s="79" t="s">
        <v>86</v>
      </c>
      <c r="Y25" s="396" t="s">
        <v>225</v>
      </c>
      <c r="Z25" s="394" t="s">
        <v>86</v>
      </c>
      <c r="AA25" s="396" t="s">
        <v>225</v>
      </c>
      <c r="CB25" s="33"/>
      <c r="CC25" s="33"/>
      <c r="CD25" s="33"/>
      <c r="CE25" s="33"/>
      <c r="CF25" s="290"/>
      <c r="CG25" s="290"/>
      <c r="CJ25" s="290"/>
      <c r="CK25" s="290"/>
      <c r="CL25" s="290"/>
      <c r="CM25" s="290"/>
      <c r="CO25" s="33"/>
      <c r="CP25" s="33"/>
      <c r="CQ25" s="33"/>
      <c r="CR25" s="33"/>
      <c r="CS25" s="290"/>
      <c r="CT25" s="290"/>
    </row>
    <row r="26" spans="1:100" ht="15" customHeight="1" x14ac:dyDescent="0.25">
      <c r="A26" s="2270" t="s">
        <v>574</v>
      </c>
      <c r="B26" s="2271"/>
      <c r="C26" s="332">
        <f>SUM(D26:E26)</f>
        <v>0</v>
      </c>
      <c r="D26" s="125">
        <f>+F26+H26+J26+L26+N26+P26+R26+T26+V26</f>
        <v>0</v>
      </c>
      <c r="E26" s="159">
        <f>+G26+I26+K26+M26+O26+Q26+S26+U26+W26</f>
        <v>0</v>
      </c>
      <c r="F26" s="160"/>
      <c r="G26" s="161"/>
      <c r="H26" s="160"/>
      <c r="I26" s="161"/>
      <c r="J26" s="160"/>
      <c r="K26" s="161"/>
      <c r="L26" s="160"/>
      <c r="M26" s="161"/>
      <c r="N26" s="160"/>
      <c r="O26" s="162"/>
      <c r="P26" s="160"/>
      <c r="Q26" s="161"/>
      <c r="R26" s="160"/>
      <c r="S26" s="161"/>
      <c r="T26" s="160"/>
      <c r="U26" s="162"/>
      <c r="V26" s="160"/>
      <c r="W26" s="162"/>
      <c r="X26" s="163"/>
      <c r="Y26" s="161"/>
      <c r="Z26" s="131"/>
      <c r="AA26" s="128"/>
      <c r="AB26" s="48" t="str">
        <f>CB26&amp;CC26&amp;CD26&amp;CE26</f>
        <v/>
      </c>
      <c r="CB26" s="80" t="str">
        <f>IF(AND($D26&gt;0,OR(X26=""))," * No olvide digitar la variable Pueblos Originarios Hombres. Digite Cero si no tiene.",IF(X26&gt;$D26," * La variable Pueblos Originarios Hombres no puede ser Mayor al Total Hombres.",""))</f>
        <v/>
      </c>
      <c r="CC26" s="80" t="str">
        <f>IF(AND($E26&gt;0,OR(Y26=""))," * No olvide digitar la variable Pueblos Originarios Mujeres. Digite Cero si no tiene.",IF(Y26&gt;$E26," * La variable Pueblos Originarios Mujeres no puede ser Mayor al Total Mujeres.",""))</f>
        <v/>
      </c>
      <c r="CD26" s="80" t="str">
        <f>IF(AND($D26&gt;0,OR(Z26=""))," * No olvide digitar la variable Pueblos Originarios Hombres. Digite Cero si no tiene.",IF(Z26&gt;$D26," * La variable Pueblos Originarios Hombres no puede ser Mayor al Total Hombres.",""))</f>
        <v/>
      </c>
      <c r="CE26" s="80" t="str">
        <f>IF(AND($E26&gt;0,OR(AA26=""))," * No olvide digitar la variable Migrantes Mujeres. Digite Cero si no tiene.",IF(AA26&gt;$E26," * La variable Migrantes Mujeres no puede ser Mayor al Total Mujeres.",""))</f>
        <v/>
      </c>
      <c r="CO26" s="287">
        <f>IF(AND(D26&gt;0,OR(X26="")),1,IF(X26&gt;D26,1,0))</f>
        <v>0</v>
      </c>
      <c r="CP26" s="287">
        <f>IF(AND(E26&gt;0,OR(Y26="")),1,IF(Y26&gt;E26,1,0))</f>
        <v>0</v>
      </c>
      <c r="CQ26" s="287">
        <f>IF(AND($D26&gt;0,OR(Z26="")),1,IF(Z26&gt;$D26,1,0))</f>
        <v>0</v>
      </c>
      <c r="CR26" s="287">
        <f>IF(AND($E26&gt;0,OR(AA26="")),1,IF(AA26&gt;$E26,1,0))</f>
        <v>0</v>
      </c>
    </row>
    <row r="27" spans="1:100" ht="15" customHeight="1" x14ac:dyDescent="0.25">
      <c r="A27" s="2272" t="s">
        <v>575</v>
      </c>
      <c r="B27" s="2273"/>
      <c r="C27" s="338">
        <f>SUM(D27:E27)</f>
        <v>0</v>
      </c>
      <c r="D27" s="334">
        <f>H27+J27+L27+N27+P27+R27+T27+V27</f>
        <v>0</v>
      </c>
      <c r="E27" s="165">
        <f>I27+K27+M27+O27+Q27+S27+U27+W27</f>
        <v>0</v>
      </c>
      <c r="F27" s="258"/>
      <c r="G27" s="257"/>
      <c r="H27" s="166"/>
      <c r="I27" s="167"/>
      <c r="J27" s="166"/>
      <c r="K27" s="167"/>
      <c r="L27" s="166"/>
      <c r="M27" s="167"/>
      <c r="N27" s="166"/>
      <c r="O27" s="168"/>
      <c r="P27" s="166"/>
      <c r="Q27" s="167"/>
      <c r="R27" s="166"/>
      <c r="S27" s="167"/>
      <c r="T27" s="166"/>
      <c r="U27" s="168"/>
      <c r="V27" s="166"/>
      <c r="W27" s="168"/>
      <c r="X27" s="169"/>
      <c r="Y27" s="167"/>
      <c r="Z27" s="138"/>
      <c r="AA27" s="135"/>
      <c r="AB27" s="48" t="str">
        <f>CB27&amp;CC27&amp;CD27&amp;CE27</f>
        <v/>
      </c>
      <c r="CB27" s="80" t="str">
        <f>IF(AND($D27&gt;0,OR(X27=""))," * No olvide digitar la variable Pueblos Originarios Hombres. Digite Cero si no tiene.",IF(X27&gt;$D27," * La variable Pueblos Originarios Hombres no puede ser Mayor al Total Hombres.",""))</f>
        <v/>
      </c>
      <c r="CC27" s="80" t="str">
        <f t="shared" ref="CC27:CC28" si="22">IF(AND($E27&gt;0,OR(Y27=""))," * No olvide digitar la variable Pueblos Originarios Mujeres. Digite Cero si no tiene.",IF(Y27&gt;$E27," * La variable Pueblos Originarios Mujeres no puede ser Mayor al Total Mujeres.",""))</f>
        <v/>
      </c>
      <c r="CD27" s="80" t="str">
        <f>IF(AND($D27&gt;0,OR(Z27=""))," * No olvide digitar la variable Pueblos Originarios Hombres. Digite Cero si no tiene.",IF(Z27&gt;$D27," * La variable Pueblos Originarios Hombres no puede ser Mayor al Total Hombres.",""))</f>
        <v/>
      </c>
      <c r="CE27" s="80" t="str">
        <f t="shared" ref="CE27:CE28" si="23">IF(AND($E27&gt;0,OR(AA27=""))," * No olvide digitar la variable Migrantes Mujeres. Digite Cero si no tiene.",IF(AA27&gt;$E27," * La variable Migrantes Mujeres no puede ser Mayor al Total Mujeres.",""))</f>
        <v/>
      </c>
      <c r="CO27" s="287">
        <f t="shared" ref="CO27:CP28" si="24">IF(AND(D27&gt;0,OR(X27="")),1,IF(X27&gt;D27,1,0))</f>
        <v>0</v>
      </c>
      <c r="CP27" s="287">
        <f t="shared" si="24"/>
        <v>0</v>
      </c>
      <c r="CQ27" s="287">
        <f>IF(AND($D27&gt;0,OR(Z27="")),1,IF(Z27&gt;$D27,1,0))</f>
        <v>0</v>
      </c>
      <c r="CR27" s="287">
        <f>IF(AND($E27&gt;0,OR(AA27="")),1,IF(AA27&gt;$E27,1,0))</f>
        <v>0</v>
      </c>
    </row>
    <row r="28" spans="1:100" ht="15" customHeight="1" x14ac:dyDescent="0.25">
      <c r="A28" s="2274" t="s">
        <v>576</v>
      </c>
      <c r="B28" s="2275"/>
      <c r="C28" s="339">
        <f>SUM(D28:E28)</f>
        <v>0</v>
      </c>
      <c r="D28" s="334">
        <f>H28+J28+L28+N28+P28+R28+T28+V28</f>
        <v>0</v>
      </c>
      <c r="E28" s="165">
        <f>I28+K28+M28+O28+Q28+S28+U28+W28</f>
        <v>0</v>
      </c>
      <c r="F28" s="256"/>
      <c r="G28" s="255"/>
      <c r="H28" s="149"/>
      <c r="I28" s="150"/>
      <c r="J28" s="149"/>
      <c r="K28" s="150"/>
      <c r="L28" s="149"/>
      <c r="M28" s="150"/>
      <c r="N28" s="149"/>
      <c r="O28" s="151"/>
      <c r="P28" s="149"/>
      <c r="Q28" s="150"/>
      <c r="R28" s="149"/>
      <c r="S28" s="150"/>
      <c r="T28" s="149"/>
      <c r="U28" s="151"/>
      <c r="V28" s="149"/>
      <c r="W28" s="151"/>
      <c r="X28" s="152"/>
      <c r="Y28" s="150"/>
      <c r="Z28" s="143"/>
      <c r="AA28" s="140"/>
      <c r="AB28" s="48" t="str">
        <f>CB28&amp;CC28&amp;CD28&amp;CE28</f>
        <v/>
      </c>
      <c r="CB28" s="80" t="str">
        <f>IF(AND($D28&gt;0,OR(X28=""))," * No olvide digitar la variable Pueblos Originarios Hombres. Digite Cero si no tiene.",IF(X28&gt;$D28," * La variable Pueblos Originarios Hombres no puede ser Mayor al Total Hombres.",""))</f>
        <v/>
      </c>
      <c r="CC28" s="80" t="str">
        <f t="shared" si="22"/>
        <v/>
      </c>
      <c r="CD28" s="80" t="str">
        <f>IF(AND($D28&gt;0,OR(Z28=""))," * No olvide digitar la variable Pueblos Originarios Hombres. Digite Cero si no tiene.",IF(Z28&gt;$D28," * La variable Pueblos Originarios Hombres no puede ser Mayor al Total Hombres.",""))</f>
        <v/>
      </c>
      <c r="CE28" s="80" t="str">
        <f t="shared" si="23"/>
        <v/>
      </c>
      <c r="CO28" s="287">
        <f t="shared" si="24"/>
        <v>0</v>
      </c>
      <c r="CP28" s="287">
        <f t="shared" si="24"/>
        <v>0</v>
      </c>
      <c r="CQ28" s="287">
        <f>IF(AND($D28&gt;0,OR(Z28="")),1,IF(Z28&gt;$D28,1,0))</f>
        <v>0</v>
      </c>
      <c r="CR28" s="287">
        <f>IF(AND($E28&gt;0,OR(AA28="")),1,IF(AA28&gt;$E28,1,0))</f>
        <v>0</v>
      </c>
    </row>
    <row r="29" spans="1:100" ht="15" customHeight="1" x14ac:dyDescent="0.25">
      <c r="A29" s="2276" t="s">
        <v>585</v>
      </c>
      <c r="B29" s="2277"/>
      <c r="C29" s="418">
        <f>SUM(D29:E29)</f>
        <v>0</v>
      </c>
      <c r="D29" s="419">
        <f>+F29+H29+J29+L29+N29+P29+R29+T29+V29</f>
        <v>0</v>
      </c>
      <c r="E29" s="420">
        <f>+G29+I29+K29+M29+O29+Q29+S29+U29+W29</f>
        <v>0</v>
      </c>
      <c r="F29" s="355">
        <f>SUM(F26)</f>
        <v>0</v>
      </c>
      <c r="G29" s="419">
        <f>SUM(G26)</f>
        <v>0</v>
      </c>
      <c r="H29" s="355">
        <f>SUM(H26:H28)</f>
        <v>0</v>
      </c>
      <c r="I29" s="346">
        <f t="shared" ref="I29:O29" si="25">SUM(I26:I28)</f>
        <v>0</v>
      </c>
      <c r="J29" s="355">
        <f t="shared" si="25"/>
        <v>0</v>
      </c>
      <c r="K29" s="346">
        <f t="shared" si="25"/>
        <v>0</v>
      </c>
      <c r="L29" s="355">
        <f t="shared" si="25"/>
        <v>0</v>
      </c>
      <c r="M29" s="346">
        <f t="shared" si="25"/>
        <v>0</v>
      </c>
      <c r="N29" s="355">
        <f t="shared" si="25"/>
        <v>0</v>
      </c>
      <c r="O29" s="144">
        <f t="shared" si="25"/>
        <v>0</v>
      </c>
      <c r="P29" s="355">
        <f t="shared" ref="P29:U29" si="26">SUM(P26:P28)</f>
        <v>0</v>
      </c>
      <c r="Q29" s="346">
        <f t="shared" si="26"/>
        <v>0</v>
      </c>
      <c r="R29" s="355">
        <f t="shared" si="26"/>
        <v>0</v>
      </c>
      <c r="S29" s="346">
        <f t="shared" si="26"/>
        <v>0</v>
      </c>
      <c r="T29" s="355">
        <f t="shared" si="26"/>
        <v>0</v>
      </c>
      <c r="U29" s="144">
        <f t="shared" si="26"/>
        <v>0</v>
      </c>
      <c r="V29" s="355">
        <f t="shared" ref="V29:W29" si="27">SUM(V26:V28)</f>
        <v>0</v>
      </c>
      <c r="W29" s="144">
        <f t="shared" si="27"/>
        <v>0</v>
      </c>
      <c r="X29" s="145">
        <f>SUM(X26:X28)</f>
        <v>0</v>
      </c>
      <c r="Y29" s="346">
        <f>SUM(Y26:Y28)</f>
        <v>0</v>
      </c>
      <c r="Z29" s="419">
        <f>SUM(Z26:Z28)</f>
        <v>0</v>
      </c>
      <c r="AA29" s="346">
        <f>SUM(AA26:AA28)</f>
        <v>0</v>
      </c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</row>
    <row r="30" spans="1:100" s="297" customFormat="1" ht="17.100000000000001" customHeight="1" x14ac:dyDescent="0.2">
      <c r="A30" s="423" t="s">
        <v>586</v>
      </c>
      <c r="B30" s="423"/>
      <c r="C30" s="423"/>
      <c r="D30" s="423"/>
      <c r="E30" s="423"/>
      <c r="F30" s="423"/>
      <c r="G30" s="423"/>
      <c r="H30" s="298"/>
      <c r="L30" s="299"/>
      <c r="AB30" s="382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</row>
    <row r="31" spans="1:100" ht="23.25" customHeight="1" x14ac:dyDescent="0.25">
      <c r="A31" s="2242" t="s">
        <v>587</v>
      </c>
      <c r="B31" s="2242"/>
      <c r="C31" s="2241" t="s">
        <v>49</v>
      </c>
      <c r="D31" s="2241"/>
      <c r="E31" s="2241"/>
      <c r="F31" s="2245" t="s">
        <v>370</v>
      </c>
      <c r="G31" s="2246"/>
      <c r="H31" s="2246"/>
      <c r="I31" s="2246"/>
      <c r="J31" s="2246"/>
      <c r="K31" s="2246"/>
      <c r="L31" s="2246"/>
      <c r="M31" s="2246"/>
      <c r="N31" s="2246"/>
      <c r="O31" s="2246"/>
      <c r="P31" s="2246"/>
      <c r="Q31" s="2246"/>
      <c r="R31" s="2246"/>
      <c r="S31" s="2246"/>
      <c r="T31" s="2246"/>
      <c r="U31" s="2247"/>
      <c r="V31" s="2263" t="s">
        <v>51</v>
      </c>
      <c r="W31" s="2262"/>
      <c r="X31" s="2159" t="s">
        <v>108</v>
      </c>
      <c r="Y31" s="2262"/>
      <c r="Z31" s="2159" t="s">
        <v>567</v>
      </c>
      <c r="AA31" s="2262"/>
      <c r="AZ31"/>
      <c r="BA31"/>
      <c r="CB31" s="76"/>
      <c r="CC31" s="76"/>
      <c r="CD31" s="76"/>
      <c r="CE31" s="76"/>
      <c r="CF31" s="76"/>
      <c r="CG31" s="76"/>
      <c r="CJ31" s="76"/>
      <c r="CK31" s="76"/>
      <c r="CL31" s="76"/>
      <c r="CM31" s="76"/>
      <c r="CO31" s="76"/>
      <c r="CP31" s="76"/>
      <c r="CQ31" s="76"/>
      <c r="CR31" s="76"/>
      <c r="CS31" s="76"/>
      <c r="CT31" s="76"/>
      <c r="CU31" s="76"/>
      <c r="CV31" s="2173"/>
    </row>
    <row r="32" spans="1:100" ht="15.75" customHeight="1" x14ac:dyDescent="0.25">
      <c r="A32" s="2242"/>
      <c r="B32" s="2242"/>
      <c r="C32" s="2241"/>
      <c r="D32" s="2241"/>
      <c r="E32" s="2241"/>
      <c r="F32" s="2167" t="s">
        <v>67</v>
      </c>
      <c r="G32" s="2166"/>
      <c r="H32" s="2165" t="s">
        <v>396</v>
      </c>
      <c r="I32" s="2166"/>
      <c r="J32" s="2165" t="s">
        <v>397</v>
      </c>
      <c r="K32" s="2166"/>
      <c r="L32" s="2165" t="s">
        <v>569</v>
      </c>
      <c r="M32" s="2166"/>
      <c r="N32" s="2167" t="s">
        <v>570</v>
      </c>
      <c r="O32" s="2167"/>
      <c r="P32" s="2165" t="s">
        <v>571</v>
      </c>
      <c r="Q32" s="2167"/>
      <c r="R32" s="2165" t="s">
        <v>572</v>
      </c>
      <c r="S32" s="2166"/>
      <c r="T32" s="2167" t="s">
        <v>573</v>
      </c>
      <c r="U32" s="2167"/>
      <c r="V32" s="2263"/>
      <c r="W32" s="2262"/>
      <c r="X32" s="2159"/>
      <c r="Y32" s="2262"/>
      <c r="Z32" s="2159"/>
      <c r="AA32" s="2262"/>
      <c r="AZ32"/>
      <c r="BA32"/>
      <c r="CB32" s="76"/>
      <c r="CC32" s="76"/>
      <c r="CD32" s="76"/>
      <c r="CE32" s="76"/>
      <c r="CF32" s="76"/>
      <c r="CG32" s="76"/>
      <c r="CJ32" s="76"/>
      <c r="CK32" s="76"/>
      <c r="CL32" s="76"/>
      <c r="CM32" s="76"/>
      <c r="CO32" s="76"/>
      <c r="CP32" s="76"/>
      <c r="CQ32" s="76"/>
      <c r="CR32" s="76"/>
      <c r="CS32" s="76"/>
      <c r="CT32" s="76"/>
      <c r="CU32" s="76"/>
      <c r="CV32" s="2173"/>
    </row>
    <row r="33" spans="1:100" ht="21" x14ac:dyDescent="0.25">
      <c r="A33" s="2242"/>
      <c r="B33" s="2242"/>
      <c r="C33" s="400" t="s">
        <v>399</v>
      </c>
      <c r="D33" s="427" t="s">
        <v>86</v>
      </c>
      <c r="E33" s="348" t="s">
        <v>225</v>
      </c>
      <c r="F33" s="401" t="s">
        <v>400</v>
      </c>
      <c r="G33" s="259" t="s">
        <v>225</v>
      </c>
      <c r="H33" s="352" t="s">
        <v>400</v>
      </c>
      <c r="I33" s="259" t="s">
        <v>225</v>
      </c>
      <c r="J33" s="352" t="s">
        <v>400</v>
      </c>
      <c r="K33" s="259" t="s">
        <v>225</v>
      </c>
      <c r="L33" s="357" t="s">
        <v>86</v>
      </c>
      <c r="M33" s="345" t="s">
        <v>225</v>
      </c>
      <c r="N33" s="401" t="s">
        <v>400</v>
      </c>
      <c r="O33" s="259" t="s">
        <v>225</v>
      </c>
      <c r="P33" s="401" t="s">
        <v>400</v>
      </c>
      <c r="Q33" s="259" t="s">
        <v>225</v>
      </c>
      <c r="R33" s="357" t="s">
        <v>86</v>
      </c>
      <c r="S33" s="345" t="s">
        <v>225</v>
      </c>
      <c r="T33" s="417" t="s">
        <v>86</v>
      </c>
      <c r="U33" s="47" t="s">
        <v>225</v>
      </c>
      <c r="V33" s="79" t="s">
        <v>86</v>
      </c>
      <c r="W33" s="396" t="s">
        <v>225</v>
      </c>
      <c r="X33" s="394" t="s">
        <v>86</v>
      </c>
      <c r="Y33" s="396" t="s">
        <v>225</v>
      </c>
      <c r="Z33" s="394" t="s">
        <v>86</v>
      </c>
      <c r="AA33" s="396" t="s">
        <v>225</v>
      </c>
      <c r="AZ33"/>
      <c r="BA33"/>
      <c r="CB33" s="33"/>
      <c r="CC33" s="33"/>
      <c r="CD33" s="33"/>
      <c r="CE33" s="33"/>
      <c r="CF33" s="290"/>
      <c r="CG33" s="290"/>
      <c r="CJ33" s="290"/>
      <c r="CK33" s="290"/>
      <c r="CL33" s="290"/>
      <c r="CM33" s="290"/>
      <c r="CO33" s="33"/>
      <c r="CP33" s="33"/>
      <c r="CQ33" s="33"/>
      <c r="CR33" s="33"/>
      <c r="CS33" s="290"/>
      <c r="CT33" s="290"/>
      <c r="CU33" s="290"/>
      <c r="CV33" s="290"/>
    </row>
    <row r="34" spans="1:100" ht="15" customHeight="1" x14ac:dyDescent="0.25">
      <c r="A34" s="2252" t="s">
        <v>174</v>
      </c>
      <c r="B34" s="2253"/>
      <c r="C34" s="332">
        <f>SUM(D34:E34)</f>
        <v>0</v>
      </c>
      <c r="D34" s="335">
        <f>+F34+H34+J34+L34+N34+P34+R34+T34</f>
        <v>0</v>
      </c>
      <c r="E34" s="171">
        <f>+G34+I34+K34+M34+O34+Q34+S34+U34</f>
        <v>0</v>
      </c>
      <c r="F34" s="160"/>
      <c r="G34" s="162"/>
      <c r="H34" s="160"/>
      <c r="I34" s="161"/>
      <c r="J34" s="160"/>
      <c r="K34" s="161"/>
      <c r="L34" s="172"/>
      <c r="M34" s="161"/>
      <c r="N34" s="172"/>
      <c r="O34" s="161"/>
      <c r="P34" s="172"/>
      <c r="Q34" s="161"/>
      <c r="R34" s="172"/>
      <c r="S34" s="161"/>
      <c r="T34" s="172"/>
      <c r="U34" s="164"/>
      <c r="V34" s="163"/>
      <c r="W34" s="232"/>
      <c r="X34" s="172"/>
      <c r="Y34" s="161"/>
      <c r="Z34" s="172"/>
      <c r="AA34" s="161"/>
      <c r="AB34" s="48" t="str">
        <f>CB34&amp;CC34&amp;CD34&amp;CE34&amp;CF34&amp;CG34</f>
        <v/>
      </c>
      <c r="AZ34"/>
      <c r="BA34"/>
      <c r="CB34" s="80" t="str">
        <f>IF(AND($D34&gt;0,OR(V34=""))," * No olvide digitar la variable Pueblos Originarios Hombres. Digite Cero si no tiene.",IF(V34&gt;$D34," * La variable Pueblos Originarios Hombres no puede ser Mayor al Total Hombres.",""))</f>
        <v/>
      </c>
      <c r="CC34" s="80" t="str">
        <f>IF(AND($E34&gt;0,OR(W34=""))," * No olvide digitar la variable Pueblos Originarios Mujeres. Digite Cero si no tiene.",IF(W34&gt;$E34," * La variable Pueblos Originarios Mujeres no puede ser Mayor al Total Mujeres.",""))</f>
        <v/>
      </c>
      <c r="CD34" s="80" t="str">
        <f>IF(AND($D34&gt;0,OR(X34=""))," * No olvide digitar la variable Migrantes Hombres. Digite Cero si no tiene.",IF(X34&gt;$D34," * La variable Migrantes Hombres no puede ser Mayor al Total Hombres.",""))</f>
        <v/>
      </c>
      <c r="CE34" s="80" t="str">
        <f>IF(AND($E34&gt;0,OR(Y34=""))," * No olvide digitar la variable Migrantes Mujeres. Digite Cero si no tiene.",IF(Y34&gt;$E34," * La variable Migrantes Mujeres no puede ser Mayor al Total Mujeres.",""))</f>
        <v/>
      </c>
      <c r="CF34" s="80" t="str">
        <f>IF(AND($D34&gt;0,OR(Z34=""))," * No olvide digitar la variable Personas Mayores en ELEAM Hombres. Digite Cero si no tiene.",IF(Z34&gt;$D34," * La variable Personas Mayores en ELEAM Hombres no puede ser Mayor al Total Hombres.",""))</f>
        <v/>
      </c>
      <c r="CG34" s="80" t="str">
        <f>IF(AND($E34&gt;0,OR(AA34=""))," * No olvide digitar la variable Personas Mayores en ELEAM Mujeres. Digite Cero si no tiene.",IF(AA34&gt;$E34," * La variable Personas Mayores en ELEAM Mujeres no puede ser Mayor al Total Mujeres.",""))</f>
        <v/>
      </c>
      <c r="CO34" s="287">
        <f t="shared" ref="CO34:CP37" si="28">IF(AND(D34&gt;0,OR(V34="")),1,IF(V34&gt;D34,1,0))</f>
        <v>0</v>
      </c>
      <c r="CP34" s="287">
        <f t="shared" si="28"/>
        <v>0</v>
      </c>
      <c r="CQ34" s="287">
        <f>IF(AND($D34&gt;0,OR(X34="")),1,IF(X34&gt;$D34,1,0))</f>
        <v>0</v>
      </c>
      <c r="CR34" s="287">
        <f>IF(AND($E34&gt;0,OR(Y34="")),1,IF(Y34&gt;$E34,1,0))</f>
        <v>0</v>
      </c>
      <c r="CS34" s="287">
        <f>IF(AND($D34&gt;0,OR(Z34="")),1,IF(Z34&gt;$D34,1,0))</f>
        <v>0</v>
      </c>
      <c r="CT34" s="287">
        <f>IF(AND($E34&gt;0,OR(AA34="")),1,IF(AA34&gt;$E34,1,0))</f>
        <v>0</v>
      </c>
    </row>
    <row r="35" spans="1:100" ht="15" customHeight="1" x14ac:dyDescent="0.25">
      <c r="A35" s="2254" t="s">
        <v>125</v>
      </c>
      <c r="B35" s="2255"/>
      <c r="C35" s="333">
        <f>SUM(D35:E35)</f>
        <v>0</v>
      </c>
      <c r="D35" s="336">
        <f t="shared" ref="D35:D37" si="29">+F35+H35+J35+L35+N35+P35+R35+T35</f>
        <v>0</v>
      </c>
      <c r="E35" s="146">
        <f t="shared" ref="E35:E37" si="30">+G35+I35+K35+M35+O35+Q35+S35+U35</f>
        <v>0</v>
      </c>
      <c r="F35" s="166"/>
      <c r="G35" s="168"/>
      <c r="H35" s="166"/>
      <c r="I35" s="167"/>
      <c r="J35" s="166"/>
      <c r="K35" s="167"/>
      <c r="L35" s="173"/>
      <c r="M35" s="167"/>
      <c r="N35" s="173"/>
      <c r="O35" s="167"/>
      <c r="P35" s="173"/>
      <c r="Q35" s="167"/>
      <c r="R35" s="173"/>
      <c r="S35" s="167"/>
      <c r="T35" s="173"/>
      <c r="U35" s="170"/>
      <c r="V35" s="169"/>
      <c r="W35" s="233"/>
      <c r="X35" s="173"/>
      <c r="Y35" s="167"/>
      <c r="Z35" s="173"/>
      <c r="AA35" s="167"/>
      <c r="AB35" s="48" t="str">
        <f>CB35&amp;CC35&amp;CD35&amp;CE35&amp;CF35&amp;CG35</f>
        <v/>
      </c>
      <c r="AZ35"/>
      <c r="BA35"/>
      <c r="CB35" s="80" t="str">
        <f>IF(AND($D35&gt;0,OR(V35=""))," * No olvide digitar la variable Pueblos Originarios Hombres. Digite Cero si no tiene.",IF(V35&gt;$D35," * La variable Pueblos Originarios Hombres no puede ser Mayor al Total Hombres.",""))</f>
        <v/>
      </c>
      <c r="CC35" s="80" t="str">
        <f>IF(AND($E35&gt;0,OR(W35=""))," * No olvide digitar la variable Pueblos Originarios Mujeres. Digite Cero si no tiene.",IF(W35&gt;$E35," * La variable Pueblos Originarios Mujeres no puede ser Mayor al Total Mujeres.",""))</f>
        <v/>
      </c>
      <c r="CD35" s="80" t="str">
        <f>IF(AND($D35&gt;0,OR(X35=""))," * No olvide digitar la variable Migrantes Hombres. Digite Cero si no tiene.",IF(X35&gt;$D35," * La variable Migrantes Hombres no puede ser Mayor al Total Hombres.",""))</f>
        <v/>
      </c>
      <c r="CE35" s="80" t="str">
        <f>IF(AND($E35&gt;0,OR(Y35=""))," * No olvide digitar la variable Migrantes Mujeres. Digite Cero si no tiene.",IF(Y35&gt;$E35," * La variable Migrantes Mujeres no puede ser Mayor al Total Mujeres.",""))</f>
        <v/>
      </c>
      <c r="CF35" s="80" t="str">
        <f>IF(AND($D35&gt;0,OR(Z35=""))," * No olvide digitar la variable Personas Mayores en ELEAM Hombres. Digite Cero si no tiene.",IF(Z35&gt;$D35," * La variable Personas Mayores en ELEAM Hombres no puede ser Mayor al Total Hombres.",""))</f>
        <v/>
      </c>
      <c r="CG35" s="80" t="str">
        <f>IF(AND($E35&gt;0,OR(AA35=""))," * No olvide digitar la variable Personas Mayores en ELEAM Mujeres. Digite Cero si no tiene.",IF(AA35&gt;$E35," * La variable Personas Mayores en ELEAM Mujeres no puede ser Mayor al Total Mujeres.",""))</f>
        <v/>
      </c>
      <c r="CO35" s="287">
        <f t="shared" si="28"/>
        <v>0</v>
      </c>
      <c r="CP35" s="287">
        <f t="shared" si="28"/>
        <v>0</v>
      </c>
      <c r="CQ35" s="287">
        <f>IF(AND($D35&gt;0,OR(X35="")),1,IF(X35&gt;$D35,1,0))</f>
        <v>0</v>
      </c>
      <c r="CR35" s="287">
        <f>IF(AND($E35&gt;0,OR(Y35="")),1,IF(Y35&gt;$E35,1,0))</f>
        <v>0</v>
      </c>
      <c r="CS35" s="287">
        <f>IF(AND($D35&gt;0,OR(Z35="")),1,IF(Z35&gt;$D35,1,0))</f>
        <v>0</v>
      </c>
      <c r="CT35" s="287">
        <f>IF(AND($E35&gt;0,OR(AA35="")),1,IF(AA35&gt;$E35,1,0))</f>
        <v>0</v>
      </c>
    </row>
    <row r="36" spans="1:100" ht="15" customHeight="1" x14ac:dyDescent="0.25">
      <c r="A36" s="2254" t="s">
        <v>124</v>
      </c>
      <c r="B36" s="2255"/>
      <c r="C36" s="333">
        <f>SUM(D36:E36)</f>
        <v>0</v>
      </c>
      <c r="D36" s="336">
        <f t="shared" si="29"/>
        <v>0</v>
      </c>
      <c r="E36" s="146">
        <f t="shared" si="30"/>
        <v>0</v>
      </c>
      <c r="F36" s="166"/>
      <c r="G36" s="168"/>
      <c r="H36" s="166"/>
      <c r="I36" s="167"/>
      <c r="J36" s="166"/>
      <c r="K36" s="167"/>
      <c r="L36" s="173"/>
      <c r="M36" s="167"/>
      <c r="N36" s="173"/>
      <c r="O36" s="167"/>
      <c r="P36" s="173"/>
      <c r="Q36" s="167"/>
      <c r="R36" s="173"/>
      <c r="S36" s="167"/>
      <c r="T36" s="173"/>
      <c r="U36" s="170"/>
      <c r="V36" s="169"/>
      <c r="W36" s="233"/>
      <c r="X36" s="173"/>
      <c r="Y36" s="167"/>
      <c r="Z36" s="173"/>
      <c r="AA36" s="167"/>
      <c r="AB36" s="48" t="str">
        <f>CB36&amp;CC36&amp;CD36&amp;CE36&amp;CF36&amp;CG36</f>
        <v/>
      </c>
      <c r="AZ36"/>
      <c r="BA36"/>
      <c r="CB36" s="80" t="str">
        <f>IF(AND($D36&gt;0,OR(V36=""))," * No olvide digitar la variable Pueblos Originarios Hombres. Digite Cero si no tiene.",IF(V36&gt;$D36," * La variable Pueblos Originarios Hombres no puede ser Mayor al Total Hombres.",""))</f>
        <v/>
      </c>
      <c r="CC36" s="80" t="str">
        <f>IF(AND($E36&gt;0,OR(W36=""))," * No olvide digitar la variable Pueblos Originarios Mujeres. Digite Cero si no tiene.",IF(W36&gt;$E36," * La variable Pueblos Originarios Mujeres no puede ser Mayor al Total Mujeres.",""))</f>
        <v/>
      </c>
      <c r="CD36" s="80" t="str">
        <f>IF(AND($D36&gt;0,OR(X36=""))," * No olvide digitar la variable Migrantes Hombres. Digite Cero si no tiene.",IF(X36&gt;$D36," * La variable Migrantes Hombres no puede ser Mayor al Total Hombres.",""))</f>
        <v/>
      </c>
      <c r="CE36" s="80" t="str">
        <f>IF(AND($E36&gt;0,OR(Y36=""))," * No olvide digitar la variable Migrantes Mujeres. Digite Cero si no tiene.",IF(Y36&gt;$E36," * La variable Migrantes Mujeres no puede ser Mayor al Total Mujeres.",""))</f>
        <v/>
      </c>
      <c r="CF36" s="80" t="str">
        <f>IF(AND($D36&gt;0,OR(Z36=""))," * No olvide digitar la variable Personas Mayores en ELEAM Hombres. Digite Cero si no tiene.",IF(Z36&gt;$D36," * La variable Personas Mayores en ELEAM Hombres no puede ser Mayor al Total Hombres.",""))</f>
        <v/>
      </c>
      <c r="CG36" s="80" t="str">
        <f>IF(AND($E36&gt;0,OR(AA36=""))," * No olvide digitar la variable Personas Mayores en ELEAM Mujeres. Digite Cero si no tiene.",IF(AA36&gt;$E36," * La variable Personas Mayores en ELEAM Mujeres no puede ser Mayor al Total Mujeres.",""))</f>
        <v/>
      </c>
      <c r="CO36" s="287">
        <f t="shared" si="28"/>
        <v>0</v>
      </c>
      <c r="CP36" s="287">
        <f t="shared" si="28"/>
        <v>0</v>
      </c>
      <c r="CQ36" s="287">
        <f>IF(AND($D36&gt;0,OR(X36="")),1,IF(X36&gt;$D36,1,0))</f>
        <v>0</v>
      </c>
      <c r="CR36" s="287">
        <f>IF(AND($E36&gt;0,OR(Y36="")),1,IF(Y36&gt;$E36,1,0))</f>
        <v>0</v>
      </c>
      <c r="CS36" s="287">
        <f>IF(AND($D36&gt;0,OR(Z36="")),1,IF(Z36&gt;$D36,1,0))</f>
        <v>0</v>
      </c>
      <c r="CT36" s="287">
        <f>IF(AND($E36&gt;0,OR(AA36="")),1,IF(AA36&gt;$E36,1,0))</f>
        <v>0</v>
      </c>
    </row>
    <row r="37" spans="1:100" ht="15" customHeight="1" x14ac:dyDescent="0.25">
      <c r="A37" s="2248" t="s">
        <v>238</v>
      </c>
      <c r="B37" s="2249"/>
      <c r="C37" s="340">
        <f>SUM(D37:E37)</f>
        <v>0</v>
      </c>
      <c r="D37" s="337">
        <f t="shared" si="29"/>
        <v>0</v>
      </c>
      <c r="E37" s="174">
        <f t="shared" si="30"/>
        <v>0</v>
      </c>
      <c r="F37" s="149"/>
      <c r="G37" s="151"/>
      <c r="H37" s="149"/>
      <c r="I37" s="150"/>
      <c r="J37" s="149"/>
      <c r="K37" s="150"/>
      <c r="L37" s="154"/>
      <c r="M37" s="150"/>
      <c r="N37" s="154"/>
      <c r="O37" s="150"/>
      <c r="P37" s="154"/>
      <c r="Q37" s="150"/>
      <c r="R37" s="154"/>
      <c r="S37" s="150"/>
      <c r="T37" s="154"/>
      <c r="U37" s="153"/>
      <c r="V37" s="152"/>
      <c r="W37" s="234"/>
      <c r="X37" s="154"/>
      <c r="Y37" s="150"/>
      <c r="Z37" s="154"/>
      <c r="AA37" s="150"/>
      <c r="AB37" s="48" t="str">
        <f>CB37&amp;CC37&amp;CD37&amp;CE37&amp;CF37&amp;CG37</f>
        <v/>
      </c>
      <c r="AZ37"/>
      <c r="BA37"/>
      <c r="CB37" s="80" t="str">
        <f>IF(AND($D37&gt;0,OR(V37=""))," * No olvide digitar la variable Pueblos Originarios Hombres. Digite Cero si no tiene.",IF(V37&gt;$D37," * La variable Pueblos Originarios Hombres no puede ser Mayor al Total Hombres.",""))</f>
        <v/>
      </c>
      <c r="CC37" s="80" t="str">
        <f>IF(AND($E37&gt;0,OR(W37=""))," * No olvide digitar la variable Pueblos Originarios Mujeres. Digite Cero si no tiene.",IF(W37&gt;$E37," * La variable Pueblos Originarios Mujeres no puede ser Mayor al Total Mujeres.",""))</f>
        <v/>
      </c>
      <c r="CD37" s="80" t="str">
        <f>IF(AND($D37&gt;0,OR(X37=""))," * No olvide digitar la variable Migrantes Hombres. Digite Cero si no tiene.",IF(X37&gt;$D37," * La variable Migrantes Hombres no puede ser Mayor al Total Hombres.",""))</f>
        <v/>
      </c>
      <c r="CE37" s="80" t="str">
        <f>IF(AND($E37&gt;0,OR(Y37=""))," * No olvide digitar la variable Migrantes Mujeres. Digite Cero si no tiene.",IF(Y37&gt;$E37," * La variable Migrantes Mujeres no puede ser Mayor al Total Mujeres.",""))</f>
        <v/>
      </c>
      <c r="CF37" s="80" t="str">
        <f>IF(AND($D37&gt;0,OR(Z37=""))," * No olvide digitar la variable Personas Mayores en ELEAM Hombres. Digite Cero si no tiene.",IF(Z37&gt;$D37," * La variable Personas Mayores en ELEAM Hombres no puede ser Mayor al Total Hombres.",""))</f>
        <v/>
      </c>
      <c r="CG37" s="80" t="str">
        <f>IF(AND($E37&gt;0,OR(AA37=""))," * No olvide digitar la variable Personas Mayores en ELEAM Mujeres. Digite Cero si no tiene.",IF(AA37&gt;$E37," * La variable Personas Mayores en ELEAM Mujeres no puede ser Mayor al Total Mujeres.",""))</f>
        <v/>
      </c>
      <c r="CO37" s="287">
        <f t="shared" si="28"/>
        <v>0</v>
      </c>
      <c r="CP37" s="287">
        <f t="shared" si="28"/>
        <v>0</v>
      </c>
      <c r="CQ37" s="287">
        <f>IF(AND($D37&gt;0,OR(X37="")),1,IF(X37&gt;$D37,1,0))</f>
        <v>0</v>
      </c>
      <c r="CR37" s="287">
        <f>IF(AND($E37&gt;0,OR(Y37="")),1,IF(Y37&gt;$E37,1,0))</f>
        <v>0</v>
      </c>
      <c r="CS37" s="287">
        <f>IF(AND($D37&gt;0,OR(Z37="")),1,IF(Z37&gt;$D37,1,0))</f>
        <v>0</v>
      </c>
      <c r="CT37" s="287">
        <f>IF(AND($E37&gt;0,OR(AA37="")),1,IF(AA37&gt;$E37,1,0))</f>
        <v>0</v>
      </c>
    </row>
    <row r="38" spans="1:100" ht="15" customHeight="1" x14ac:dyDescent="0.25">
      <c r="A38" s="2250" t="s">
        <v>486</v>
      </c>
      <c r="B38" s="2251"/>
      <c r="C38" s="418">
        <f>SUM(D38:E38)</f>
        <v>0</v>
      </c>
      <c r="D38" s="422">
        <f>+F38+H38+J38+L38+N38+P38+R38+T38</f>
        <v>0</v>
      </c>
      <c r="E38" s="347">
        <f>+G38+I38+K38+M38+O38+Q38+S38+U38</f>
        <v>0</v>
      </c>
      <c r="F38" s="422">
        <f>SUM(F34:F37)</f>
        <v>0</v>
      </c>
      <c r="G38" s="347">
        <f t="shared" ref="G38:Y38" si="31">SUM(G34:G37)</f>
        <v>0</v>
      </c>
      <c r="H38" s="356">
        <f t="shared" si="31"/>
        <v>0</v>
      </c>
      <c r="I38" s="347">
        <f t="shared" si="31"/>
        <v>0</v>
      </c>
      <c r="J38" s="356">
        <f t="shared" ref="J38:M38" si="32">SUM(J34:J37)</f>
        <v>0</v>
      </c>
      <c r="K38" s="347">
        <f t="shared" si="32"/>
        <v>0</v>
      </c>
      <c r="L38" s="356">
        <f t="shared" si="32"/>
        <v>0</v>
      </c>
      <c r="M38" s="347">
        <f t="shared" si="32"/>
        <v>0</v>
      </c>
      <c r="N38" s="422">
        <f t="shared" si="31"/>
        <v>0</v>
      </c>
      <c r="O38" s="347">
        <f t="shared" si="31"/>
        <v>0</v>
      </c>
      <c r="P38" s="422">
        <f t="shared" ref="P38:S38" si="33">SUM(P34:P37)</f>
        <v>0</v>
      </c>
      <c r="Q38" s="347">
        <f t="shared" si="33"/>
        <v>0</v>
      </c>
      <c r="R38" s="356">
        <f t="shared" si="33"/>
        <v>0</v>
      </c>
      <c r="S38" s="347">
        <f t="shared" si="33"/>
        <v>0</v>
      </c>
      <c r="T38" s="422">
        <f t="shared" si="31"/>
        <v>0</v>
      </c>
      <c r="U38" s="158">
        <f t="shared" si="31"/>
        <v>0</v>
      </c>
      <c r="V38" s="157">
        <f>SUM(V34:V37)</f>
        <v>0</v>
      </c>
      <c r="W38" s="347">
        <f>SUM(W34:W37)</f>
        <v>0</v>
      </c>
      <c r="X38" s="422">
        <f t="shared" si="31"/>
        <v>0</v>
      </c>
      <c r="Y38" s="347">
        <f t="shared" si="31"/>
        <v>0</v>
      </c>
      <c r="Z38" s="422">
        <f t="shared" ref="Z38:AA38" si="34">SUM(Z34:Z37)</f>
        <v>0</v>
      </c>
      <c r="AA38" s="347">
        <f t="shared" si="34"/>
        <v>0</v>
      </c>
      <c r="AZ38"/>
      <c r="BA38"/>
      <c r="BC38" s="214"/>
      <c r="BD38" s="214"/>
      <c r="BE38" s="214"/>
      <c r="BF38" s="214"/>
      <c r="BG38" s="214"/>
      <c r="BH38" s="214"/>
      <c r="BI38" s="214"/>
      <c r="BJ38" s="214"/>
      <c r="BK38" s="214"/>
      <c r="BL38" s="214"/>
    </row>
    <row r="39" spans="1:100" s="297" customFormat="1" ht="17.100000000000001" customHeight="1" x14ac:dyDescent="0.2">
      <c r="A39" s="2243" t="s">
        <v>588</v>
      </c>
      <c r="B39" s="2243"/>
      <c r="C39" s="2243"/>
      <c r="D39" s="2243"/>
      <c r="E39" s="2243"/>
      <c r="F39" s="2244"/>
      <c r="G39" s="2244"/>
      <c r="H39" s="303"/>
      <c r="I39" s="303"/>
      <c r="J39" s="303"/>
      <c r="K39" s="303"/>
      <c r="L39" s="299"/>
      <c r="AB39" s="382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</row>
    <row r="40" spans="1:100" ht="22.5" customHeight="1" x14ac:dyDescent="0.25">
      <c r="A40" s="2242" t="s">
        <v>435</v>
      </c>
      <c r="B40" s="2242"/>
      <c r="C40" s="2241" t="s">
        <v>49</v>
      </c>
      <c r="D40" s="2241"/>
      <c r="E40" s="2241"/>
      <c r="F40" s="2245" t="s">
        <v>370</v>
      </c>
      <c r="G40" s="2246"/>
      <c r="H40" s="2246"/>
      <c r="I40" s="2246"/>
      <c r="J40" s="2246"/>
      <c r="K40" s="2246"/>
      <c r="L40" s="2246"/>
      <c r="M40" s="2246"/>
      <c r="N40" s="2246"/>
      <c r="O40" s="2246"/>
      <c r="P40" s="2246"/>
      <c r="Q40" s="2246"/>
      <c r="R40" s="2246"/>
      <c r="S40" s="2246"/>
      <c r="T40" s="2246"/>
      <c r="U40" s="2247"/>
      <c r="V40" s="2236" t="s">
        <v>51</v>
      </c>
      <c r="W40" s="2237"/>
      <c r="X40" s="2236" t="s">
        <v>108</v>
      </c>
      <c r="Y40" s="2237"/>
      <c r="Z40" s="2236" t="s">
        <v>567</v>
      </c>
      <c r="AA40" s="2237"/>
    </row>
    <row r="41" spans="1:100" ht="17.25" customHeight="1" x14ac:dyDescent="0.25">
      <c r="A41" s="2242"/>
      <c r="B41" s="2242"/>
      <c r="C41" s="2241"/>
      <c r="D41" s="2241"/>
      <c r="E41" s="2241"/>
      <c r="F41" s="2165" t="s">
        <v>67</v>
      </c>
      <c r="G41" s="2166"/>
      <c r="H41" s="2165" t="s">
        <v>396</v>
      </c>
      <c r="I41" s="2166"/>
      <c r="J41" s="2165" t="s">
        <v>397</v>
      </c>
      <c r="K41" s="2166"/>
      <c r="L41" s="2165" t="s">
        <v>569</v>
      </c>
      <c r="M41" s="2166"/>
      <c r="N41" s="2167" t="s">
        <v>570</v>
      </c>
      <c r="O41" s="2167"/>
      <c r="P41" s="2165" t="s">
        <v>571</v>
      </c>
      <c r="Q41" s="2167"/>
      <c r="R41" s="2165" t="s">
        <v>572</v>
      </c>
      <c r="S41" s="2166"/>
      <c r="T41" s="2165" t="s">
        <v>573</v>
      </c>
      <c r="U41" s="2213"/>
      <c r="V41" s="2238"/>
      <c r="W41" s="2239"/>
      <c r="X41" s="2238"/>
      <c r="Y41" s="2239"/>
      <c r="Z41" s="2238"/>
      <c r="AA41" s="2239"/>
    </row>
    <row r="42" spans="1:100" ht="31.15" customHeight="1" x14ac:dyDescent="0.25">
      <c r="A42" s="2242"/>
      <c r="B42" s="2242"/>
      <c r="C42" s="400" t="s">
        <v>399</v>
      </c>
      <c r="D42" s="427" t="s">
        <v>86</v>
      </c>
      <c r="E42" s="428" t="s">
        <v>225</v>
      </c>
      <c r="F42" s="352" t="s">
        <v>400</v>
      </c>
      <c r="G42" s="259" t="s">
        <v>225</v>
      </c>
      <c r="H42" s="352" t="s">
        <v>400</v>
      </c>
      <c r="I42" s="259" t="s">
        <v>225</v>
      </c>
      <c r="J42" s="352" t="s">
        <v>400</v>
      </c>
      <c r="K42" s="259" t="s">
        <v>225</v>
      </c>
      <c r="L42" s="357" t="s">
        <v>86</v>
      </c>
      <c r="M42" s="345" t="s">
        <v>225</v>
      </c>
      <c r="N42" s="357" t="s">
        <v>86</v>
      </c>
      <c r="O42" s="345" t="s">
        <v>225</v>
      </c>
      <c r="P42" s="357" t="s">
        <v>86</v>
      </c>
      <c r="Q42" s="345" t="s">
        <v>225</v>
      </c>
      <c r="R42" s="357" t="s">
        <v>86</v>
      </c>
      <c r="S42" s="345" t="s">
        <v>225</v>
      </c>
      <c r="T42" s="357" t="s">
        <v>86</v>
      </c>
      <c r="U42" s="47" t="s">
        <v>225</v>
      </c>
      <c r="V42" s="394" t="s">
        <v>86</v>
      </c>
      <c r="W42" s="396" t="s">
        <v>225</v>
      </c>
      <c r="X42" s="394" t="s">
        <v>86</v>
      </c>
      <c r="Y42" s="396" t="s">
        <v>225</v>
      </c>
      <c r="Z42" s="394" t="s">
        <v>86</v>
      </c>
      <c r="AA42" s="396" t="s">
        <v>225</v>
      </c>
    </row>
    <row r="43" spans="1:100" ht="15" customHeight="1" x14ac:dyDescent="0.25">
      <c r="A43" s="2254" t="s">
        <v>589</v>
      </c>
      <c r="B43" s="2255"/>
      <c r="C43" s="418">
        <f>SUM(D43:E43)</f>
        <v>0</v>
      </c>
      <c r="D43" s="422">
        <f>+F43+H43+J43+L43+N43+P43+R43+T43</f>
        <v>0</v>
      </c>
      <c r="E43" s="421">
        <f>+G43+I43+K43+M43+O43+Q43+S43+U43</f>
        <v>0</v>
      </c>
      <c r="F43" s="358"/>
      <c r="G43" s="349"/>
      <c r="H43" s="358"/>
      <c r="I43" s="349"/>
      <c r="J43" s="358"/>
      <c r="K43" s="349"/>
      <c r="L43" s="358"/>
      <c r="M43" s="349"/>
      <c r="N43" s="358"/>
      <c r="O43" s="349"/>
      <c r="P43" s="358"/>
      <c r="Q43" s="349"/>
      <c r="R43" s="358"/>
      <c r="S43" s="349"/>
      <c r="T43" s="358"/>
      <c r="U43" s="242"/>
      <c r="V43" s="429"/>
      <c r="W43" s="349"/>
      <c r="X43" s="358"/>
      <c r="Y43" s="349"/>
      <c r="Z43" s="358"/>
      <c r="AA43" s="349"/>
      <c r="AB43" s="48" t="str">
        <f>CA43&amp;CB43&amp;CC43&amp;CD43&amp;CE43&amp;CF43&amp;CG43</f>
        <v/>
      </c>
      <c r="BC43" s="214"/>
      <c r="BD43" s="214"/>
      <c r="BE43" s="214"/>
      <c r="BF43" s="214"/>
      <c r="BG43" s="214"/>
      <c r="BH43" s="214"/>
      <c r="BI43" s="214"/>
      <c r="BJ43" s="214"/>
      <c r="BK43" s="214"/>
      <c r="BL43" s="214"/>
      <c r="CA43" s="80" t="str">
        <f>IF(C43&gt;C21,"* Total de personas mayores con sospecha de maltrato no puede ser mayor al Total de Personas Mayores en Control de la sección A. ","")</f>
        <v/>
      </c>
      <c r="CB43" s="80" t="str">
        <f>IF(AND($D43&gt;0,OR(V43=""))," * No olvide digitar la variable Pueblos Originarios Hombres. Digite Cero si no tiene.",IF(V43&gt;$D43," * La variable Pueblos Originarios Hombres no puede ser Mayor al Total Hombres.",""))</f>
        <v/>
      </c>
      <c r="CC43" s="80" t="str">
        <f>IF(AND($E43&gt;0,OR(W43=""))," * No olvide digitar la variable Pueblos Originarios Mujeres. Digite Cero si no tiene.",IF(W43&gt;$E43," * La variable Pueblos Originarios Mujeres no puede ser Mayor al Total Mujeres.",""))</f>
        <v/>
      </c>
      <c r="CD43" s="80" t="str">
        <f>IF(AND($D43&gt;0,OR(X43=""))," * No olvide digitar la variable Migrantes Hombres. Digite Cero si no tiene.",IF(X43&gt;$D43," * La variable Migrantes Hombres no puede ser Mayor al Total Hombres.",""))</f>
        <v/>
      </c>
      <c r="CE43" s="80" t="str">
        <f>IF(AND($E43&gt;0,OR(Y43=""))," * No olvide digitar la variable Migrantes Mujeres. Digite Cero si no tiene.",IF(Y43&gt;$E43," * La variable Migrantes Mujeres no puede ser Mayor al Total Mujeres.",""))</f>
        <v/>
      </c>
      <c r="CF43" s="80" t="str">
        <f>IF(AND($D43&gt;0,OR(Z43=""))," * No olvide digitar la variable Personas Mayores en ELEAM Hombres. Digite Cero si no tiene.",IF(Z43&gt;$D43," * La variable Personas Mayores en ELEAM Hombres no puede ser Mayor al Total Hombres.",""))</f>
        <v/>
      </c>
      <c r="CG43" s="80" t="str">
        <f>IF(AND($E43&gt;0,OR(AA43=""))," * No olvide digitar la variable Personas Mayores en ELEAM Mujeres. Digite Cero si no tiene.",IF(AA43&gt;$E43," * La variable Personas Mayores en ELEAM Mujeres no puede ser Mayor al Total Mujeres.",""))</f>
        <v/>
      </c>
      <c r="CN43" s="287">
        <f>IF(C43&gt;C21,1,0)</f>
        <v>0</v>
      </c>
      <c r="CO43" s="287">
        <f>IF(AND(D43&gt;0,OR(V43="")),1,IF(V43&gt;D43,1,0))</f>
        <v>0</v>
      </c>
      <c r="CP43" s="287">
        <f>IF(AND(E43&gt;0,OR(W43="")),1,IF(W43&gt;E43,1,0))</f>
        <v>0</v>
      </c>
      <c r="CQ43" s="287">
        <f>IF(AND($D43&gt;0,OR(X43="")),1,IF(X43&gt;$D43,1,0))</f>
        <v>0</v>
      </c>
      <c r="CR43" s="287">
        <f>IF(AND($E43&gt;0,OR(Y43="")),1,IF(Y43&gt;$E43,1,0))</f>
        <v>0</v>
      </c>
      <c r="CS43" s="287">
        <f>IF(AND($D43&gt;0,OR(Z43="")),1,IF(Z43&gt;$D43,1,0))</f>
        <v>0</v>
      </c>
      <c r="CT43" s="287">
        <f>IF(AND($E43&gt;0,OR(AA43="")),1,IF(AA43&gt;$E43,1,0))</f>
        <v>0</v>
      </c>
    </row>
    <row r="44" spans="1:100" s="297" customFormat="1" ht="17.100000000000001" customHeight="1" x14ac:dyDescent="0.2">
      <c r="A44" s="2257" t="s">
        <v>590</v>
      </c>
      <c r="B44" s="2257"/>
      <c r="C44" s="2257"/>
      <c r="D44" s="2257"/>
      <c r="E44" s="2257"/>
      <c r="F44" s="2258"/>
      <c r="G44" s="2258"/>
      <c r="H44" s="2258"/>
      <c r="I44" s="303"/>
      <c r="J44" s="303"/>
      <c r="K44" s="303"/>
      <c r="L44" s="299"/>
      <c r="AB44" s="382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</row>
    <row r="45" spans="1:100" ht="20.25" customHeight="1" x14ac:dyDescent="0.25">
      <c r="A45" s="2242" t="s">
        <v>435</v>
      </c>
      <c r="B45" s="2242"/>
      <c r="C45" s="2241" t="s">
        <v>49</v>
      </c>
      <c r="D45" s="2241"/>
      <c r="E45" s="2241"/>
      <c r="F45" s="2245" t="s">
        <v>370</v>
      </c>
      <c r="G45" s="2246"/>
      <c r="H45" s="2246"/>
      <c r="I45" s="2246"/>
      <c r="J45" s="2246"/>
      <c r="K45" s="2246"/>
      <c r="L45" s="2246"/>
      <c r="M45" s="2246"/>
      <c r="N45" s="2246"/>
      <c r="O45" s="2246"/>
      <c r="P45" s="2246"/>
      <c r="Q45" s="2246"/>
      <c r="R45" s="2246"/>
      <c r="S45" s="2246"/>
      <c r="T45" s="2246"/>
      <c r="U45" s="2247"/>
      <c r="V45" s="2236" t="s">
        <v>51</v>
      </c>
      <c r="W45" s="2237"/>
      <c r="X45" s="2236" t="s">
        <v>108</v>
      </c>
      <c r="Y45" s="2237"/>
      <c r="Z45" s="2236" t="s">
        <v>567</v>
      </c>
      <c r="AA45" s="2237"/>
    </row>
    <row r="46" spans="1:100" ht="19.5" customHeight="1" x14ac:dyDescent="0.25">
      <c r="A46" s="2242"/>
      <c r="B46" s="2242"/>
      <c r="C46" s="2241"/>
      <c r="D46" s="2241"/>
      <c r="E46" s="2241"/>
      <c r="F46" s="2165" t="s">
        <v>67</v>
      </c>
      <c r="G46" s="2166"/>
      <c r="H46" s="2165" t="s">
        <v>396</v>
      </c>
      <c r="I46" s="2166"/>
      <c r="J46" s="2165" t="s">
        <v>397</v>
      </c>
      <c r="K46" s="2166"/>
      <c r="L46" s="2165" t="s">
        <v>569</v>
      </c>
      <c r="M46" s="2166"/>
      <c r="N46" s="2167" t="s">
        <v>570</v>
      </c>
      <c r="O46" s="2167"/>
      <c r="P46" s="2165" t="s">
        <v>571</v>
      </c>
      <c r="Q46" s="2167"/>
      <c r="R46" s="2165" t="s">
        <v>572</v>
      </c>
      <c r="S46" s="2166"/>
      <c r="T46" s="2165" t="s">
        <v>573</v>
      </c>
      <c r="U46" s="2213"/>
      <c r="V46" s="2238"/>
      <c r="W46" s="2239"/>
      <c r="X46" s="2238"/>
      <c r="Y46" s="2239"/>
      <c r="Z46" s="2238"/>
      <c r="AA46" s="2239"/>
    </row>
    <row r="47" spans="1:100" ht="21" x14ac:dyDescent="0.25">
      <c r="A47" s="2242"/>
      <c r="B47" s="2242"/>
      <c r="C47" s="400" t="s">
        <v>399</v>
      </c>
      <c r="D47" s="427" t="s">
        <v>86</v>
      </c>
      <c r="E47" s="348" t="s">
        <v>225</v>
      </c>
      <c r="F47" s="352" t="s">
        <v>400</v>
      </c>
      <c r="G47" s="259" t="s">
        <v>225</v>
      </c>
      <c r="H47" s="352" t="s">
        <v>400</v>
      </c>
      <c r="I47" s="259" t="s">
        <v>225</v>
      </c>
      <c r="J47" s="352" t="s">
        <v>400</v>
      </c>
      <c r="K47" s="259" t="s">
        <v>225</v>
      </c>
      <c r="L47" s="357" t="s">
        <v>86</v>
      </c>
      <c r="M47" s="345" t="s">
        <v>225</v>
      </c>
      <c r="N47" s="357" t="s">
        <v>86</v>
      </c>
      <c r="O47" s="345" t="s">
        <v>225</v>
      </c>
      <c r="P47" s="357" t="s">
        <v>86</v>
      </c>
      <c r="Q47" s="345" t="s">
        <v>225</v>
      </c>
      <c r="R47" s="357" t="s">
        <v>86</v>
      </c>
      <c r="S47" s="345" t="s">
        <v>225</v>
      </c>
      <c r="T47" s="357" t="s">
        <v>86</v>
      </c>
      <c r="U47" s="47" t="s">
        <v>225</v>
      </c>
      <c r="V47" s="394" t="s">
        <v>86</v>
      </c>
      <c r="W47" s="396" t="s">
        <v>225</v>
      </c>
      <c r="X47" s="394" t="s">
        <v>86</v>
      </c>
      <c r="Y47" s="396" t="s">
        <v>225</v>
      </c>
      <c r="Z47" s="394" t="s">
        <v>86</v>
      </c>
      <c r="AA47" s="396" t="s">
        <v>225</v>
      </c>
    </row>
    <row r="48" spans="1:100" ht="15" customHeight="1" x14ac:dyDescent="0.25">
      <c r="A48" s="2254" t="s">
        <v>591</v>
      </c>
      <c r="B48" s="2255"/>
      <c r="C48" s="418">
        <f>SUM(D48:E48)</f>
        <v>0</v>
      </c>
      <c r="D48" s="422">
        <f>+F48+H48+J48+L48+N48+P48+R48+T48</f>
        <v>0</v>
      </c>
      <c r="E48" s="347">
        <f>+G48+I48+K48+M48+O48+Q48+S48+U48</f>
        <v>0</v>
      </c>
      <c r="F48" s="358"/>
      <c r="G48" s="349"/>
      <c r="H48" s="358"/>
      <c r="I48" s="349"/>
      <c r="J48" s="358"/>
      <c r="K48" s="349"/>
      <c r="L48" s="358"/>
      <c r="M48" s="349"/>
      <c r="N48" s="358"/>
      <c r="O48" s="349"/>
      <c r="P48" s="358"/>
      <c r="Q48" s="349"/>
      <c r="R48" s="358"/>
      <c r="S48" s="349"/>
      <c r="T48" s="358"/>
      <c r="U48" s="242"/>
      <c r="V48" s="429"/>
      <c r="W48" s="349"/>
      <c r="X48" s="358"/>
      <c r="Y48" s="349"/>
      <c r="Z48" s="358"/>
      <c r="AA48" s="349"/>
      <c r="AB48" s="48" t="str">
        <f>CA48&amp;CB48&amp;CC48&amp;CD48&amp;CE48&amp;CF48&amp;CG48</f>
        <v/>
      </c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CA48" s="80" t="str">
        <f>IF($C$48&lt;=$C$15,"","* Los Adultos Mayores en actividad física no pueden ser mayor que el SUBTOTAL (EFAM) de Autovalentes sin/con Riesgo y Riesgo de Dependencia de la Sección A. ")</f>
        <v/>
      </c>
      <c r="CB48" s="80" t="str">
        <f>IF(AND($D48&gt;0,OR(V48=""))," * No olvide digitar la variable Pueblos Originarios Hombres. Digite Cero si no tiene.",IF(V48&gt;$D48," * La variable Pueblos Originarios Hombres no puede ser Mayor al Total Hombres.",""))</f>
        <v/>
      </c>
      <c r="CC48" s="80" t="str">
        <f>IF(AND($E48&gt;0,OR(W48=""))," * No olvide digitar la variable Pueblos Originarios Mujeres. Digite Cero si no tiene.",IF(W48&gt;$E48," * La variable Pueblos Originarios Mujeres no puede ser Mayor al Total Mujeres.",""))</f>
        <v/>
      </c>
      <c r="CD48" s="80" t="str">
        <f>IF(AND($D48&gt;0,OR(X48=""))," * No olvide digitar la variable Migrantes Hombres. Digite Cero si no tiene.",IF(X48&gt;$D48," * La variable Migrantes Hombres no puede ser Mayor al Total Hombres.",""))</f>
        <v/>
      </c>
      <c r="CE48" s="80" t="str">
        <f>IF(AND($E48&gt;0,OR(Y48=""))," * No olvide digitar la variable Migrantes Mujeres. Digite Cero si no tiene.",IF(Y48&gt;$E48," * La variable Migrantes Mujeres no puede ser Mayor al Total Mujeres.",""))</f>
        <v/>
      </c>
      <c r="CF48" s="80" t="str">
        <f>IF(AND($D48&gt;0,OR(Z48=""))," * No olvide digitar la variable Personas Mayores en ELEAM Hombres. Digite Cero si no tiene.",IF(Z48&gt;$D48," * La variable Personas Mayores en ELEAM Hombres no puede ser Mayor al Total Hombres.",""))</f>
        <v/>
      </c>
      <c r="CG48" s="80" t="str">
        <f>IF(AND($E48&gt;0,OR(AA48=""))," * No olvide digitar la variable Personas Mayores en ELEAM Mujeres. Digite Cero si no tiene.",IF(AA48&gt;$E48," * La variable Personas Mayores en ELEAM Mujeres no puede ser Mayor al Total Mujeres.",""))</f>
        <v/>
      </c>
      <c r="CN48" s="287">
        <f>IF($C$48&lt;=$C$15,0,1)</f>
        <v>0</v>
      </c>
      <c r="CO48" s="287">
        <f>IF(AND(D48&gt;0,OR(V48="")),1,IF(V48&gt;D48,1,0))</f>
        <v>0</v>
      </c>
      <c r="CP48" s="287">
        <f>IF(AND(E48&gt;0,OR(W48="")),1,IF(W48&gt;E48,1,0))</f>
        <v>0</v>
      </c>
      <c r="CQ48" s="287">
        <f>IF(AND($D48&gt;0,OR(X48="")),1,IF(X48&gt;$D48,1,0))</f>
        <v>0</v>
      </c>
      <c r="CR48" s="287">
        <f>IF(AND($E48&gt;0,OR(Y48="")),1,IF(Y48&gt;$E48,1,0))</f>
        <v>0</v>
      </c>
      <c r="CS48" s="287">
        <f>IF(AND($D48&gt;0,OR(Z48="")),1,IF(Z48&gt;$D48,1,0))</f>
        <v>0</v>
      </c>
      <c r="CT48" s="287">
        <f>IF(AND($E48&gt;0,OR(AA48="")),1,IF(AA48&gt;$E48,1,0))</f>
        <v>0</v>
      </c>
    </row>
    <row r="49" spans="1:98" s="297" customFormat="1" ht="17.100000000000001" customHeight="1" x14ac:dyDescent="0.2">
      <c r="A49" s="2256" t="s">
        <v>592</v>
      </c>
      <c r="B49" s="2256"/>
      <c r="C49" s="2256"/>
      <c r="D49" s="2256"/>
      <c r="E49" s="2256"/>
      <c r="F49" s="2256"/>
      <c r="G49" s="2256"/>
      <c r="H49" s="2256"/>
      <c r="I49" s="2256"/>
      <c r="AB49" s="382"/>
      <c r="AC49" s="296"/>
      <c r="AD49" s="296"/>
      <c r="AE49" s="296"/>
      <c r="AF49" s="296"/>
      <c r="AG49" s="296"/>
      <c r="AH49" s="296"/>
      <c r="AI49" s="296"/>
      <c r="AJ49" s="296"/>
      <c r="AK49" s="296"/>
      <c r="AL49" s="296"/>
      <c r="AM49" s="296"/>
      <c r="AN49" s="296"/>
      <c r="AO49" s="296"/>
      <c r="AP49" s="296"/>
      <c r="AQ49" s="296"/>
      <c r="AR49" s="296"/>
      <c r="AS49" s="296"/>
      <c r="AT49" s="296"/>
      <c r="AU49" s="296"/>
      <c r="AV49" s="296"/>
      <c r="AW49" s="296"/>
      <c r="AX49" s="296"/>
      <c r="AY49" s="296"/>
    </row>
    <row r="50" spans="1:98" ht="25.5" customHeight="1" x14ac:dyDescent="0.25">
      <c r="A50" s="2204" t="s">
        <v>593</v>
      </c>
      <c r="B50" s="2259" t="s">
        <v>594</v>
      </c>
      <c r="C50" s="2241" t="s">
        <v>49</v>
      </c>
      <c r="D50" s="2241"/>
      <c r="E50" s="2241"/>
      <c r="F50" s="2245" t="s">
        <v>370</v>
      </c>
      <c r="G50" s="2246"/>
      <c r="H50" s="2246"/>
      <c r="I50" s="2246"/>
      <c r="J50" s="2246"/>
      <c r="K50" s="2246"/>
      <c r="L50" s="2246"/>
      <c r="M50" s="2246"/>
      <c r="N50" s="2246"/>
      <c r="O50" s="2246"/>
      <c r="P50" s="2246"/>
      <c r="Q50" s="2246"/>
      <c r="R50" s="2246"/>
      <c r="S50" s="2246"/>
      <c r="T50" s="2246"/>
      <c r="U50" s="2247"/>
      <c r="V50" s="2236" t="s">
        <v>51</v>
      </c>
      <c r="W50" s="2237"/>
      <c r="X50" s="2236" t="s">
        <v>108</v>
      </c>
      <c r="Y50" s="2237"/>
      <c r="Z50" s="2236" t="s">
        <v>567</v>
      </c>
      <c r="AA50" s="2237"/>
    </row>
    <row r="51" spans="1:98" ht="15.75" customHeight="1" x14ac:dyDescent="0.25">
      <c r="A51" s="2240"/>
      <c r="B51" s="2260"/>
      <c r="C51" s="2241"/>
      <c r="D51" s="2241"/>
      <c r="E51" s="2241"/>
      <c r="F51" s="2167" t="s">
        <v>67</v>
      </c>
      <c r="G51" s="2166"/>
      <c r="H51" s="2165" t="s">
        <v>396</v>
      </c>
      <c r="I51" s="2166"/>
      <c r="J51" s="2165" t="s">
        <v>397</v>
      </c>
      <c r="K51" s="2166"/>
      <c r="L51" s="2165" t="s">
        <v>569</v>
      </c>
      <c r="M51" s="2166"/>
      <c r="N51" s="2167" t="s">
        <v>570</v>
      </c>
      <c r="O51" s="2167"/>
      <c r="P51" s="2165" t="s">
        <v>571</v>
      </c>
      <c r="Q51" s="2167"/>
      <c r="R51" s="2165" t="s">
        <v>572</v>
      </c>
      <c r="S51" s="2166"/>
      <c r="T51" s="2165" t="s">
        <v>573</v>
      </c>
      <c r="U51" s="2213"/>
      <c r="V51" s="2238"/>
      <c r="W51" s="2239"/>
      <c r="X51" s="2238"/>
      <c r="Y51" s="2239"/>
      <c r="Z51" s="2238"/>
      <c r="AA51" s="2239"/>
    </row>
    <row r="52" spans="1:98" ht="24.75" customHeight="1" x14ac:dyDescent="0.25">
      <c r="A52" s="2205"/>
      <c r="B52" s="2261"/>
      <c r="C52" s="400" t="s">
        <v>399</v>
      </c>
      <c r="D52" s="427" t="s">
        <v>86</v>
      </c>
      <c r="E52" s="348" t="s">
        <v>225</v>
      </c>
      <c r="F52" s="352" t="s">
        <v>400</v>
      </c>
      <c r="G52" s="259" t="s">
        <v>225</v>
      </c>
      <c r="H52" s="352" t="s">
        <v>400</v>
      </c>
      <c r="I52" s="259" t="s">
        <v>225</v>
      </c>
      <c r="J52" s="352" t="s">
        <v>400</v>
      </c>
      <c r="K52" s="259" t="s">
        <v>225</v>
      </c>
      <c r="L52" s="357" t="s">
        <v>86</v>
      </c>
      <c r="M52" s="345" t="s">
        <v>225</v>
      </c>
      <c r="N52" s="357" t="s">
        <v>86</v>
      </c>
      <c r="O52" s="345" t="s">
        <v>225</v>
      </c>
      <c r="P52" s="357" t="s">
        <v>86</v>
      </c>
      <c r="Q52" s="345" t="s">
        <v>225</v>
      </c>
      <c r="R52" s="357" t="s">
        <v>86</v>
      </c>
      <c r="S52" s="345" t="s">
        <v>225</v>
      </c>
      <c r="T52" s="357" t="s">
        <v>86</v>
      </c>
      <c r="U52" s="47" t="s">
        <v>225</v>
      </c>
      <c r="V52" s="394" t="s">
        <v>86</v>
      </c>
      <c r="W52" s="396" t="s">
        <v>225</v>
      </c>
      <c r="X52" s="394" t="s">
        <v>86</v>
      </c>
      <c r="Y52" s="396" t="s">
        <v>225</v>
      </c>
      <c r="Z52" s="394" t="s">
        <v>86</v>
      </c>
      <c r="AA52" s="396" t="s">
        <v>225</v>
      </c>
    </row>
    <row r="53" spans="1:98" ht="15" customHeight="1" x14ac:dyDescent="0.25">
      <c r="A53" s="2204" t="s">
        <v>595</v>
      </c>
      <c r="B53" s="246" t="s">
        <v>125</v>
      </c>
      <c r="C53" s="430">
        <f>SUM(D53:E53)</f>
        <v>0</v>
      </c>
      <c r="D53" s="431">
        <f>+F53+H53+J53+L53+N53+P53+R53+T53</f>
        <v>0</v>
      </c>
      <c r="E53" s="432">
        <f>+G53+I53+K53+M53+O53+Q53+S53+U53</f>
        <v>0</v>
      </c>
      <c r="F53" s="160"/>
      <c r="G53" s="161"/>
      <c r="H53" s="160"/>
      <c r="I53" s="161"/>
      <c r="J53" s="160"/>
      <c r="K53" s="161"/>
      <c r="L53" s="160"/>
      <c r="M53" s="161"/>
      <c r="N53" s="160"/>
      <c r="O53" s="161"/>
      <c r="P53" s="160"/>
      <c r="Q53" s="161"/>
      <c r="R53" s="160"/>
      <c r="S53" s="161"/>
      <c r="T53" s="160"/>
      <c r="U53" s="164"/>
      <c r="V53" s="172"/>
      <c r="W53" s="161"/>
      <c r="X53" s="160"/>
      <c r="Y53" s="161"/>
      <c r="Z53" s="160"/>
      <c r="AA53" s="161"/>
      <c r="AB53" s="48" t="str">
        <f>CA53&amp;CB53&amp;CC53&amp;CD53&amp;CE53&amp;CF53&amp;CG53</f>
        <v/>
      </c>
      <c r="BC53" s="214"/>
      <c r="BD53" s="214"/>
      <c r="BE53" s="214"/>
      <c r="BF53" s="214"/>
      <c r="BG53" s="214"/>
      <c r="BH53" s="214"/>
      <c r="BI53" s="214"/>
      <c r="BJ53" s="214"/>
      <c r="BK53" s="214"/>
      <c r="BL53" s="214"/>
      <c r="CB53" s="80" t="str">
        <f>IF(AND($D53&gt;0,OR(V53=""))," * No olvide digitar la variable Pueblos Originarios Hombres. Digite Cero si no tiene.",IF(V53&gt;$D53," * La variable Pueblos Originarios Hombres no puede ser Mayor al Total Hombres.",""))</f>
        <v/>
      </c>
      <c r="CC53" s="80" t="str">
        <f>IF(AND($E53&gt;0,OR(W53=""))," * No olvide digitar la variable Pueblos Originarios Mujeres. Digite Cero si no tiene.",IF(W53&gt;$E53," * La variable Pueblos Originarios Mujeres no puede ser Mayor al Total Mujeres.",""))</f>
        <v/>
      </c>
      <c r="CD53" s="80" t="str">
        <f>IF(AND($D53&gt;0,OR(X53=""))," * No olvide digitar la variable Migrantes Hombres. Digite Cero si no tiene.",IF(X53&gt;$D53," * La variable Migrantes Hombres no puede ser Mayor al Total Hombres.",""))</f>
        <v/>
      </c>
      <c r="CE53" s="80" t="str">
        <f>IF(AND($E53&gt;0,OR(Y53=""))," * No olvide digitar la variable Migrantes Mujeres. Digite Cero si no tiene.",IF(Y53&gt;$E53," * La variable Migrantes Mujeres no puede ser Mayor al Total Mujeres.",""))</f>
        <v/>
      </c>
      <c r="CF53" s="80" t="str">
        <f>IF(AND($D53&gt;0,OR(Z53=""))," * No olvide digitar la variable Personas Mayores en ELEAM Hombres. Digite Cero si no tiene.",IF(Z53&gt;$D53," * La variable Personas Mayores en ELEAM Hombres no puede ser Mayor al Total Hombres.",""))</f>
        <v/>
      </c>
      <c r="CG53" s="80" t="str">
        <f>IF(AND($E53&gt;0,OR(AA53=""))," * No olvide digitar la variable Personas Mayores en ELEAM Mujeres. Digite Cero si no tiene.",IF(AA53&gt;$E53," * La variable Personas Mayores en ELEAM Mujeres no puede ser Mayor al Total Mujeres.",""))</f>
        <v/>
      </c>
      <c r="CN53" s="287">
        <f t="shared" ref="CN53:CN57" si="35">IF($C$48&lt;=$C$15,0,1)</f>
        <v>0</v>
      </c>
      <c r="CO53" s="287">
        <f t="shared" ref="CO53:CO57" si="36">IF(AND(D53&gt;0,OR(V53="")),1,IF(V53&gt;D53,1,0))</f>
        <v>0</v>
      </c>
      <c r="CP53" s="287">
        <f t="shared" ref="CP53:CP57" si="37">IF(AND(E53&gt;0,OR(W53="")),1,IF(W53&gt;E53,1,0))</f>
        <v>0</v>
      </c>
      <c r="CQ53" s="287">
        <f t="shared" ref="CQ53:CQ57" si="38">IF(AND($D53&gt;0,OR(X53="")),1,IF(X53&gt;$D53,1,0))</f>
        <v>0</v>
      </c>
      <c r="CR53" s="287">
        <f>IF(AND($E53&gt;0,OR(Y53="")),1,IF(Y53&gt;$E53,1,0))</f>
        <v>0</v>
      </c>
      <c r="CS53" s="287">
        <f t="shared" ref="CS53:CS57" si="39">IF(AND($D53&gt;0,OR(Z53="")),1,IF(Z53&gt;$D53,1,0))</f>
        <v>0</v>
      </c>
      <c r="CT53" s="287">
        <f t="shared" ref="CT53:CT57" si="40">IF(AND($E53&gt;0,OR(AA53="")),1,IF(AA53&gt;$E53,1,0))</f>
        <v>0</v>
      </c>
    </row>
    <row r="54" spans="1:98" ht="15" customHeight="1" x14ac:dyDescent="0.25">
      <c r="A54" s="2240"/>
      <c r="B54" s="247" t="s">
        <v>279</v>
      </c>
      <c r="C54" s="333">
        <f>SUM(D54:E54)</f>
        <v>0</v>
      </c>
      <c r="D54" s="175">
        <f>+F54+H54+J54+L54+N54+P54+R54+T54</f>
        <v>0</v>
      </c>
      <c r="E54" s="176">
        <f t="shared" ref="E54:E57" si="41">+G54+I54+K54+M54+O54+Q54+S54+U54</f>
        <v>0</v>
      </c>
      <c r="F54" s="166"/>
      <c r="G54" s="167"/>
      <c r="H54" s="166"/>
      <c r="I54" s="167"/>
      <c r="J54" s="166"/>
      <c r="K54" s="167"/>
      <c r="L54" s="166"/>
      <c r="M54" s="167"/>
      <c r="N54" s="166"/>
      <c r="O54" s="167"/>
      <c r="P54" s="166"/>
      <c r="Q54" s="167"/>
      <c r="R54" s="166"/>
      <c r="S54" s="167"/>
      <c r="T54" s="166"/>
      <c r="U54" s="170"/>
      <c r="V54" s="173"/>
      <c r="W54" s="167"/>
      <c r="X54" s="166"/>
      <c r="Y54" s="167"/>
      <c r="Z54" s="166"/>
      <c r="AA54" s="167"/>
      <c r="AB54" s="48" t="str">
        <f t="shared" ref="AB54:AB56" si="42">CA54&amp;CB54&amp;CC54&amp;CD54&amp;CE54&amp;CF54&amp;CG54</f>
        <v/>
      </c>
      <c r="CB54" s="80" t="str">
        <f t="shared" ref="CB54:CB57" si="43">IF(AND($D54&gt;0,OR(V54=""))," * No olvide digitar la variable Pueblos Originarios Hombres. Digite Cero si no tiene.",IF(V54&gt;$D54," * La variable Pueblos Originarios Hombres no puede ser Mayor al Total Hombres.",""))</f>
        <v/>
      </c>
      <c r="CC54" s="80" t="str">
        <f t="shared" ref="CC54:CC57" si="44">IF(AND($E54&gt;0,OR(W54=""))," * No olvide digitar la variable Pueblos Originarios Mujeres. Digite Cero si no tiene.",IF(W54&gt;$E54," * La variable Pueblos Originarios Mujeres no puede ser Mayor al Total Mujeres.",""))</f>
        <v/>
      </c>
      <c r="CD54" s="80" t="str">
        <f t="shared" ref="CD54:CD57" si="45">IF(AND($D54&gt;0,OR(X54=""))," * No olvide digitar la variable Migrantes Hombres. Digite Cero si no tiene.",IF(X54&gt;$D54," * La variable Migrantes Hombres no puede ser Mayor al Total Hombres.",""))</f>
        <v/>
      </c>
      <c r="CE54" s="80" t="str">
        <f t="shared" ref="CE54:CE57" si="46">IF(AND($E54&gt;0,OR(Y54=""))," * No olvide digitar la variable Migrantes Mujeres. Digite Cero si no tiene.",IF(Y54&gt;$E54," * La variable Migrantes Mujeres no puede ser Mayor al Total Mujeres.",""))</f>
        <v/>
      </c>
      <c r="CF54" s="80" t="str">
        <f t="shared" ref="CF54:CF57" si="47">IF(AND($D54&gt;0,OR(Z54=""))," * No olvide digitar la variable Personas Mayores en ELEAM Hombres. Digite Cero si no tiene.",IF(Z54&gt;$D54," * La variable Personas Mayores en ELEAM Hombres no puede ser Mayor al Total Hombres.",""))</f>
        <v/>
      </c>
      <c r="CG54" s="80" t="str">
        <f t="shared" ref="CG54:CG57" si="48">IF(AND($E54&gt;0,OR(AA54=""))," * No olvide digitar la variable Personas Mayores en ELEAM Mujeres. Digite Cero si no tiene.",IF(AA54&gt;$E54," * La variable Personas Mayores en ELEAM Mujeres no puede ser Mayor al Total Mujeres.",""))</f>
        <v/>
      </c>
      <c r="CN54" s="287">
        <f t="shared" si="35"/>
        <v>0</v>
      </c>
      <c r="CO54" s="287">
        <f t="shared" si="36"/>
        <v>0</v>
      </c>
      <c r="CP54" s="287">
        <f t="shared" si="37"/>
        <v>0</v>
      </c>
      <c r="CQ54" s="287">
        <f t="shared" si="38"/>
        <v>0</v>
      </c>
      <c r="CR54" s="287">
        <f t="shared" ref="CR54:CR57" si="49">IF(AND($E54&gt;0,OR(Y54="")),1,IF(Y54&gt;$E54,1,0))</f>
        <v>0</v>
      </c>
      <c r="CS54" s="287">
        <f t="shared" si="39"/>
        <v>0</v>
      </c>
      <c r="CT54" s="287">
        <f t="shared" si="40"/>
        <v>0</v>
      </c>
    </row>
    <row r="55" spans="1:98" ht="15" customHeight="1" x14ac:dyDescent="0.25">
      <c r="A55" s="2205"/>
      <c r="B55" s="245" t="s">
        <v>596</v>
      </c>
      <c r="C55" s="339">
        <f>SUM(D55:E55)</f>
        <v>0</v>
      </c>
      <c r="D55" s="177">
        <f>+F55+H55+J55+L55+N55+P55+R55+T55</f>
        <v>0</v>
      </c>
      <c r="E55" s="178">
        <f t="shared" si="41"/>
        <v>0</v>
      </c>
      <c r="F55" s="149"/>
      <c r="G55" s="150"/>
      <c r="H55" s="149"/>
      <c r="I55" s="150"/>
      <c r="J55" s="149"/>
      <c r="K55" s="150"/>
      <c r="L55" s="149"/>
      <c r="M55" s="150"/>
      <c r="N55" s="149"/>
      <c r="O55" s="150"/>
      <c r="P55" s="149"/>
      <c r="Q55" s="150"/>
      <c r="R55" s="149"/>
      <c r="S55" s="150"/>
      <c r="T55" s="149"/>
      <c r="U55" s="153"/>
      <c r="V55" s="154"/>
      <c r="W55" s="150"/>
      <c r="X55" s="149"/>
      <c r="Y55" s="150"/>
      <c r="Z55" s="149"/>
      <c r="AA55" s="150"/>
      <c r="AB55" s="48" t="str">
        <f t="shared" si="42"/>
        <v/>
      </c>
      <c r="CA55" s="80" t="str">
        <f>IF(SUM($C53:$C55)&gt;$C15,"* La suma de adultos mayores con Riesgo de caída TIMED UP AND GO deben ser menor o igual al SUBTOTAL (EFAM) de la sección A. ","")</f>
        <v/>
      </c>
      <c r="CB55" s="80" t="str">
        <f>IF(AND($D55&gt;0,OR(V55=""))," * No olvide digitar la variable Pueblos Originarios Hombres. Digite Cero si no tiene.",IF(V55&gt;$D55," * La variable Pueblos Originarios Hombres no puede ser Mayor al Total Hombres.",""))</f>
        <v/>
      </c>
      <c r="CC55" s="80" t="str">
        <f t="shared" si="44"/>
        <v/>
      </c>
      <c r="CD55" s="80" t="str">
        <f t="shared" si="45"/>
        <v/>
      </c>
      <c r="CE55" s="80" t="str">
        <f t="shared" si="46"/>
        <v/>
      </c>
      <c r="CF55" s="80" t="str">
        <f t="shared" si="47"/>
        <v/>
      </c>
      <c r="CG55" s="80" t="str">
        <f t="shared" si="48"/>
        <v/>
      </c>
      <c r="CM55" s="287">
        <f>IF(SUM($C53:$C55)&gt;$C15,1,0)</f>
        <v>0</v>
      </c>
      <c r="CN55" s="287">
        <f t="shared" si="35"/>
        <v>0</v>
      </c>
      <c r="CO55" s="287">
        <f t="shared" si="36"/>
        <v>0</v>
      </c>
      <c r="CP55" s="287">
        <f t="shared" si="37"/>
        <v>0</v>
      </c>
      <c r="CQ55" s="287">
        <f t="shared" si="38"/>
        <v>0</v>
      </c>
      <c r="CR55" s="287">
        <f t="shared" si="49"/>
        <v>0</v>
      </c>
      <c r="CS55" s="287">
        <f t="shared" si="39"/>
        <v>0</v>
      </c>
      <c r="CT55" s="287">
        <f t="shared" si="40"/>
        <v>0</v>
      </c>
    </row>
    <row r="56" spans="1:98" ht="15" customHeight="1" x14ac:dyDescent="0.25">
      <c r="A56" s="2204" t="s">
        <v>597</v>
      </c>
      <c r="B56" s="246" t="s">
        <v>598</v>
      </c>
      <c r="C56" s="343">
        <f>SUM(D56:E56)</f>
        <v>0</v>
      </c>
      <c r="D56" s="341">
        <f>+F56+H56+J56+L56+N56+P56+R56+T56</f>
        <v>0</v>
      </c>
      <c r="E56" s="179">
        <f t="shared" si="41"/>
        <v>0</v>
      </c>
      <c r="F56" s="180"/>
      <c r="G56" s="181"/>
      <c r="H56" s="180"/>
      <c r="I56" s="181"/>
      <c r="J56" s="180"/>
      <c r="K56" s="181"/>
      <c r="L56" s="180"/>
      <c r="M56" s="181"/>
      <c r="N56" s="180"/>
      <c r="O56" s="181"/>
      <c r="P56" s="180"/>
      <c r="Q56" s="181"/>
      <c r="R56" s="180"/>
      <c r="S56" s="181"/>
      <c r="T56" s="180"/>
      <c r="U56" s="244"/>
      <c r="V56" s="243"/>
      <c r="W56" s="181"/>
      <c r="X56" s="180"/>
      <c r="Y56" s="181"/>
      <c r="Z56" s="180"/>
      <c r="AA56" s="181"/>
      <c r="AB56" s="48" t="str">
        <f t="shared" si="42"/>
        <v/>
      </c>
      <c r="CB56" s="80" t="str">
        <f t="shared" si="43"/>
        <v/>
      </c>
      <c r="CC56" s="80" t="str">
        <f t="shared" si="44"/>
        <v/>
      </c>
      <c r="CD56" s="80" t="str">
        <f t="shared" si="45"/>
        <v/>
      </c>
      <c r="CE56" s="80" t="str">
        <f t="shared" si="46"/>
        <v/>
      </c>
      <c r="CF56" s="80" t="str">
        <f t="shared" si="47"/>
        <v/>
      </c>
      <c r="CG56" s="80" t="str">
        <f t="shared" si="48"/>
        <v/>
      </c>
      <c r="CN56" s="287">
        <f t="shared" si="35"/>
        <v>0</v>
      </c>
      <c r="CO56" s="287">
        <f t="shared" si="36"/>
        <v>0</v>
      </c>
      <c r="CP56" s="287">
        <f t="shared" si="37"/>
        <v>0</v>
      </c>
      <c r="CQ56" s="287">
        <f t="shared" si="38"/>
        <v>0</v>
      </c>
      <c r="CR56" s="287">
        <f t="shared" si="49"/>
        <v>0</v>
      </c>
      <c r="CS56" s="287">
        <f t="shared" si="39"/>
        <v>0</v>
      </c>
      <c r="CT56" s="287">
        <f t="shared" si="40"/>
        <v>0</v>
      </c>
    </row>
    <row r="57" spans="1:98" ht="15" customHeight="1" x14ac:dyDescent="0.25">
      <c r="A57" s="2205"/>
      <c r="B57" s="245" t="s">
        <v>599</v>
      </c>
      <c r="C57" s="344">
        <f>SUM(D57:E57)</f>
        <v>0</v>
      </c>
      <c r="D57" s="342">
        <f>+F57+H57+J57+L57+N57+P57+R57+T57</f>
        <v>0</v>
      </c>
      <c r="E57" s="182">
        <f t="shared" si="41"/>
        <v>0</v>
      </c>
      <c r="F57" s="149"/>
      <c r="G57" s="150"/>
      <c r="H57" s="149"/>
      <c r="I57" s="150"/>
      <c r="J57" s="149"/>
      <c r="K57" s="150"/>
      <c r="L57" s="149"/>
      <c r="M57" s="150"/>
      <c r="N57" s="149"/>
      <c r="O57" s="150"/>
      <c r="P57" s="149"/>
      <c r="Q57" s="150"/>
      <c r="R57" s="149"/>
      <c r="S57" s="150"/>
      <c r="T57" s="149"/>
      <c r="U57" s="153"/>
      <c r="V57" s="154"/>
      <c r="W57" s="150"/>
      <c r="X57" s="149"/>
      <c r="Y57" s="150"/>
      <c r="Z57" s="149"/>
      <c r="AA57" s="150"/>
      <c r="AB57" s="48" t="str">
        <f>CA57&amp;CB57&amp;CC57&amp;CD57&amp;CE57&amp;CF57&amp;CG57</f>
        <v/>
      </c>
      <c r="CB57" s="80" t="str">
        <f t="shared" si="43"/>
        <v/>
      </c>
      <c r="CC57" s="80" t="str">
        <f t="shared" si="44"/>
        <v/>
      </c>
      <c r="CD57" s="80" t="str">
        <f t="shared" si="45"/>
        <v/>
      </c>
      <c r="CE57" s="80" t="str">
        <f t="shared" si="46"/>
        <v/>
      </c>
      <c r="CF57" s="80" t="str">
        <f t="shared" si="47"/>
        <v/>
      </c>
      <c r="CG57" s="80" t="str">
        <f t="shared" si="48"/>
        <v/>
      </c>
      <c r="CN57" s="287">
        <f t="shared" si="35"/>
        <v>0</v>
      </c>
      <c r="CO57" s="287">
        <f t="shared" si="36"/>
        <v>0</v>
      </c>
      <c r="CP57" s="287">
        <f t="shared" si="37"/>
        <v>0</v>
      </c>
      <c r="CQ57" s="287">
        <f t="shared" si="38"/>
        <v>0</v>
      </c>
      <c r="CR57" s="287">
        <f t="shared" si="49"/>
        <v>0</v>
      </c>
      <c r="CS57" s="287">
        <f t="shared" si="39"/>
        <v>0</v>
      </c>
      <c r="CT57" s="287">
        <f t="shared" si="40"/>
        <v>0</v>
      </c>
    </row>
    <row r="59" spans="1:98" ht="12.75" customHeight="1" x14ac:dyDescent="0.25"/>
    <row r="81" spans="1:51" ht="22.5" hidden="1" customHeight="1" x14ac:dyDescent="0.15">
      <c r="A81" s="403">
        <f>SUM(C12:C14,C16:C19, C26:C28,C34:C37,C43:C43,C48:C48,C53:C57)</f>
        <v>0</v>
      </c>
      <c r="B81" s="78" t="s">
        <v>204</v>
      </c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</row>
    <row r="82" spans="1:51" ht="15.75" hidden="1" customHeight="1" x14ac:dyDescent="0.15">
      <c r="A82" s="403">
        <f>SUM(CM12:CT57)</f>
        <v>0</v>
      </c>
      <c r="B82" s="78" t="s">
        <v>205</v>
      </c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</row>
  </sheetData>
  <sheetProtection algorithmName="SHA-512" hashValue="ZJ8UYbkSM5NB+LGdQsWkDj5Fkjbp/8LfoN26EfBUkMaE0NED29DZE8AV5YidJoLGQwnXg7IyPgPPsS/G9NEGRA==" saltValue="HuVeZMZ+dWA2dOrZ7SftBQ==" spinCount="100000" sheet="1" objects="1" scenarios="1"/>
  <mergeCells count="119">
    <mergeCell ref="CB8:CC9"/>
    <mergeCell ref="CD8:CE9"/>
    <mergeCell ref="CF8:CG9"/>
    <mergeCell ref="CO8:CP9"/>
    <mergeCell ref="CQ8:CR9"/>
    <mergeCell ref="CS8:CT9"/>
    <mergeCell ref="A35:B35"/>
    <mergeCell ref="A36:B36"/>
    <mergeCell ref="A9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T24:U24"/>
    <mergeCell ref="V24:W24"/>
    <mergeCell ref="Z31:AA32"/>
    <mergeCell ref="F23:W23"/>
    <mergeCell ref="F9:U9"/>
    <mergeCell ref="Z23:AA24"/>
    <mergeCell ref="H24:I24"/>
    <mergeCell ref="J24:K24"/>
    <mergeCell ref="L24:M24"/>
    <mergeCell ref="N24:O24"/>
    <mergeCell ref="F10:G10"/>
    <mergeCell ref="H10:I10"/>
    <mergeCell ref="J10:K10"/>
    <mergeCell ref="T10:U10"/>
    <mergeCell ref="Z9:AA10"/>
    <mergeCell ref="X23:Y24"/>
    <mergeCell ref="V9:W10"/>
    <mergeCell ref="X9:Y10"/>
    <mergeCell ref="X31:Y32"/>
    <mergeCell ref="V31:W32"/>
    <mergeCell ref="N32:O32"/>
    <mergeCell ref="F24:G24"/>
    <mergeCell ref="T32:U32"/>
    <mergeCell ref="H32:I32"/>
    <mergeCell ref="C31:E32"/>
    <mergeCell ref="A31:B33"/>
    <mergeCell ref="C23:E24"/>
    <mergeCell ref="J32:K32"/>
    <mergeCell ref="L32:M32"/>
    <mergeCell ref="P32:Q32"/>
    <mergeCell ref="R32:S32"/>
    <mergeCell ref="F31:U31"/>
    <mergeCell ref="F32:G32"/>
    <mergeCell ref="A23:B25"/>
    <mergeCell ref="A26:B26"/>
    <mergeCell ref="A27:B27"/>
    <mergeCell ref="A28:B28"/>
    <mergeCell ref="A29:B29"/>
    <mergeCell ref="R24:S24"/>
    <mergeCell ref="A43:B43"/>
    <mergeCell ref="A45:B47"/>
    <mergeCell ref="A56:A57"/>
    <mergeCell ref="C50:E51"/>
    <mergeCell ref="A53:A55"/>
    <mergeCell ref="A49:I49"/>
    <mergeCell ref="A44:H44"/>
    <mergeCell ref="H46:I46"/>
    <mergeCell ref="F45:U45"/>
    <mergeCell ref="P51:Q51"/>
    <mergeCell ref="R51:S51"/>
    <mergeCell ref="T51:U51"/>
    <mergeCell ref="L51:M51"/>
    <mergeCell ref="F50:U50"/>
    <mergeCell ref="B50:B52"/>
    <mergeCell ref="N51:O51"/>
    <mergeCell ref="N46:O46"/>
    <mergeCell ref="P46:Q46"/>
    <mergeCell ref="R46:S46"/>
    <mergeCell ref="T46:U46"/>
    <mergeCell ref="A48:B48"/>
    <mergeCell ref="C9:E10"/>
    <mergeCell ref="N41:O41"/>
    <mergeCell ref="N10:O10"/>
    <mergeCell ref="L10:M10"/>
    <mergeCell ref="P10:Q10"/>
    <mergeCell ref="R10:S10"/>
    <mergeCell ref="P24:Q24"/>
    <mergeCell ref="C40:E41"/>
    <mergeCell ref="A39:G39"/>
    <mergeCell ref="F40:U40"/>
    <mergeCell ref="A37:B37"/>
    <mergeCell ref="A38:B38"/>
    <mergeCell ref="A34:B34"/>
    <mergeCell ref="F41:G41"/>
    <mergeCell ref="J41:K41"/>
    <mergeCell ref="H41:I41"/>
    <mergeCell ref="A7:U7"/>
    <mergeCell ref="CV31:CV32"/>
    <mergeCell ref="Z50:AA51"/>
    <mergeCell ref="V50:W51"/>
    <mergeCell ref="X50:Y51"/>
    <mergeCell ref="P41:Q41"/>
    <mergeCell ref="R41:S41"/>
    <mergeCell ref="T41:U41"/>
    <mergeCell ref="V40:W41"/>
    <mergeCell ref="X40:Y41"/>
    <mergeCell ref="V45:W46"/>
    <mergeCell ref="X45:Y46"/>
    <mergeCell ref="Z40:AA41"/>
    <mergeCell ref="Z45:AA46"/>
    <mergeCell ref="A50:A52"/>
    <mergeCell ref="F46:G46"/>
    <mergeCell ref="F51:G51"/>
    <mergeCell ref="J51:K51"/>
    <mergeCell ref="J46:K46"/>
    <mergeCell ref="L46:M46"/>
    <mergeCell ref="H51:I51"/>
    <mergeCell ref="L41:M41"/>
    <mergeCell ref="C45:E46"/>
    <mergeCell ref="A40:B42"/>
  </mergeCells>
  <phoneticPr fontId="26" type="noConversion"/>
  <dataValidations count="3">
    <dataValidation type="whole" allowBlank="1" showInputMessage="1" showErrorMessage="1" sqref="F26:F28" xr:uid="{00000000-0002-0000-0500-000000000000}">
      <formula1>0</formula1>
      <formula2>1E+51</formula2>
    </dataValidation>
    <dataValidation allowBlank="1" showInputMessage="1" showErrorMessage="1" errorTitle=" Error de ingreso" error="Debe ingresar sólo números enteros positivos." sqref="BC15:BM15 BC20:BM20 BC29:BL29 BC38:BL38 BC43:BL43 BC48:BL48 BC53:BL53 CB8 CF10:CG10 CB10:CE11 CO8 CD8 CQ8 CO10:CT10" xr:uid="{00000000-0002-0000-0500-000001000000}"/>
    <dataValidation type="whole" operator="greaterThanOrEqual" allowBlank="1" showInputMessage="1" showErrorMessage="1" sqref="F53:AA57 F16:AA19 G26:AA28 F34:AA37 F43:AA43 F48:AA48 F12:AA14" xr:uid="{00000000-0002-0000-0500-000003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3" orientation="landscape" r:id="rId1"/>
  <rowBreaks count="1" manualBreakCount="1">
    <brk id="43" max="15" man="1"/>
  </rowBreaks>
  <ignoredErrors>
    <ignoredError sqref="CR12:CR14 CR17:CR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UL155"/>
  <sheetViews>
    <sheetView showGridLines="0" zoomScaleNormal="100" workbookViewId="0"/>
  </sheetViews>
  <sheetFormatPr baseColWidth="10" defaultColWidth="11.42578125" defaultRowHeight="15" x14ac:dyDescent="0.25"/>
  <cols>
    <col min="1" max="1" width="34.28515625" style="470" customWidth="1"/>
    <col min="2" max="2" width="58.85546875" style="470" customWidth="1"/>
    <col min="3" max="3" width="13.85546875" style="470" customWidth="1"/>
    <col min="4" max="45" width="10.42578125" style="470" customWidth="1"/>
    <col min="46" max="46" width="14.85546875" style="470" customWidth="1"/>
    <col min="47" max="47" width="12.42578125" style="470" customWidth="1"/>
    <col min="48" max="52" width="11.42578125" style="470"/>
    <col min="53" max="54" width="11" style="470" customWidth="1"/>
    <col min="78" max="79" width="11.42578125" hidden="1" customWidth="1"/>
    <col min="80" max="97" width="11" style="470" hidden="1" customWidth="1"/>
    <col min="98" max="100" width="11" hidden="1" customWidth="1"/>
    <col min="101" max="103" width="11" style="470" hidden="1" customWidth="1"/>
    <col min="104" max="116" width="11" style="470" customWidth="1"/>
    <col min="117" max="119" width="11" customWidth="1"/>
    <col min="120" max="122" width="11" style="470" customWidth="1"/>
    <col min="123" max="131" width="11.42578125" style="470" customWidth="1"/>
    <col min="132" max="16384" width="11.42578125" style="470"/>
  </cols>
  <sheetData>
    <row r="1" spans="1:126" s="468" customFormat="1" ht="13.5" customHeight="1" x14ac:dyDescent="0.15">
      <c r="A1" s="466" t="s">
        <v>0</v>
      </c>
    </row>
    <row r="2" spans="1:126" s="468" customFormat="1" ht="13.5" customHeight="1" x14ac:dyDescent="0.15">
      <c r="A2" s="466" t="str">
        <f>CONCATENATE("COMUNA: ",NOMBRE!$B$2,"   ","( ",NOMBRE!$C$2,NOMBRE!$D$2,NOMBRE!$E$2,NOMBRE!$F$2,NOMBRE!$G$2," )")</f>
        <v>COMUNA:    (  )</v>
      </c>
    </row>
    <row r="3" spans="1:126" s="468" customFormat="1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  <c r="C3" s="1089"/>
    </row>
    <row r="4" spans="1:126" s="468" customFormat="1" ht="13.5" customHeight="1" x14ac:dyDescent="0.15">
      <c r="A4" s="466" t="str">
        <f>CONCATENATE("MES: ",NOMBRE!$B$6,"   ","( ",NOMBRE!$C$6,NOMBRE!$D$6," )")</f>
        <v>MES:    (  )</v>
      </c>
    </row>
    <row r="5" spans="1:126" s="468" customFormat="1" ht="13.5" customHeight="1" x14ac:dyDescent="0.15">
      <c r="A5" s="466" t="str">
        <f>CONCATENATE("AÑO: ",NOMBRE!$B$7)</f>
        <v>AÑO: 2026</v>
      </c>
    </row>
    <row r="6" spans="1:126" s="468" customFormat="1" ht="15" customHeight="1" x14ac:dyDescent="0.15">
      <c r="A6" s="1090"/>
    </row>
    <row r="7" spans="1:126" ht="21.75" customHeight="1" x14ac:dyDescent="0.25">
      <c r="A7" s="2348" t="s">
        <v>600</v>
      </c>
      <c r="B7" s="2348"/>
      <c r="C7" s="2348"/>
      <c r="D7" s="2348"/>
      <c r="E7" s="2348"/>
      <c r="F7" s="2348"/>
      <c r="G7" s="2348"/>
      <c r="H7" s="2348"/>
      <c r="I7" s="2348"/>
      <c r="J7" s="2348"/>
      <c r="K7" s="2348"/>
      <c r="L7" s="2348"/>
      <c r="M7" s="2348"/>
      <c r="N7" s="2348"/>
      <c r="O7" s="2348"/>
      <c r="P7" s="2348"/>
      <c r="Q7" s="2348"/>
      <c r="R7" s="2348"/>
      <c r="S7" s="2348"/>
      <c r="T7" s="2348"/>
      <c r="U7" s="2348"/>
    </row>
    <row r="8" spans="1:126" ht="17.100000000000001" customHeight="1" x14ac:dyDescent="0.25">
      <c r="A8" s="1233" t="s">
        <v>601</v>
      </c>
      <c r="B8" s="1234"/>
      <c r="C8" s="1234"/>
      <c r="D8" s="1234"/>
      <c r="E8" s="1234"/>
      <c r="F8" s="1234"/>
      <c r="G8" s="1234"/>
      <c r="H8" s="1235"/>
      <c r="I8" s="1235"/>
      <c r="J8" s="1235"/>
      <c r="K8" s="1235"/>
      <c r="L8" s="1235"/>
      <c r="M8" s="1235"/>
      <c r="N8" s="1235"/>
      <c r="O8" s="1235"/>
      <c r="P8" s="1235"/>
      <c r="Q8" s="1235"/>
      <c r="R8" s="1235"/>
      <c r="S8" s="1235"/>
      <c r="T8" s="1235"/>
      <c r="U8" s="1235"/>
    </row>
    <row r="9" spans="1:126" ht="17.100000000000001" customHeight="1" x14ac:dyDescent="0.25">
      <c r="A9" s="2354" t="s">
        <v>602</v>
      </c>
      <c r="B9" s="2354"/>
      <c r="C9" s="2354"/>
      <c r="D9" s="2354"/>
      <c r="E9" s="2354"/>
      <c r="F9" s="2354"/>
      <c r="G9" s="2354"/>
      <c r="H9" s="2349"/>
      <c r="I9" s="2349"/>
      <c r="J9" s="2349"/>
      <c r="K9" s="2349"/>
      <c r="L9" s="2349"/>
      <c r="M9" s="2349"/>
      <c r="N9" s="2349"/>
      <c r="O9" s="2349"/>
      <c r="P9" s="1892"/>
      <c r="Q9" s="1892"/>
      <c r="R9" s="1892"/>
      <c r="S9" s="1892"/>
      <c r="T9" s="1892"/>
      <c r="U9" s="1892"/>
      <c r="V9" s="1892"/>
      <c r="W9" s="1892"/>
      <c r="X9" s="1892"/>
      <c r="Y9" s="1892"/>
      <c r="Z9" s="1892"/>
      <c r="AA9" s="1892"/>
      <c r="AB9" s="1892"/>
      <c r="AC9" s="1892"/>
      <c r="AD9" s="1892"/>
      <c r="AE9" s="1892"/>
      <c r="AF9" s="1892"/>
      <c r="AG9" s="1892"/>
      <c r="AH9" s="1892"/>
      <c r="AI9" s="1892"/>
      <c r="AJ9" s="1892"/>
      <c r="AK9" s="1892"/>
      <c r="AL9" s="1892"/>
      <c r="AM9" s="1892"/>
    </row>
    <row r="10" spans="1:126" ht="15" customHeight="1" x14ac:dyDescent="0.25">
      <c r="A10" s="2128" t="s">
        <v>435</v>
      </c>
      <c r="B10" s="2132"/>
      <c r="C10" s="2140" t="s">
        <v>603</v>
      </c>
      <c r="D10" s="2140"/>
      <c r="E10" s="2140"/>
      <c r="F10" s="2355" t="s">
        <v>370</v>
      </c>
      <c r="G10" s="2140"/>
      <c r="H10" s="2140"/>
      <c r="I10" s="2140"/>
      <c r="J10" s="2140"/>
      <c r="K10" s="2140"/>
      <c r="L10" s="2140"/>
      <c r="M10" s="2140"/>
      <c r="N10" s="2140"/>
      <c r="O10" s="2140"/>
      <c r="P10" s="2140"/>
      <c r="Q10" s="2140"/>
      <c r="R10" s="2140"/>
      <c r="S10" s="2140"/>
      <c r="T10" s="2140"/>
      <c r="U10" s="2140"/>
      <c r="V10" s="2140"/>
      <c r="W10" s="2140"/>
      <c r="X10" s="2140"/>
      <c r="Y10" s="2140"/>
      <c r="Z10" s="2140"/>
      <c r="AA10" s="2140"/>
      <c r="AB10" s="2140"/>
      <c r="AC10" s="2140"/>
      <c r="AD10" s="2140"/>
      <c r="AE10" s="2140"/>
      <c r="AF10" s="2140"/>
      <c r="AG10" s="2140"/>
      <c r="AH10" s="2140"/>
      <c r="AI10" s="2140"/>
      <c r="AJ10" s="2140"/>
      <c r="AK10" s="2140"/>
      <c r="AL10" s="2140"/>
      <c r="AM10" s="2081"/>
      <c r="AN10" s="2359" t="s">
        <v>604</v>
      </c>
      <c r="AO10" s="2366" t="s">
        <v>605</v>
      </c>
      <c r="AP10" s="1904" t="s">
        <v>51</v>
      </c>
      <c r="AQ10" s="1846"/>
      <c r="AR10" s="1904" t="s">
        <v>52</v>
      </c>
      <c r="AS10" s="1846"/>
      <c r="AT10" s="2366" t="s">
        <v>899</v>
      </c>
      <c r="AU10" s="2366" t="s">
        <v>898</v>
      </c>
      <c r="AV10" s="2360" t="s">
        <v>606</v>
      </c>
      <c r="AW10" s="2364" t="s">
        <v>607</v>
      </c>
      <c r="AX10" s="2360"/>
      <c r="DM10" s="470"/>
      <c r="DP10"/>
      <c r="DQ10"/>
    </row>
    <row r="11" spans="1:126" s="472" customFormat="1" ht="15" customHeight="1" x14ac:dyDescent="0.25">
      <c r="A11" s="2350"/>
      <c r="B11" s="2351"/>
      <c r="C11" s="2140"/>
      <c r="D11" s="2140"/>
      <c r="E11" s="2140"/>
      <c r="F11" s="2082" t="s">
        <v>394</v>
      </c>
      <c r="G11" s="2081"/>
      <c r="H11" s="2140" t="s">
        <v>395</v>
      </c>
      <c r="I11" s="2081"/>
      <c r="J11" s="1841" t="s">
        <v>314</v>
      </c>
      <c r="K11" s="1843"/>
      <c r="L11" s="1841" t="s">
        <v>57</v>
      </c>
      <c r="M11" s="1843"/>
      <c r="N11" s="1841" t="s">
        <v>58</v>
      </c>
      <c r="O11" s="1843"/>
      <c r="P11" s="1841" t="s">
        <v>59</v>
      </c>
      <c r="Q11" s="1843"/>
      <c r="R11" s="1841" t="s">
        <v>60</v>
      </c>
      <c r="S11" s="1843"/>
      <c r="T11" s="1841" t="s">
        <v>61</v>
      </c>
      <c r="U11" s="1843"/>
      <c r="V11" s="1841" t="s">
        <v>62</v>
      </c>
      <c r="W11" s="1843"/>
      <c r="X11" s="1841" t="s">
        <v>63</v>
      </c>
      <c r="Y11" s="1843"/>
      <c r="Z11" s="1841" t="s">
        <v>64</v>
      </c>
      <c r="AA11" s="1843"/>
      <c r="AB11" s="1841" t="s">
        <v>65</v>
      </c>
      <c r="AC11" s="1843"/>
      <c r="AD11" s="1841" t="s">
        <v>66</v>
      </c>
      <c r="AE11" s="1843"/>
      <c r="AF11" s="2083" t="s">
        <v>67</v>
      </c>
      <c r="AG11" s="2084"/>
      <c r="AH11" s="2083" t="s">
        <v>396</v>
      </c>
      <c r="AI11" s="2084"/>
      <c r="AJ11" s="2083" t="s">
        <v>397</v>
      </c>
      <c r="AK11" s="2084"/>
      <c r="AL11" s="2356" t="s">
        <v>398</v>
      </c>
      <c r="AM11" s="2357"/>
      <c r="AN11" s="2372"/>
      <c r="AO11" s="2367"/>
      <c r="AP11" s="1892"/>
      <c r="AQ11" s="1847"/>
      <c r="AR11" s="1892"/>
      <c r="AS11" s="1847"/>
      <c r="AT11" s="2367"/>
      <c r="AU11" s="2367"/>
      <c r="AV11" s="2373"/>
      <c r="AW11" s="2365"/>
      <c r="AX11" s="2362"/>
      <c r="AY11" s="470"/>
      <c r="AZ11" s="470"/>
      <c r="BA11" s="470"/>
      <c r="BB11" s="470"/>
      <c r="CA11" s="1848" t="s">
        <v>604</v>
      </c>
      <c r="CB11" s="1848" t="s">
        <v>608</v>
      </c>
      <c r="CC11" s="1841" t="s">
        <v>609</v>
      </c>
      <c r="CD11" s="1843"/>
      <c r="CE11" s="1841" t="s">
        <v>610</v>
      </c>
      <c r="CF11" s="1843"/>
      <c r="CG11" s="1848" t="s">
        <v>611</v>
      </c>
      <c r="CH11" s="1848" t="s">
        <v>612</v>
      </c>
      <c r="CI11" s="2369" t="s">
        <v>606</v>
      </c>
      <c r="CJ11" s="1841" t="s">
        <v>613</v>
      </c>
      <c r="CK11" s="1843"/>
      <c r="CL11" s="470"/>
      <c r="CM11" s="982"/>
      <c r="CN11" s="1848" t="s">
        <v>604</v>
      </c>
      <c r="CO11" s="1848" t="s">
        <v>608</v>
      </c>
      <c r="CP11" s="1841" t="s">
        <v>609</v>
      </c>
      <c r="CQ11" s="1843"/>
      <c r="CR11" s="1841" t="s">
        <v>610</v>
      </c>
      <c r="CS11" s="1843"/>
      <c r="CT11" s="1848" t="s">
        <v>611</v>
      </c>
      <c r="CU11" s="1848" t="s">
        <v>612</v>
      </c>
      <c r="CV11" s="1848" t="s">
        <v>606</v>
      </c>
      <c r="CW11" s="1841" t="s">
        <v>614</v>
      </c>
      <c r="CX11" s="1843"/>
      <c r="CY11" s="982"/>
      <c r="DK11" s="982"/>
      <c r="DL11" s="982"/>
      <c r="DM11" s="982"/>
      <c r="DN11" s="982"/>
      <c r="DO11" s="982"/>
      <c r="DP11" s="982"/>
      <c r="DQ11" s="982"/>
      <c r="DR11" s="982"/>
      <c r="DS11" s="982"/>
      <c r="DT11" s="2371"/>
      <c r="DV11"/>
    </row>
    <row r="12" spans="1:126" s="472" customFormat="1" ht="38.25" customHeight="1" x14ac:dyDescent="0.25">
      <c r="A12" s="2352"/>
      <c r="B12" s="2353"/>
      <c r="C12" s="1236" t="s">
        <v>224</v>
      </c>
      <c r="D12" s="480" t="s">
        <v>86</v>
      </c>
      <c r="E12" s="1104" t="s">
        <v>225</v>
      </c>
      <c r="F12" s="1103" t="s">
        <v>86</v>
      </c>
      <c r="G12" s="1104" t="s">
        <v>225</v>
      </c>
      <c r="H12" s="1103" t="s">
        <v>86</v>
      </c>
      <c r="I12" s="1104" t="s">
        <v>225</v>
      </c>
      <c r="J12" s="1103" t="s">
        <v>86</v>
      </c>
      <c r="K12" s="1104" t="s">
        <v>225</v>
      </c>
      <c r="L12" s="1103" t="s">
        <v>86</v>
      </c>
      <c r="M12" s="1104" t="s">
        <v>225</v>
      </c>
      <c r="N12" s="1103" t="s">
        <v>86</v>
      </c>
      <c r="O12" s="1104" t="s">
        <v>225</v>
      </c>
      <c r="P12" s="1103" t="s">
        <v>86</v>
      </c>
      <c r="Q12" s="1104" t="s">
        <v>225</v>
      </c>
      <c r="R12" s="1103" t="s">
        <v>86</v>
      </c>
      <c r="S12" s="1104" t="s">
        <v>225</v>
      </c>
      <c r="T12" s="1103" t="s">
        <v>86</v>
      </c>
      <c r="U12" s="1104" t="s">
        <v>225</v>
      </c>
      <c r="V12" s="1103" t="s">
        <v>86</v>
      </c>
      <c r="W12" s="1104" t="s">
        <v>225</v>
      </c>
      <c r="X12" s="1103" t="s">
        <v>86</v>
      </c>
      <c r="Y12" s="1104" t="s">
        <v>225</v>
      </c>
      <c r="Z12" s="1103" t="s">
        <v>86</v>
      </c>
      <c r="AA12" s="1104" t="s">
        <v>225</v>
      </c>
      <c r="AB12" s="1103" t="s">
        <v>86</v>
      </c>
      <c r="AC12" s="1104" t="s">
        <v>225</v>
      </c>
      <c r="AD12" s="1103" t="s">
        <v>86</v>
      </c>
      <c r="AE12" s="1104" t="s">
        <v>225</v>
      </c>
      <c r="AF12" s="1105" t="s">
        <v>400</v>
      </c>
      <c r="AG12" s="1106" t="s">
        <v>225</v>
      </c>
      <c r="AH12" s="1105" t="s">
        <v>400</v>
      </c>
      <c r="AI12" s="1106" t="s">
        <v>225</v>
      </c>
      <c r="AJ12" s="1105" t="s">
        <v>400</v>
      </c>
      <c r="AK12" s="1106" t="s">
        <v>225</v>
      </c>
      <c r="AL12" s="1237" t="s">
        <v>86</v>
      </c>
      <c r="AM12" s="1238" t="s">
        <v>225</v>
      </c>
      <c r="AN12" s="2361"/>
      <c r="AO12" s="2368"/>
      <c r="AP12" s="480" t="s">
        <v>86</v>
      </c>
      <c r="AQ12" s="660" t="s">
        <v>225</v>
      </c>
      <c r="AR12" s="480" t="s">
        <v>86</v>
      </c>
      <c r="AS12" s="660" t="s">
        <v>225</v>
      </c>
      <c r="AT12" s="2368"/>
      <c r="AU12" s="2368"/>
      <c r="AV12" s="2362"/>
      <c r="AW12" s="1239" t="s">
        <v>615</v>
      </c>
      <c r="AX12" s="1239" t="s">
        <v>616</v>
      </c>
      <c r="AY12" s="470"/>
      <c r="AZ12" s="470"/>
      <c r="BA12" s="470"/>
      <c r="BB12" s="470"/>
      <c r="CA12" s="1849"/>
      <c r="CB12" s="1849"/>
      <c r="CC12" s="1206" t="s">
        <v>86</v>
      </c>
      <c r="CD12" s="1206" t="s">
        <v>225</v>
      </c>
      <c r="CE12" s="1206" t="s">
        <v>86</v>
      </c>
      <c r="CF12" s="1206" t="s">
        <v>225</v>
      </c>
      <c r="CG12" s="1849"/>
      <c r="CH12" s="1849"/>
      <c r="CI12" s="2370"/>
      <c r="CJ12" s="1206" t="s">
        <v>615</v>
      </c>
      <c r="CK12" s="1206" t="s">
        <v>617</v>
      </c>
      <c r="CL12" s="470"/>
      <c r="CM12" s="487"/>
      <c r="CN12" s="1849"/>
      <c r="CO12" s="1849"/>
      <c r="CP12" s="1206" t="s">
        <v>86</v>
      </c>
      <c r="CQ12" s="1206" t="s">
        <v>225</v>
      </c>
      <c r="CR12" s="1206" t="s">
        <v>86</v>
      </c>
      <c r="CS12" s="1206" t="s">
        <v>225</v>
      </c>
      <c r="CT12" s="1849"/>
      <c r="CU12" s="1849"/>
      <c r="CV12" s="1849"/>
      <c r="CW12" s="1206" t="s">
        <v>615</v>
      </c>
      <c r="CX12" s="1206" t="s">
        <v>617</v>
      </c>
      <c r="CY12" s="487"/>
      <c r="DK12" s="487"/>
      <c r="DL12" s="487"/>
      <c r="DM12" s="487"/>
      <c r="DN12" s="487"/>
      <c r="DO12" s="487"/>
      <c r="DP12" s="487"/>
      <c r="DQ12" s="487"/>
      <c r="DR12" s="982"/>
      <c r="DS12" s="982"/>
      <c r="DT12" s="2371"/>
      <c r="DV12"/>
    </row>
    <row r="13" spans="1:126" s="472" customFormat="1" ht="15" customHeight="1" x14ac:dyDescent="0.25">
      <c r="A13" s="2297" t="s">
        <v>618</v>
      </c>
      <c r="B13" s="2307"/>
      <c r="C13" s="1240">
        <f>SUM(D13:E13)</f>
        <v>0</v>
      </c>
      <c r="D13" s="1241">
        <f>+F13+H13+J13+L13+N13+P13+R13+T13+V13+X13+Z13+AB13+AD13+AF13+AH13+AJ13+AL13</f>
        <v>0</v>
      </c>
      <c r="E13" s="1242">
        <f>+G13+I13+K13+M13+O13+Q13+S13+U13+W13+Y13+AA13+AC13+AE13+AG13+AI13+AK13+AM13</f>
        <v>0</v>
      </c>
      <c r="F13" s="1602"/>
      <c r="G13" s="1603"/>
      <c r="H13" s="1602"/>
      <c r="I13" s="1604"/>
      <c r="J13" s="1605"/>
      <c r="K13" s="1603"/>
      <c r="L13" s="1602"/>
      <c r="M13" s="1604"/>
      <c r="N13" s="1602"/>
      <c r="O13" s="1604"/>
      <c r="P13" s="1602"/>
      <c r="Q13" s="1604"/>
      <c r="R13" s="1602"/>
      <c r="S13" s="1604"/>
      <c r="T13" s="1602"/>
      <c r="U13" s="1604"/>
      <c r="V13" s="1602"/>
      <c r="W13" s="1604"/>
      <c r="X13" s="1605"/>
      <c r="Y13" s="1603"/>
      <c r="Z13" s="1602"/>
      <c r="AA13" s="1604"/>
      <c r="AB13" s="1602"/>
      <c r="AC13" s="1604"/>
      <c r="AD13" s="1602"/>
      <c r="AE13" s="1604"/>
      <c r="AF13" s="1602"/>
      <c r="AG13" s="1604"/>
      <c r="AH13" s="1602"/>
      <c r="AI13" s="1604"/>
      <c r="AJ13" s="1602"/>
      <c r="AK13" s="1604"/>
      <c r="AL13" s="1605"/>
      <c r="AM13" s="1603"/>
      <c r="AN13" s="1606"/>
      <c r="AO13" s="1607"/>
      <c r="AP13" s="1605"/>
      <c r="AQ13" s="1604"/>
      <c r="AR13" s="1605"/>
      <c r="AS13" s="1604"/>
      <c r="AT13" s="1608"/>
      <c r="AU13" s="1608"/>
      <c r="AV13" s="1608"/>
      <c r="AW13" s="1608"/>
      <c r="AX13" s="1608"/>
      <c r="AY13" s="1116" t="str">
        <f>CA13&amp;CB13&amp;CC13&amp;CD13&amp;CE13&amp;CF13&amp;CG13&amp;CH13&amp;CI13&amp;CJ13&amp;CK13</f>
        <v/>
      </c>
      <c r="AZ13" s="787"/>
      <c r="BA13" s="787"/>
      <c r="BB13" s="470"/>
      <c r="CA13" s="620" t="str">
        <f>IF(AND(E13&gt;0,OR(AN13=""))," * No olvide digitar la variable Gestantes. Digite Cero si no tiene.",IF(AN13&gt;E13," * La variable Gestante no puede ser Mayor al Total Mujeres.",""))</f>
        <v/>
      </c>
      <c r="CB13" s="620" t="str">
        <f>IF(AND(E13&gt;0,OR(AO13=""))," * No olvide digitar la variable Madre de hijo menor de 5 años. Digite Cero si no tiene.",IF(AO13&gt;E13," * La variable Madre de hijo menor de 5 años no puede ser Mayor al Total Mujeres.",""))</f>
        <v/>
      </c>
      <c r="CC13" s="620" t="str">
        <f>IF(AND(D13&gt;0,OR(AP13=""))," * No olvide digitar la variable Pueblos Originarios Hombres. Digite Cero si no tiene.",IF(AP13&gt;D13," * La variable Pueblos Originarios Hombres no puede ser Mayor al Total Hombres.",""))</f>
        <v/>
      </c>
      <c r="CD13" s="620" t="str">
        <f>IF(AND(E13&gt;0,OR(AQ13=""))," * No olvide digitar la variable Pueblos Originarios Mujeres. Digite Cero si no tiene.",IF(AQ13&gt;E13," * La variable Pueblos Originarios Mujeres no puede ser Mayor al Total Mujeres.",""))</f>
        <v/>
      </c>
      <c r="CE13" s="620" t="str">
        <f>IF(AND($D13&gt;0,OR(AR13=""))," * No olvide digitar la variable Migrantes Hombres. Digite Cero si no tiene.",IF(AR13&gt;$D13," * La variable Migrantes Hombres no puede ser Mayor al Total Hombres.",""))</f>
        <v/>
      </c>
      <c r="CF13" s="620" t="str">
        <f>IF(AND($E13&gt;0,OR(AS13=""))," * No olvide digitar la variable Migrantes Mujeres. Digite Cero si no tiene.",IF(AS13&gt;$E13," * La variable Migrantes Mujeres no puede ser Mayor al Total Mujeres.",""))</f>
        <v/>
      </c>
      <c r="CG13" s="620" t="str">
        <f>IF(AND($C13&gt;0,OR(AT13=""))," * No olvide digitar la variable "&amp;AT$10&amp;". Digite Cero si no tiene.",IF(AT13&gt;$C13," * La variable Niños, Niñas, Adolescentes y Jóvenes SENAME no puede ser Mayor al Total ambos sexos.",""))</f>
        <v/>
      </c>
      <c r="CH13" s="620" t="str">
        <f>IF(AND($C13&gt;0,OR(AU13=""))," * No olvide digitar la variable "&amp;AU$10&amp;" Niñez. Digite Cero si no tiene.",IF(AU13&gt;$C13," * La variable"&amp;AU$10&amp;"no puede ser Mayor al Total ambos sexos.",""))</f>
        <v/>
      </c>
      <c r="CI13" s="620" t="str">
        <f>IF(AND(C13&gt;0,OR(AV13=""))," * No olvide digitar la variable Plan Cuidado Integral Elaborado. Digite Cero si no tiene.",IF($AV13&gt;$C13,"* La variable Plan Cuidado Integral Elaborado debe ser menor o igual al Total de Personas en control. ",""))</f>
        <v/>
      </c>
      <c r="CJ13" s="620" t="str">
        <f>IF(AND(E13&gt;0,OR(AW13=""))," * No olvide digitar la variable Trans Masculino. (Digite Cero si no tiene).",IF(AW13&gt;E13," * La variable Trans Masculino no debe ser mayor al Total Mujeres.",""))</f>
        <v/>
      </c>
      <c r="CK13" s="620" t="str">
        <f>IF(AND(D13&gt;0,OR(AX13=""))," * No olvide digitar la variable Trans Femenino. (Digite Cero si no tiene).",IF(AX13&gt;D13," * La variable Trans Femenino no debe ser mayor al Total Hombre.",""))</f>
        <v/>
      </c>
      <c r="CL13" s="470"/>
      <c r="CM13" s="470"/>
      <c r="CN13" s="501">
        <f>IF(AND($E13&gt;0,OR(AN13="")),1,IF(AN13&gt;$E13,1,0))</f>
        <v>0</v>
      </c>
      <c r="CO13" s="501">
        <f>IF(AND($E13&gt;0,OR(AO13="")),1,IF(AO13&gt;$E13,1,0))</f>
        <v>0</v>
      </c>
      <c r="CP13" s="501">
        <f>IF(AND($D13&gt;0,OR(AP13="")),1,IF(AP13&gt;$D13,1,0))</f>
        <v>0</v>
      </c>
      <c r="CQ13" s="501">
        <f>IF(AND($E13&gt;0,OR(AQ13="")),1,IF(AQ13&gt;$E13,1,0))</f>
        <v>0</v>
      </c>
      <c r="CR13" s="501">
        <f>IF(AND($D13&gt;0,OR(AR13="")),1,IF(AR13&gt;$D13,1,0))</f>
        <v>0</v>
      </c>
      <c r="CS13" s="501">
        <f>IF(AND($E13&gt;0,OR(AS13="")),1,IF(AS13&gt;$E13,1,0))</f>
        <v>0</v>
      </c>
      <c r="CT13" s="501">
        <f>IF(AND($C13&gt;0,OR(AT13="")),1,IF(AT13&gt;$C13,1,0))</f>
        <v>0</v>
      </c>
      <c r="CU13" s="501">
        <f>IF(AND($C13&gt;0,OR(AU13="")),1,IF(AU13&gt;$C13,1,0))</f>
        <v>0</v>
      </c>
      <c r="CV13" s="501">
        <f>IF(AND($C13&gt;0,OR(AV13="")),1,IF(AV13&gt;$C13,1,0))</f>
        <v>0</v>
      </c>
      <c r="CW13" s="501">
        <f>IF(AND(E13&gt;0,OR(AW13="")),1,IF(AW13&gt;$E13,1,0))</f>
        <v>0</v>
      </c>
      <c r="CX13" s="501">
        <f>IF(AND(D13&gt;0,OR(AX13="")),1,IF(AX13&gt;$D13,1,0))</f>
        <v>0</v>
      </c>
      <c r="CY13" s="470"/>
      <c r="DK13" s="470"/>
      <c r="DL13" s="470"/>
      <c r="DM13" s="470"/>
      <c r="DN13" s="470"/>
      <c r="DO13" s="470"/>
      <c r="DP13" s="470"/>
      <c r="DQ13" s="470"/>
      <c r="DR13" s="470"/>
      <c r="DS13" s="470"/>
      <c r="DT13" s="470"/>
      <c r="DV13"/>
    </row>
    <row r="14" spans="1:126" s="1168" customFormat="1" ht="15" customHeight="1" x14ac:dyDescent="0.25">
      <c r="A14" s="2308" t="s">
        <v>619</v>
      </c>
      <c r="B14" s="2309"/>
      <c r="C14" s="1243"/>
      <c r="D14" s="1244"/>
      <c r="E14" s="1244"/>
      <c r="F14" s="1244"/>
      <c r="G14" s="1244"/>
      <c r="H14" s="1244"/>
      <c r="I14" s="1244"/>
      <c r="J14" s="1244"/>
      <c r="K14" s="1244"/>
      <c r="L14" s="1244"/>
      <c r="M14" s="1244"/>
      <c r="N14" s="1244"/>
      <c r="O14" s="1244"/>
      <c r="P14" s="1244"/>
      <c r="Q14" s="1244"/>
      <c r="R14" s="1244"/>
      <c r="S14" s="1244"/>
      <c r="T14" s="1244"/>
      <c r="U14" s="1244"/>
      <c r="V14" s="1244"/>
      <c r="W14" s="1244"/>
      <c r="X14" s="1244"/>
      <c r="Y14" s="1244"/>
      <c r="Z14" s="1244"/>
      <c r="AA14" s="1244"/>
      <c r="AB14" s="1244"/>
      <c r="AC14" s="1244"/>
      <c r="AD14" s="1244"/>
      <c r="AE14" s="1244"/>
      <c r="AF14" s="1244"/>
      <c r="AG14" s="1244"/>
      <c r="AH14" s="1244"/>
      <c r="AI14" s="1244"/>
      <c r="AJ14" s="1244"/>
      <c r="AK14" s="1244"/>
      <c r="AL14" s="1244"/>
      <c r="AM14" s="1244"/>
      <c r="AN14" s="1244"/>
      <c r="AO14" s="1244"/>
      <c r="AP14" s="1244"/>
      <c r="AQ14" s="1244"/>
      <c r="AR14" s="1244"/>
      <c r="AS14" s="1244"/>
      <c r="AT14" s="1244"/>
      <c r="AU14" s="1244"/>
      <c r="AV14" s="1244"/>
      <c r="AW14" s="1244"/>
      <c r="AX14" s="1245"/>
      <c r="AY14" s="1116"/>
      <c r="AZ14" s="787"/>
      <c r="BA14" s="787"/>
      <c r="BB14" s="470"/>
      <c r="CA14" s="502"/>
      <c r="CB14" s="502"/>
      <c r="CC14" s="502"/>
      <c r="CD14" s="502"/>
      <c r="CE14" s="502"/>
      <c r="CF14" s="502"/>
      <c r="CG14" s="502"/>
      <c r="CH14" s="502"/>
      <c r="CI14" s="1246"/>
      <c r="CJ14" s="502"/>
      <c r="CK14" s="502"/>
      <c r="CL14" s="470"/>
      <c r="CM14" s="470"/>
      <c r="CN14" s="502"/>
      <c r="CO14" s="502"/>
      <c r="CP14" s="502"/>
      <c r="CQ14" s="502"/>
      <c r="CR14" s="502"/>
      <c r="CS14" s="502"/>
      <c r="CT14" s="502"/>
      <c r="CU14" s="502"/>
      <c r="CV14" s="502"/>
      <c r="CW14" s="502"/>
      <c r="CX14" s="502"/>
      <c r="CY14" s="470"/>
      <c r="DK14" s="470"/>
      <c r="DL14" s="470"/>
      <c r="DM14" s="470"/>
      <c r="DN14" s="470"/>
      <c r="DO14" s="470"/>
      <c r="DP14" s="470"/>
      <c r="DQ14" s="470"/>
      <c r="DV14"/>
    </row>
    <row r="15" spans="1:126" s="1168" customFormat="1" ht="15" customHeight="1" x14ac:dyDescent="0.25">
      <c r="A15" s="2289" t="s">
        <v>620</v>
      </c>
      <c r="B15" s="1247" t="s">
        <v>621</v>
      </c>
      <c r="C15" s="1117">
        <f t="shared" ref="C15:C18" si="0">SUM(D15:E15)</f>
        <v>0</v>
      </c>
      <c r="D15" s="1136">
        <f t="shared" ref="D15:D18" si="1">+F15+H15+J15+L15+N15+P15+R15+T15+V15+X15+Z15+AB15+AD15+AF15+AH15+AJ15+AL15</f>
        <v>0</v>
      </c>
      <c r="E15" s="1248">
        <f t="shared" ref="E15:E18" si="2">+G15+I15+K15+M15+O15+Q15+S15+U15+W15+Y15+AA15+AC15+AE15+AG15+AI15+AK15+AM15</f>
        <v>0</v>
      </c>
      <c r="F15" s="1609"/>
      <c r="G15" s="1610"/>
      <c r="H15" s="1609"/>
      <c r="I15" s="1610"/>
      <c r="J15" s="1609"/>
      <c r="K15" s="1610"/>
      <c r="L15" s="1609"/>
      <c r="M15" s="1610"/>
      <c r="N15" s="1609"/>
      <c r="O15" s="1610"/>
      <c r="P15" s="1609"/>
      <c r="Q15" s="1610"/>
      <c r="R15" s="1609"/>
      <c r="S15" s="1610"/>
      <c r="T15" s="1609"/>
      <c r="U15" s="1610"/>
      <c r="V15" s="1609"/>
      <c r="W15" s="1610"/>
      <c r="X15" s="1609"/>
      <c r="Y15" s="1610"/>
      <c r="Z15" s="1609"/>
      <c r="AA15" s="1610"/>
      <c r="AB15" s="1609"/>
      <c r="AC15" s="1610"/>
      <c r="AD15" s="1609"/>
      <c r="AE15" s="1610"/>
      <c r="AF15" s="1609"/>
      <c r="AG15" s="1610"/>
      <c r="AH15" s="1609"/>
      <c r="AI15" s="1610"/>
      <c r="AJ15" s="1609"/>
      <c r="AK15" s="1610"/>
      <c r="AL15" s="1609"/>
      <c r="AM15" s="1611"/>
      <c r="AN15" s="1612"/>
      <c r="AO15" s="1613"/>
      <c r="AP15" s="1614"/>
      <c r="AQ15" s="1610"/>
      <c r="AR15" s="1614"/>
      <c r="AS15" s="1610"/>
      <c r="AT15" s="1615"/>
      <c r="AU15" s="1615"/>
      <c r="AV15" s="1615"/>
      <c r="AW15" s="1615"/>
      <c r="AX15" s="1615"/>
      <c r="AY15" s="1116" t="str">
        <f t="shared" ref="AY15:AY56" si="3">CA15&amp;CB15&amp;CC15&amp;CD15&amp;CE15&amp;CF15&amp;CG15&amp;CH15&amp;CI15&amp;CJ15&amp;CK15</f>
        <v/>
      </c>
      <c r="AZ15" s="787"/>
      <c r="BA15" s="787"/>
      <c r="BB15" s="470"/>
      <c r="CA15" s="620" t="str">
        <f t="shared" ref="CA15:CA27" si="4">IF(AND(E15&gt;0,OR(AN15=""))," * No olvide digitar la variable Gestantes. Digite Cero si no tiene.",IF(AN15&gt;E15," * La variable Gestante no puede ser Mayor al Total Mujeres.",""))</f>
        <v/>
      </c>
      <c r="CB15" s="620" t="str">
        <f>IF(AND(E15&gt;0,OR(AO15=""))," * No olvide digitar la variable Madre de hijo menor de 5 años. Digite Cero si no tiene.",IF(AO15&gt;E15," * La variable Madre de hijo menor de 5 años no puede ser Mayor al Total Mujeres.",""))</f>
        <v/>
      </c>
      <c r="CC15" s="620" t="str">
        <f t="shared" ref="CC15:CC27" si="5">IF(AND(D15&gt;0,OR(AP15=""))," * No olvide digitar la variable Pueblos Originarios Hombres. Digite Cero si no tiene.",IF(AP15&gt;D15," * La variable Pueblos Originarios Hombres no puede ser Mayor al Total Hombres.",""))</f>
        <v/>
      </c>
      <c r="CD15" s="620" t="str">
        <f t="shared" ref="CD15:CD26" si="6">IF(AND(E15&gt;0,OR(AQ15=""))," * No olvide digitar la variable Pueblos Originarios Mujeres. Digite Cero si no tiene.",IF(AQ15&gt;E15," * La variable Pueblos Originarios Mujeres no puede ser Mayor al Total Mujeres.",""))</f>
        <v/>
      </c>
      <c r="CE15" s="620" t="str">
        <f t="shared" ref="CE15:CE27" si="7">IF(AND($D15&gt;0,OR(AR15=""))," * No olvide digitar la variable Migrantes Hombres. Digite Cero si no tiene.",IF(AR15&gt;$D15," * La variable Migrantes Hombres no puede ser Mayor al Total Hombres.",""))</f>
        <v/>
      </c>
      <c r="CF15" s="620" t="str">
        <f t="shared" ref="CF15:CF27" si="8">IF(AND($E15&gt;0,OR(AS15=""))," * No olvide digitar la variable Migrantes Mujeres. Digite Cero si no tiene.",IF(AS15&gt;$E15," * La variable Migrantes Mujeres no puede ser Mayor al Total Mujeres.",""))</f>
        <v/>
      </c>
      <c r="CG15" s="620" t="str">
        <f t="shared" ref="CG15:CG58" si="9">IF(AND($C15&gt;0,OR(AT15=""))," * No olvide digitar la variable "&amp;AT$10&amp;". Digite Cero si no tiene.",IF(AT15&gt;$C15," * La variable Niños, Niñas, Adolescentes y Jóvenes SENAME no puede ser Mayor al Total ambos sexos.",""))</f>
        <v/>
      </c>
      <c r="CH15" s="620" t="str">
        <f t="shared" ref="CH15:CH58" si="10">IF(AND($C15&gt;0,OR(AU15=""))," * No olvide digitar la variable "&amp;AU$10&amp;" Niñez. Digite Cero si no tiene.",IF(AU15&gt;$C15," * La variable"&amp;AU$10&amp;"no puede ser Mayor al Total ambos sexos.",""))</f>
        <v/>
      </c>
      <c r="CI15" s="620" t="str">
        <f t="shared" ref="CI15:CI27" si="11">IF(AND(C15&gt;0,OR(AV15=""))," * No olvide digitar la variable Plan Cuidado Integral Elaborado. Digite Cero si no tiene.",IF($AV15&gt;$C15,"* La variable Plan Cuidado Integral Elaborado debe ser menor o igual al Total de Personas en control. ",""))</f>
        <v/>
      </c>
      <c r="CJ15" s="620" t="str">
        <f t="shared" ref="CJ15:CJ27" si="12">IF(AND(E15&gt;0,OR(AW15=""))," * No olvide digitar la variable Trans Masculino. (Digite Cero si no tiene).",IF(AW15&gt;E15," * La variable Trans Masculino no debe ser mayor al Total Mujeres.",""))</f>
        <v/>
      </c>
      <c r="CK15" s="620" t="str">
        <f t="shared" ref="CK15:CK27" si="13">IF(AND(D15&gt;0,OR(AX15=""))," * No olvide digitar la variable Trans Femenino. (Digite Cero si no tiene).",IF(AX15&gt;D15," * La variable Trans Femenino no debe ser mayor al Total Hombre.",""))</f>
        <v/>
      </c>
      <c r="CL15" s="470"/>
      <c r="CM15" s="470"/>
      <c r="CN15" s="501">
        <f t="shared" ref="CN15:CN27" si="14">IF(AND($E15&gt;0,OR(AN15="")),1,IF(AN15&gt;$E15,1,0))</f>
        <v>0</v>
      </c>
      <c r="CO15" s="501">
        <f t="shared" ref="CO15:CO34" si="15">IF(AND($E15&gt;0,OR(AO15="")),1,IF(AO15&gt;$E15,1,0))</f>
        <v>0</v>
      </c>
      <c r="CP15" s="501">
        <f t="shared" ref="CP15:CP27" si="16">IF(AND($D15&gt;0,OR(AP15="")),1,IF(AP15&gt;$D15,1,0))</f>
        <v>0</v>
      </c>
      <c r="CQ15" s="501">
        <f t="shared" ref="CQ15:CQ34" si="17">IF(AND($E15&gt;0,OR(AQ15="")),1,IF(AQ15&gt;$E15,1,0))</f>
        <v>0</v>
      </c>
      <c r="CR15" s="501">
        <f t="shared" ref="CR15:CR27" si="18">IF(AND($D15&gt;0,OR(AR15="")),1,IF(AR15&gt;$D15,1,0))</f>
        <v>0</v>
      </c>
      <c r="CS15" s="501">
        <f t="shared" ref="CS15:CS34" si="19">IF(AND($E15&gt;0,OR(AS15="")),1,IF(AS15&gt;$E15,1,0))</f>
        <v>0</v>
      </c>
      <c r="CT15" s="501">
        <f t="shared" ref="CT15:CT34" si="20">IF(AND($C15&gt;0,OR(AT15="")),1,IF(AT15&gt;$C15,1,0))</f>
        <v>0</v>
      </c>
      <c r="CU15" s="501">
        <f t="shared" ref="CU15:CU34" si="21">IF(AND($C15&gt;0,OR(AU15="")),1,IF(AU15&gt;$C15,1,0))</f>
        <v>0</v>
      </c>
      <c r="CV15" s="501">
        <f t="shared" ref="CV15:CV34" si="22">IF(AND($C15&gt;0,OR(AV15="")),1,IF(AV15&gt;$C15,1,0))</f>
        <v>0</v>
      </c>
      <c r="CW15" s="501">
        <f t="shared" ref="CW15:CW27" si="23">IF(AND(E15&gt;0,OR(AW15="")),1,IF(AW15&gt;$E15,1,0))</f>
        <v>0</v>
      </c>
      <c r="CX15" s="501">
        <f t="shared" ref="CX15:CX27" si="24">IF(AND(D15&gt;0,OR(AX15="")),1,IF(AX15&gt;$D15,1,0))</f>
        <v>0</v>
      </c>
      <c r="CY15" s="470"/>
      <c r="DK15" s="470"/>
      <c r="DL15" s="470"/>
      <c r="DM15" s="470"/>
      <c r="DN15" s="470"/>
      <c r="DO15" s="470"/>
      <c r="DP15" s="470"/>
      <c r="DQ15" s="470"/>
      <c r="DV15"/>
    </row>
    <row r="16" spans="1:126" s="1168" customFormat="1" ht="15" customHeight="1" x14ac:dyDescent="0.25">
      <c r="A16" s="2290"/>
      <c r="B16" s="1249" t="s">
        <v>622</v>
      </c>
      <c r="C16" s="1139">
        <f t="shared" si="0"/>
        <v>0</v>
      </c>
      <c r="D16" s="1133">
        <f t="shared" si="1"/>
        <v>0</v>
      </c>
      <c r="E16" s="1134">
        <f t="shared" si="2"/>
        <v>0</v>
      </c>
      <c r="F16" s="1616"/>
      <c r="G16" s="1617"/>
      <c r="H16" s="1616"/>
      <c r="I16" s="1617"/>
      <c r="J16" s="1616"/>
      <c r="K16" s="1617"/>
      <c r="L16" s="1616"/>
      <c r="M16" s="1617"/>
      <c r="N16" s="1616"/>
      <c r="O16" s="1617"/>
      <c r="P16" s="1616"/>
      <c r="Q16" s="1617"/>
      <c r="R16" s="1616"/>
      <c r="S16" s="1617"/>
      <c r="T16" s="1616"/>
      <c r="U16" s="1617"/>
      <c r="V16" s="1616"/>
      <c r="W16" s="1617"/>
      <c r="X16" s="1616"/>
      <c r="Y16" s="1617"/>
      <c r="Z16" s="1616"/>
      <c r="AA16" s="1617"/>
      <c r="AB16" s="1616"/>
      <c r="AC16" s="1617"/>
      <c r="AD16" s="1616"/>
      <c r="AE16" s="1617"/>
      <c r="AF16" s="1616"/>
      <c r="AG16" s="1617"/>
      <c r="AH16" s="1616"/>
      <c r="AI16" s="1617"/>
      <c r="AJ16" s="1616"/>
      <c r="AK16" s="1617"/>
      <c r="AL16" s="1616"/>
      <c r="AM16" s="1618"/>
      <c r="AN16" s="1619"/>
      <c r="AO16" s="1620"/>
      <c r="AP16" s="1621"/>
      <c r="AQ16" s="1617"/>
      <c r="AR16" s="1621"/>
      <c r="AS16" s="1617"/>
      <c r="AT16" s="1622"/>
      <c r="AU16" s="1622"/>
      <c r="AV16" s="1622"/>
      <c r="AW16" s="1622"/>
      <c r="AX16" s="1622"/>
      <c r="AY16" s="1116" t="str">
        <f t="shared" si="3"/>
        <v/>
      </c>
      <c r="AZ16" s="787"/>
      <c r="BA16" s="787"/>
      <c r="BB16" s="470"/>
      <c r="CA16" s="620" t="str">
        <f t="shared" si="4"/>
        <v/>
      </c>
      <c r="CB16" s="620" t="str">
        <f t="shared" ref="CB16:CB34" si="25">IF(AND(E16&gt;0,OR(AO16=""))," * No olvide digitar la variable Madre de hijo menor de 5 años. Digite Cero si no tiene.",IF(AO16&gt;E16," * La variable Madre de hijo menor de 5 años no puede ser Mayor al Total Mujeres.",""))</f>
        <v/>
      </c>
      <c r="CC16" s="620" t="str">
        <f t="shared" si="5"/>
        <v/>
      </c>
      <c r="CD16" s="620" t="str">
        <f t="shared" si="6"/>
        <v/>
      </c>
      <c r="CE16" s="620" t="str">
        <f t="shared" si="7"/>
        <v/>
      </c>
      <c r="CF16" s="620" t="str">
        <f t="shared" si="8"/>
        <v/>
      </c>
      <c r="CG16" s="620" t="str">
        <f t="shared" si="9"/>
        <v/>
      </c>
      <c r="CH16" s="620" t="str">
        <f t="shared" si="10"/>
        <v/>
      </c>
      <c r="CI16" s="620" t="str">
        <f t="shared" si="11"/>
        <v/>
      </c>
      <c r="CJ16" s="620" t="str">
        <f t="shared" si="12"/>
        <v/>
      </c>
      <c r="CK16" s="620" t="str">
        <f t="shared" si="13"/>
        <v/>
      </c>
      <c r="CL16" s="470"/>
      <c r="CM16" s="470"/>
      <c r="CN16" s="501">
        <f t="shared" si="14"/>
        <v>0</v>
      </c>
      <c r="CO16" s="501">
        <f t="shared" si="15"/>
        <v>0</v>
      </c>
      <c r="CP16" s="501">
        <f t="shared" si="16"/>
        <v>0</v>
      </c>
      <c r="CQ16" s="501">
        <f t="shared" si="17"/>
        <v>0</v>
      </c>
      <c r="CR16" s="501">
        <f t="shared" si="18"/>
        <v>0</v>
      </c>
      <c r="CS16" s="501">
        <f t="shared" si="19"/>
        <v>0</v>
      </c>
      <c r="CT16" s="501">
        <f t="shared" si="20"/>
        <v>0</v>
      </c>
      <c r="CU16" s="501">
        <f t="shared" si="21"/>
        <v>0</v>
      </c>
      <c r="CV16" s="501">
        <f t="shared" si="22"/>
        <v>0</v>
      </c>
      <c r="CW16" s="501">
        <f t="shared" si="23"/>
        <v>0</v>
      </c>
      <c r="CX16" s="501">
        <f t="shared" si="24"/>
        <v>0</v>
      </c>
      <c r="CY16" s="470"/>
      <c r="DK16" s="470"/>
      <c r="DL16" s="470"/>
      <c r="DM16" s="470"/>
      <c r="DN16" s="470"/>
      <c r="DO16" s="470"/>
      <c r="DP16" s="470"/>
      <c r="DQ16" s="470"/>
      <c r="DV16"/>
    </row>
    <row r="17" spans="1:126" s="1168" customFormat="1" ht="15" customHeight="1" x14ac:dyDescent="0.25">
      <c r="A17" s="2289" t="s">
        <v>623</v>
      </c>
      <c r="B17" s="1247" t="s">
        <v>624</v>
      </c>
      <c r="C17" s="1117">
        <f t="shared" si="0"/>
        <v>0</v>
      </c>
      <c r="D17" s="1136">
        <f t="shared" si="1"/>
        <v>0</v>
      </c>
      <c r="E17" s="1248">
        <f t="shared" si="2"/>
        <v>0</v>
      </c>
      <c r="F17" s="1609"/>
      <c r="G17" s="1610"/>
      <c r="H17" s="1609"/>
      <c r="I17" s="1610"/>
      <c r="J17" s="1609"/>
      <c r="K17" s="1610"/>
      <c r="L17" s="1609"/>
      <c r="M17" s="1610"/>
      <c r="N17" s="1609"/>
      <c r="O17" s="1610"/>
      <c r="P17" s="1609"/>
      <c r="Q17" s="1610"/>
      <c r="R17" s="1609"/>
      <c r="S17" s="1610"/>
      <c r="T17" s="1609"/>
      <c r="U17" s="1610"/>
      <c r="V17" s="1609"/>
      <c r="W17" s="1610"/>
      <c r="X17" s="1609"/>
      <c r="Y17" s="1610"/>
      <c r="Z17" s="1609"/>
      <c r="AA17" s="1610"/>
      <c r="AB17" s="1609"/>
      <c r="AC17" s="1610"/>
      <c r="AD17" s="1609"/>
      <c r="AE17" s="1610"/>
      <c r="AF17" s="1609"/>
      <c r="AG17" s="1610"/>
      <c r="AH17" s="1609"/>
      <c r="AI17" s="1610"/>
      <c r="AJ17" s="1609"/>
      <c r="AK17" s="1610"/>
      <c r="AL17" s="1609"/>
      <c r="AM17" s="1611"/>
      <c r="AN17" s="1612"/>
      <c r="AO17" s="1613"/>
      <c r="AP17" s="1614"/>
      <c r="AQ17" s="1610"/>
      <c r="AR17" s="1614"/>
      <c r="AS17" s="1610"/>
      <c r="AT17" s="1615"/>
      <c r="AU17" s="1615"/>
      <c r="AV17" s="1615"/>
      <c r="AW17" s="1615"/>
      <c r="AX17" s="1615"/>
      <c r="AY17" s="1116" t="str">
        <f t="shared" si="3"/>
        <v/>
      </c>
      <c r="AZ17" s="787"/>
      <c r="BA17" s="787"/>
      <c r="BB17" s="470"/>
      <c r="CA17" s="620" t="str">
        <f t="shared" si="4"/>
        <v/>
      </c>
      <c r="CB17" s="620" t="str">
        <f t="shared" si="25"/>
        <v/>
      </c>
      <c r="CC17" s="620" t="str">
        <f t="shared" si="5"/>
        <v/>
      </c>
      <c r="CD17" s="620" t="str">
        <f t="shared" si="6"/>
        <v/>
      </c>
      <c r="CE17" s="620" t="str">
        <f t="shared" si="7"/>
        <v/>
      </c>
      <c r="CF17" s="620" t="str">
        <f t="shared" si="8"/>
        <v/>
      </c>
      <c r="CG17" s="620" t="str">
        <f t="shared" si="9"/>
        <v/>
      </c>
      <c r="CH17" s="620" t="str">
        <f t="shared" si="10"/>
        <v/>
      </c>
      <c r="CI17" s="620" t="str">
        <f t="shared" si="11"/>
        <v/>
      </c>
      <c r="CJ17" s="620" t="str">
        <f t="shared" si="12"/>
        <v/>
      </c>
      <c r="CK17" s="620" t="str">
        <f t="shared" si="13"/>
        <v/>
      </c>
      <c r="CL17" s="470"/>
      <c r="CM17" s="470"/>
      <c r="CN17" s="501">
        <f t="shared" si="14"/>
        <v>0</v>
      </c>
      <c r="CO17" s="501">
        <f t="shared" si="15"/>
        <v>0</v>
      </c>
      <c r="CP17" s="501">
        <f t="shared" si="16"/>
        <v>0</v>
      </c>
      <c r="CQ17" s="501">
        <f t="shared" si="17"/>
        <v>0</v>
      </c>
      <c r="CR17" s="501">
        <f t="shared" si="18"/>
        <v>0</v>
      </c>
      <c r="CS17" s="501">
        <f t="shared" si="19"/>
        <v>0</v>
      </c>
      <c r="CT17" s="501">
        <f t="shared" si="20"/>
        <v>0</v>
      </c>
      <c r="CU17" s="501">
        <f t="shared" si="21"/>
        <v>0</v>
      </c>
      <c r="CV17" s="501">
        <f t="shared" si="22"/>
        <v>0</v>
      </c>
      <c r="CW17" s="501">
        <f t="shared" si="23"/>
        <v>0</v>
      </c>
      <c r="CX17" s="501">
        <f t="shared" si="24"/>
        <v>0</v>
      </c>
      <c r="CY17" s="470"/>
      <c r="DK17" s="470"/>
      <c r="DL17" s="470"/>
      <c r="DM17" s="470"/>
      <c r="DN17" s="470"/>
      <c r="DO17" s="470"/>
      <c r="DP17" s="470"/>
      <c r="DQ17" s="470"/>
      <c r="DV17"/>
    </row>
    <row r="18" spans="1:126" s="1168" customFormat="1" ht="15" customHeight="1" x14ac:dyDescent="0.25">
      <c r="A18" s="2310"/>
      <c r="B18" s="1250" t="s">
        <v>622</v>
      </c>
      <c r="C18" s="1139">
        <f t="shared" si="0"/>
        <v>0</v>
      </c>
      <c r="D18" s="1133">
        <f t="shared" si="1"/>
        <v>0</v>
      </c>
      <c r="E18" s="1134">
        <f t="shared" si="2"/>
        <v>0</v>
      </c>
      <c r="F18" s="1616"/>
      <c r="G18" s="1617"/>
      <c r="H18" s="1616"/>
      <c r="I18" s="1617"/>
      <c r="J18" s="1616"/>
      <c r="K18" s="1617"/>
      <c r="L18" s="1616"/>
      <c r="M18" s="1617"/>
      <c r="N18" s="1616"/>
      <c r="O18" s="1617"/>
      <c r="P18" s="1616"/>
      <c r="Q18" s="1617"/>
      <c r="R18" s="1616"/>
      <c r="S18" s="1617"/>
      <c r="T18" s="1616"/>
      <c r="U18" s="1617"/>
      <c r="V18" s="1616"/>
      <c r="W18" s="1617"/>
      <c r="X18" s="1616"/>
      <c r="Y18" s="1617"/>
      <c r="Z18" s="1616"/>
      <c r="AA18" s="1617"/>
      <c r="AB18" s="1616"/>
      <c r="AC18" s="1617"/>
      <c r="AD18" s="1616"/>
      <c r="AE18" s="1617"/>
      <c r="AF18" s="1616"/>
      <c r="AG18" s="1617"/>
      <c r="AH18" s="1616"/>
      <c r="AI18" s="1617"/>
      <c r="AJ18" s="1616"/>
      <c r="AK18" s="1617"/>
      <c r="AL18" s="1616"/>
      <c r="AM18" s="1618"/>
      <c r="AN18" s="1619"/>
      <c r="AO18" s="1620"/>
      <c r="AP18" s="1621"/>
      <c r="AQ18" s="1617"/>
      <c r="AR18" s="1621"/>
      <c r="AS18" s="1617"/>
      <c r="AT18" s="1622"/>
      <c r="AU18" s="1622"/>
      <c r="AV18" s="1622"/>
      <c r="AW18" s="1622"/>
      <c r="AX18" s="1622"/>
      <c r="AY18" s="1116" t="str">
        <f t="shared" si="3"/>
        <v/>
      </c>
      <c r="AZ18" s="787"/>
      <c r="BA18" s="787"/>
      <c r="BB18" s="470"/>
      <c r="CA18" s="620" t="str">
        <f t="shared" si="4"/>
        <v/>
      </c>
      <c r="CB18" s="620" t="str">
        <f t="shared" si="25"/>
        <v/>
      </c>
      <c r="CC18" s="620" t="str">
        <f t="shared" si="5"/>
        <v/>
      </c>
      <c r="CD18" s="620" t="str">
        <f t="shared" si="6"/>
        <v/>
      </c>
      <c r="CE18" s="620" t="str">
        <f t="shared" si="7"/>
        <v/>
      </c>
      <c r="CF18" s="620" t="str">
        <f t="shared" si="8"/>
        <v/>
      </c>
      <c r="CG18" s="620" t="str">
        <f t="shared" si="9"/>
        <v/>
      </c>
      <c r="CH18" s="620" t="str">
        <f t="shared" si="10"/>
        <v/>
      </c>
      <c r="CI18" s="620" t="str">
        <f t="shared" si="11"/>
        <v/>
      </c>
      <c r="CJ18" s="620" t="str">
        <f t="shared" si="12"/>
        <v/>
      </c>
      <c r="CK18" s="620" t="str">
        <f t="shared" si="13"/>
        <v/>
      </c>
      <c r="CL18" s="470"/>
      <c r="CM18" s="470"/>
      <c r="CN18" s="501">
        <f t="shared" si="14"/>
        <v>0</v>
      </c>
      <c r="CO18" s="501">
        <f t="shared" si="15"/>
        <v>0</v>
      </c>
      <c r="CP18" s="501">
        <f t="shared" si="16"/>
        <v>0</v>
      </c>
      <c r="CQ18" s="501">
        <f t="shared" si="17"/>
        <v>0</v>
      </c>
      <c r="CR18" s="501">
        <f t="shared" si="18"/>
        <v>0</v>
      </c>
      <c r="CS18" s="501">
        <f t="shared" si="19"/>
        <v>0</v>
      </c>
      <c r="CT18" s="501">
        <f t="shared" si="20"/>
        <v>0</v>
      </c>
      <c r="CU18" s="501">
        <f t="shared" si="21"/>
        <v>0</v>
      </c>
      <c r="CV18" s="501">
        <f t="shared" si="22"/>
        <v>0</v>
      </c>
      <c r="CW18" s="501">
        <f t="shared" si="23"/>
        <v>0</v>
      </c>
      <c r="CX18" s="501">
        <f t="shared" si="24"/>
        <v>0</v>
      </c>
      <c r="CY18" s="470"/>
      <c r="DK18" s="470"/>
      <c r="DL18" s="470"/>
      <c r="DM18" s="470"/>
      <c r="DN18" s="470"/>
      <c r="DO18" s="470"/>
      <c r="DP18" s="470"/>
      <c r="DQ18" s="470"/>
      <c r="DV18"/>
    </row>
    <row r="19" spans="1:126" s="1168" customFormat="1" ht="15" customHeight="1" x14ac:dyDescent="0.25">
      <c r="A19" s="2289" t="s">
        <v>625</v>
      </c>
      <c r="B19" s="1247" t="s">
        <v>621</v>
      </c>
      <c r="C19" s="1117">
        <f t="shared" ref="C19:C24" si="26">SUM(D19:E19)</f>
        <v>0</v>
      </c>
      <c r="D19" s="1136">
        <f>+F19+H19+J19+L19+N19+P19+R19+T19+V19+X19+Z19+AB19+AD19+AF19+AH19+AJ19+AL19</f>
        <v>0</v>
      </c>
      <c r="E19" s="1248">
        <f t="shared" ref="E19:E27" si="27">+G19+I19+K19+M19+O19+Q19+S19+U19+W19+Y19+AA19+AC19+AE19+AG19+AI19+AK19+AM19</f>
        <v>0</v>
      </c>
      <c r="F19" s="1609"/>
      <c r="G19" s="1610"/>
      <c r="H19" s="1609"/>
      <c r="I19" s="1610"/>
      <c r="J19" s="1609"/>
      <c r="K19" s="1610"/>
      <c r="L19" s="1609"/>
      <c r="M19" s="1610"/>
      <c r="N19" s="1609"/>
      <c r="O19" s="1610"/>
      <c r="P19" s="1609"/>
      <c r="Q19" s="1610"/>
      <c r="R19" s="1609"/>
      <c r="S19" s="1610"/>
      <c r="T19" s="1609"/>
      <c r="U19" s="1610"/>
      <c r="V19" s="1609"/>
      <c r="W19" s="1610"/>
      <c r="X19" s="1609"/>
      <c r="Y19" s="1610"/>
      <c r="Z19" s="1609"/>
      <c r="AA19" s="1610"/>
      <c r="AB19" s="1609"/>
      <c r="AC19" s="1610"/>
      <c r="AD19" s="1609"/>
      <c r="AE19" s="1610"/>
      <c r="AF19" s="1609"/>
      <c r="AG19" s="1610"/>
      <c r="AH19" s="1609"/>
      <c r="AI19" s="1610"/>
      <c r="AJ19" s="1609"/>
      <c r="AK19" s="1610"/>
      <c r="AL19" s="1609"/>
      <c r="AM19" s="1611"/>
      <c r="AN19" s="1612"/>
      <c r="AO19" s="1613"/>
      <c r="AP19" s="1614"/>
      <c r="AQ19" s="1610"/>
      <c r="AR19" s="1614"/>
      <c r="AS19" s="1610"/>
      <c r="AT19" s="1615"/>
      <c r="AU19" s="1615"/>
      <c r="AV19" s="1615"/>
      <c r="AW19" s="1615"/>
      <c r="AX19" s="1615"/>
      <c r="AY19" s="1116" t="str">
        <f t="shared" si="3"/>
        <v/>
      </c>
      <c r="AZ19" s="787"/>
      <c r="BA19" s="787"/>
      <c r="BB19" s="470"/>
      <c r="CA19" s="620" t="str">
        <f t="shared" si="4"/>
        <v/>
      </c>
      <c r="CB19" s="620" t="str">
        <f t="shared" si="25"/>
        <v/>
      </c>
      <c r="CC19" s="620" t="str">
        <f t="shared" si="5"/>
        <v/>
      </c>
      <c r="CD19" s="620" t="str">
        <f t="shared" si="6"/>
        <v/>
      </c>
      <c r="CE19" s="620" t="str">
        <f t="shared" si="7"/>
        <v/>
      </c>
      <c r="CF19" s="620" t="str">
        <f t="shared" si="8"/>
        <v/>
      </c>
      <c r="CG19" s="620" t="str">
        <f t="shared" si="9"/>
        <v/>
      </c>
      <c r="CH19" s="620" t="str">
        <f t="shared" si="10"/>
        <v/>
      </c>
      <c r="CI19" s="620" t="str">
        <f t="shared" si="11"/>
        <v/>
      </c>
      <c r="CJ19" s="620" t="str">
        <f t="shared" si="12"/>
        <v/>
      </c>
      <c r="CK19" s="620" t="str">
        <f t="shared" si="13"/>
        <v/>
      </c>
      <c r="CL19" s="470"/>
      <c r="CM19" s="470"/>
      <c r="CN19" s="501">
        <f t="shared" si="14"/>
        <v>0</v>
      </c>
      <c r="CO19" s="501">
        <f t="shared" si="15"/>
        <v>0</v>
      </c>
      <c r="CP19" s="501">
        <f t="shared" si="16"/>
        <v>0</v>
      </c>
      <c r="CQ19" s="501">
        <f t="shared" si="17"/>
        <v>0</v>
      </c>
      <c r="CR19" s="501">
        <f t="shared" si="18"/>
        <v>0</v>
      </c>
      <c r="CS19" s="501">
        <f t="shared" si="19"/>
        <v>0</v>
      </c>
      <c r="CT19" s="501">
        <f t="shared" si="20"/>
        <v>0</v>
      </c>
      <c r="CU19" s="501">
        <f t="shared" si="21"/>
        <v>0</v>
      </c>
      <c r="CV19" s="501">
        <f t="shared" si="22"/>
        <v>0</v>
      </c>
      <c r="CW19" s="501">
        <f t="shared" si="23"/>
        <v>0</v>
      </c>
      <c r="CX19" s="501">
        <f t="shared" si="24"/>
        <v>0</v>
      </c>
      <c r="CY19" s="470"/>
      <c r="DK19" s="470"/>
      <c r="DL19" s="470"/>
      <c r="DM19" s="470"/>
      <c r="DN19" s="470"/>
      <c r="DO19" s="470"/>
      <c r="DP19" s="470"/>
      <c r="DQ19" s="470"/>
      <c r="DR19" s="470"/>
      <c r="DS19" s="470"/>
      <c r="DT19" s="470"/>
      <c r="DV19"/>
    </row>
    <row r="20" spans="1:126" s="1168" customFormat="1" ht="15" customHeight="1" x14ac:dyDescent="0.25">
      <c r="A20" s="2310"/>
      <c r="B20" s="1250" t="s">
        <v>622</v>
      </c>
      <c r="C20" s="1139">
        <f t="shared" si="26"/>
        <v>0</v>
      </c>
      <c r="D20" s="1133">
        <f t="shared" ref="D20:D27" si="28">+F20+H20+J20+L20+N20+P20+R20+T20+V20+X20+Z20+AB20+AD20+AF20+AH20+AJ20+AL20</f>
        <v>0</v>
      </c>
      <c r="E20" s="1251">
        <f t="shared" si="27"/>
        <v>0</v>
      </c>
      <c r="F20" s="1623"/>
      <c r="G20" s="1624"/>
      <c r="H20" s="1623"/>
      <c r="I20" s="1624"/>
      <c r="J20" s="1623"/>
      <c r="K20" s="1624"/>
      <c r="L20" s="1623"/>
      <c r="M20" s="1624"/>
      <c r="N20" s="1623"/>
      <c r="O20" s="1624"/>
      <c r="P20" s="1623"/>
      <c r="Q20" s="1624"/>
      <c r="R20" s="1623"/>
      <c r="S20" s="1624"/>
      <c r="T20" s="1623"/>
      <c r="U20" s="1624"/>
      <c r="V20" s="1623"/>
      <c r="W20" s="1624"/>
      <c r="X20" s="1623"/>
      <c r="Y20" s="1624"/>
      <c r="Z20" s="1623"/>
      <c r="AA20" s="1624"/>
      <c r="AB20" s="1623"/>
      <c r="AC20" s="1624"/>
      <c r="AD20" s="1623"/>
      <c r="AE20" s="1624"/>
      <c r="AF20" s="1623"/>
      <c r="AG20" s="1624"/>
      <c r="AH20" s="1623"/>
      <c r="AI20" s="1624"/>
      <c r="AJ20" s="1623"/>
      <c r="AK20" s="1624"/>
      <c r="AL20" s="1623"/>
      <c r="AM20" s="1625"/>
      <c r="AN20" s="1626"/>
      <c r="AO20" s="1627"/>
      <c r="AP20" s="1628"/>
      <c r="AQ20" s="1624"/>
      <c r="AR20" s="1628"/>
      <c r="AS20" s="1624"/>
      <c r="AT20" s="1629"/>
      <c r="AU20" s="1629"/>
      <c r="AV20" s="1629"/>
      <c r="AW20" s="1629"/>
      <c r="AX20" s="1629"/>
      <c r="AY20" s="1116" t="str">
        <f t="shared" si="3"/>
        <v/>
      </c>
      <c r="AZ20" s="787"/>
      <c r="BA20" s="787"/>
      <c r="BB20" s="470"/>
      <c r="CA20" s="620" t="str">
        <f t="shared" si="4"/>
        <v/>
      </c>
      <c r="CB20" s="620" t="str">
        <f t="shared" si="25"/>
        <v/>
      </c>
      <c r="CC20" s="620" t="str">
        <f t="shared" si="5"/>
        <v/>
      </c>
      <c r="CD20" s="620" t="str">
        <f t="shared" si="6"/>
        <v/>
      </c>
      <c r="CE20" s="620" t="str">
        <f t="shared" si="7"/>
        <v/>
      </c>
      <c r="CF20" s="620" t="str">
        <f t="shared" si="8"/>
        <v/>
      </c>
      <c r="CG20" s="620" t="str">
        <f t="shared" si="9"/>
        <v/>
      </c>
      <c r="CH20" s="620" t="str">
        <f t="shared" si="10"/>
        <v/>
      </c>
      <c r="CI20" s="620" t="str">
        <f t="shared" si="11"/>
        <v/>
      </c>
      <c r="CJ20" s="620" t="str">
        <f t="shared" si="12"/>
        <v/>
      </c>
      <c r="CK20" s="620" t="str">
        <f t="shared" si="13"/>
        <v/>
      </c>
      <c r="CL20" s="470"/>
      <c r="CM20" s="470"/>
      <c r="CN20" s="501">
        <f t="shared" si="14"/>
        <v>0</v>
      </c>
      <c r="CO20" s="501">
        <f t="shared" si="15"/>
        <v>0</v>
      </c>
      <c r="CP20" s="501">
        <f t="shared" si="16"/>
        <v>0</v>
      </c>
      <c r="CQ20" s="501">
        <f t="shared" si="17"/>
        <v>0</v>
      </c>
      <c r="CR20" s="501">
        <f t="shared" si="18"/>
        <v>0</v>
      </c>
      <c r="CS20" s="501">
        <f t="shared" si="19"/>
        <v>0</v>
      </c>
      <c r="CT20" s="501">
        <f t="shared" si="20"/>
        <v>0</v>
      </c>
      <c r="CU20" s="501">
        <f t="shared" si="21"/>
        <v>0</v>
      </c>
      <c r="CV20" s="501">
        <f t="shared" si="22"/>
        <v>0</v>
      </c>
      <c r="CW20" s="501">
        <f t="shared" si="23"/>
        <v>0</v>
      </c>
      <c r="CX20" s="501">
        <f t="shared" si="24"/>
        <v>0</v>
      </c>
      <c r="CY20" s="470"/>
      <c r="DK20" s="470"/>
      <c r="DL20" s="470"/>
      <c r="DM20" s="470"/>
      <c r="DN20" s="470"/>
      <c r="DO20" s="470"/>
      <c r="DP20" s="470"/>
      <c r="DQ20" s="470"/>
      <c r="DR20" s="470"/>
      <c r="DS20" s="470"/>
      <c r="DT20" s="470"/>
      <c r="DV20"/>
    </row>
    <row r="21" spans="1:126" s="1168" customFormat="1" ht="15" customHeight="1" x14ac:dyDescent="0.25">
      <c r="A21" s="2294" t="s">
        <v>626</v>
      </c>
      <c r="B21" s="2294"/>
      <c r="C21" s="1252"/>
      <c r="D21" s="1253"/>
      <c r="E21" s="1254"/>
      <c r="F21" s="1255"/>
      <c r="G21" s="1256"/>
      <c r="H21" s="1255"/>
      <c r="I21" s="1256"/>
      <c r="J21" s="1255"/>
      <c r="K21" s="1256"/>
      <c r="L21" s="1255"/>
      <c r="M21" s="1256"/>
      <c r="N21" s="1255"/>
      <c r="O21" s="1256"/>
      <c r="P21" s="1255"/>
      <c r="Q21" s="1256"/>
      <c r="R21" s="1255"/>
      <c r="S21" s="1256"/>
      <c r="T21" s="1255"/>
      <c r="U21" s="1256"/>
      <c r="V21" s="1255"/>
      <c r="W21" s="1256"/>
      <c r="X21" s="1255"/>
      <c r="Y21" s="1256"/>
      <c r="Z21" s="1255"/>
      <c r="AA21" s="1256"/>
      <c r="AB21" s="1255"/>
      <c r="AC21" s="1256"/>
      <c r="AD21" s="1255"/>
      <c r="AE21" s="1256"/>
      <c r="AF21" s="1255"/>
      <c r="AG21" s="1256"/>
      <c r="AH21" s="1255"/>
      <c r="AI21" s="1256"/>
      <c r="AJ21" s="1255"/>
      <c r="AK21" s="1256"/>
      <c r="AL21" s="1255"/>
      <c r="AM21" s="1257"/>
      <c r="AN21" s="1258"/>
      <c r="AO21" s="1259"/>
      <c r="AP21" s="1260"/>
      <c r="AQ21" s="1256"/>
      <c r="AR21" s="1260"/>
      <c r="AS21" s="1256"/>
      <c r="AT21" s="1261"/>
      <c r="AU21" s="1261"/>
      <c r="AV21" s="1261"/>
      <c r="AW21" s="1261"/>
      <c r="AX21" s="1261"/>
      <c r="AY21" s="1116" t="str">
        <f t="shared" si="3"/>
        <v/>
      </c>
      <c r="AZ21" s="787"/>
      <c r="BA21" s="787"/>
      <c r="BB21" s="470"/>
      <c r="CA21" s="620" t="str">
        <f t="shared" si="4"/>
        <v/>
      </c>
      <c r="CB21" s="620" t="str">
        <f t="shared" si="25"/>
        <v/>
      </c>
      <c r="CC21" s="620" t="str">
        <f t="shared" si="5"/>
        <v/>
      </c>
      <c r="CD21" s="620" t="str">
        <f t="shared" si="6"/>
        <v/>
      </c>
      <c r="CE21" s="620" t="str">
        <f t="shared" si="7"/>
        <v/>
      </c>
      <c r="CF21" s="620" t="str">
        <f t="shared" si="8"/>
        <v/>
      </c>
      <c r="CG21" s="620" t="str">
        <f t="shared" si="9"/>
        <v/>
      </c>
      <c r="CH21" s="620" t="str">
        <f t="shared" si="10"/>
        <v/>
      </c>
      <c r="CI21" s="620" t="str">
        <f t="shared" si="11"/>
        <v/>
      </c>
      <c r="CJ21" s="620" t="str">
        <f t="shared" si="12"/>
        <v/>
      </c>
      <c r="CK21" s="620" t="str">
        <f t="shared" si="13"/>
        <v/>
      </c>
      <c r="CL21" s="470"/>
      <c r="CM21" s="470"/>
      <c r="CN21" s="501">
        <f t="shared" si="14"/>
        <v>0</v>
      </c>
      <c r="CO21" s="501">
        <f t="shared" si="15"/>
        <v>0</v>
      </c>
      <c r="CP21" s="501">
        <f t="shared" si="16"/>
        <v>0</v>
      </c>
      <c r="CQ21" s="501">
        <f t="shared" si="17"/>
        <v>0</v>
      </c>
      <c r="CR21" s="501">
        <f t="shared" si="18"/>
        <v>0</v>
      </c>
      <c r="CS21" s="501">
        <f t="shared" si="19"/>
        <v>0</v>
      </c>
      <c r="CT21" s="501">
        <f t="shared" si="20"/>
        <v>0</v>
      </c>
      <c r="CU21" s="501">
        <f t="shared" si="21"/>
        <v>0</v>
      </c>
      <c r="CV21" s="501">
        <f t="shared" si="22"/>
        <v>0</v>
      </c>
      <c r="CW21" s="501">
        <f t="shared" si="23"/>
        <v>0</v>
      </c>
      <c r="CX21" s="501">
        <f t="shared" si="24"/>
        <v>0</v>
      </c>
      <c r="CY21" s="470"/>
      <c r="DK21" s="470"/>
      <c r="DL21" s="470"/>
      <c r="DM21" s="470"/>
      <c r="DN21" s="470"/>
      <c r="DO21" s="470"/>
      <c r="DP21" s="470"/>
      <c r="DQ21" s="470"/>
      <c r="DR21" s="470"/>
      <c r="DS21" s="470"/>
      <c r="DT21" s="470"/>
      <c r="DV21"/>
    </row>
    <row r="22" spans="1:126" s="1168" customFormat="1" ht="15" customHeight="1" x14ac:dyDescent="0.25">
      <c r="A22" s="2311" t="s">
        <v>627</v>
      </c>
      <c r="B22" s="1247" t="s">
        <v>628</v>
      </c>
      <c r="C22" s="1110">
        <f t="shared" si="26"/>
        <v>0</v>
      </c>
      <c r="D22" s="1111">
        <f>+H22+J22+L22+N22+P22+R22+T22+V22+X22+Z22+AB22+AD22+AF22+AH22+AJ22+AL22</f>
        <v>0</v>
      </c>
      <c r="E22" s="1262">
        <f>+I22+K22+M22+O22+Q22+S22+U22+W22+Y22+AA22+AC22+AE22+AG22+AI22+AK22+AM22</f>
        <v>0</v>
      </c>
      <c r="F22" s="1263"/>
      <c r="G22" s="1114"/>
      <c r="H22" s="1609"/>
      <c r="I22" s="1610"/>
      <c r="J22" s="1609"/>
      <c r="K22" s="1610"/>
      <c r="L22" s="1609"/>
      <c r="M22" s="1610"/>
      <c r="N22" s="1609"/>
      <c r="O22" s="1610"/>
      <c r="P22" s="1609"/>
      <c r="Q22" s="1610"/>
      <c r="R22" s="1609"/>
      <c r="S22" s="1610"/>
      <c r="T22" s="1609"/>
      <c r="U22" s="1610"/>
      <c r="V22" s="1609"/>
      <c r="W22" s="1610"/>
      <c r="X22" s="1609"/>
      <c r="Y22" s="1610"/>
      <c r="Z22" s="1609"/>
      <c r="AA22" s="1610"/>
      <c r="AB22" s="1609"/>
      <c r="AC22" s="1610"/>
      <c r="AD22" s="1609"/>
      <c r="AE22" s="1610"/>
      <c r="AF22" s="1609"/>
      <c r="AG22" s="1610"/>
      <c r="AH22" s="1609"/>
      <c r="AI22" s="1610"/>
      <c r="AJ22" s="1609"/>
      <c r="AK22" s="1610"/>
      <c r="AL22" s="1609"/>
      <c r="AM22" s="1611"/>
      <c r="AN22" s="1612"/>
      <c r="AO22" s="1613"/>
      <c r="AP22" s="1614"/>
      <c r="AQ22" s="1610"/>
      <c r="AR22" s="1614"/>
      <c r="AS22" s="1610"/>
      <c r="AT22" s="1615"/>
      <c r="AU22" s="1615"/>
      <c r="AV22" s="1615"/>
      <c r="AW22" s="1615"/>
      <c r="AX22" s="1615"/>
      <c r="AY22" s="1116" t="str">
        <f t="shared" si="3"/>
        <v/>
      </c>
      <c r="AZ22" s="787"/>
      <c r="BA22" s="787"/>
      <c r="BB22" s="470"/>
      <c r="CA22" s="620" t="str">
        <f t="shared" si="4"/>
        <v/>
      </c>
      <c r="CB22" s="620" t="str">
        <f t="shared" si="25"/>
        <v/>
      </c>
      <c r="CC22" s="620" t="str">
        <f t="shared" si="5"/>
        <v/>
      </c>
      <c r="CD22" s="620" t="str">
        <f t="shared" si="6"/>
        <v/>
      </c>
      <c r="CE22" s="620" t="str">
        <f t="shared" si="7"/>
        <v/>
      </c>
      <c r="CF22" s="620" t="str">
        <f t="shared" si="8"/>
        <v/>
      </c>
      <c r="CG22" s="620" t="str">
        <f t="shared" si="9"/>
        <v/>
      </c>
      <c r="CH22" s="620" t="str">
        <f t="shared" si="10"/>
        <v/>
      </c>
      <c r="CI22" s="620" t="str">
        <f t="shared" si="11"/>
        <v/>
      </c>
      <c r="CJ22" s="620" t="str">
        <f t="shared" si="12"/>
        <v/>
      </c>
      <c r="CK22" s="620" t="str">
        <f t="shared" si="13"/>
        <v/>
      </c>
      <c r="CL22" s="470"/>
      <c r="CM22" s="470"/>
      <c r="CN22" s="501">
        <f t="shared" si="14"/>
        <v>0</v>
      </c>
      <c r="CO22" s="501">
        <f t="shared" si="15"/>
        <v>0</v>
      </c>
      <c r="CP22" s="501">
        <f t="shared" si="16"/>
        <v>0</v>
      </c>
      <c r="CQ22" s="501">
        <f t="shared" si="17"/>
        <v>0</v>
      </c>
      <c r="CR22" s="501">
        <f t="shared" si="18"/>
        <v>0</v>
      </c>
      <c r="CS22" s="501">
        <f t="shared" si="19"/>
        <v>0</v>
      </c>
      <c r="CT22" s="501">
        <f t="shared" si="20"/>
        <v>0</v>
      </c>
      <c r="CU22" s="501">
        <f t="shared" si="21"/>
        <v>0</v>
      </c>
      <c r="CV22" s="501">
        <f t="shared" si="22"/>
        <v>0</v>
      </c>
      <c r="CW22" s="501">
        <f t="shared" si="23"/>
        <v>0</v>
      </c>
      <c r="CX22" s="501">
        <f t="shared" si="24"/>
        <v>0</v>
      </c>
      <c r="CY22" s="470"/>
      <c r="DK22" s="470"/>
      <c r="DL22" s="470"/>
      <c r="DM22" s="470"/>
      <c r="DN22" s="470"/>
      <c r="DO22" s="470"/>
      <c r="DP22" s="470"/>
      <c r="DQ22" s="470"/>
      <c r="DR22" s="470"/>
      <c r="DS22" s="470"/>
      <c r="DT22" s="470"/>
      <c r="DV22"/>
    </row>
    <row r="23" spans="1:126" s="1168" customFormat="1" ht="15" customHeight="1" x14ac:dyDescent="0.25">
      <c r="A23" s="2312"/>
      <c r="B23" s="1250" t="s">
        <v>629</v>
      </c>
      <c r="C23" s="1132">
        <f t="shared" si="26"/>
        <v>0</v>
      </c>
      <c r="D23" s="1158">
        <f>+H23+J23+L23+N23+P23+R23+T23+V23+X23+Z23+AB23+AD23+AF23+AH23+AJ23+AL23</f>
        <v>0</v>
      </c>
      <c r="E23" s="1264">
        <f>+I23+K23+M23+O23+Q23+S23+U23+W23+Y23+AA23+AC23+AE23+AG23+AI23+AK23+AM23</f>
        <v>0</v>
      </c>
      <c r="F23" s="1142"/>
      <c r="G23" s="1143"/>
      <c r="H23" s="1630"/>
      <c r="I23" s="1631"/>
      <c r="J23" s="1630"/>
      <c r="K23" s="1631"/>
      <c r="L23" s="1630"/>
      <c r="M23" s="1631"/>
      <c r="N23" s="1630"/>
      <c r="O23" s="1631"/>
      <c r="P23" s="1630"/>
      <c r="Q23" s="1631"/>
      <c r="R23" s="1630"/>
      <c r="S23" s="1631"/>
      <c r="T23" s="1630"/>
      <c r="U23" s="1631"/>
      <c r="V23" s="1630"/>
      <c r="W23" s="1631"/>
      <c r="X23" s="1630"/>
      <c r="Y23" s="1631"/>
      <c r="Z23" s="1630"/>
      <c r="AA23" s="1631"/>
      <c r="AB23" s="1630"/>
      <c r="AC23" s="1631"/>
      <c r="AD23" s="1630"/>
      <c r="AE23" s="1631"/>
      <c r="AF23" s="1630"/>
      <c r="AG23" s="1631"/>
      <c r="AH23" s="1630"/>
      <c r="AI23" s="1631"/>
      <c r="AJ23" s="1630"/>
      <c r="AK23" s="1631"/>
      <c r="AL23" s="1630"/>
      <c r="AM23" s="1632"/>
      <c r="AN23" s="1633"/>
      <c r="AO23" s="1634"/>
      <c r="AP23" s="1635"/>
      <c r="AQ23" s="1631"/>
      <c r="AR23" s="1635"/>
      <c r="AS23" s="1631"/>
      <c r="AT23" s="1636"/>
      <c r="AU23" s="1636"/>
      <c r="AV23" s="1636"/>
      <c r="AW23" s="1636"/>
      <c r="AX23" s="1636"/>
      <c r="AY23" s="1116" t="str">
        <f t="shared" si="3"/>
        <v/>
      </c>
      <c r="AZ23" s="787"/>
      <c r="BA23" s="787"/>
      <c r="BB23" s="470"/>
      <c r="CA23" s="620" t="str">
        <f t="shared" si="4"/>
        <v/>
      </c>
      <c r="CB23" s="620" t="str">
        <f t="shared" si="25"/>
        <v/>
      </c>
      <c r="CC23" s="620" t="str">
        <f t="shared" si="5"/>
        <v/>
      </c>
      <c r="CD23" s="620" t="str">
        <f t="shared" si="6"/>
        <v/>
      </c>
      <c r="CE23" s="620" t="str">
        <f t="shared" si="7"/>
        <v/>
      </c>
      <c r="CF23" s="620" t="str">
        <f t="shared" si="8"/>
        <v/>
      </c>
      <c r="CG23" s="620" t="str">
        <f t="shared" si="9"/>
        <v/>
      </c>
      <c r="CH23" s="620" t="str">
        <f t="shared" si="10"/>
        <v/>
      </c>
      <c r="CI23" s="620" t="str">
        <f t="shared" si="11"/>
        <v/>
      </c>
      <c r="CJ23" s="620" t="str">
        <f t="shared" si="12"/>
        <v/>
      </c>
      <c r="CK23" s="620" t="str">
        <f t="shared" si="13"/>
        <v/>
      </c>
      <c r="CL23" s="470"/>
      <c r="CM23" s="470"/>
      <c r="CN23" s="501">
        <f t="shared" si="14"/>
        <v>0</v>
      </c>
      <c r="CO23" s="501">
        <f t="shared" si="15"/>
        <v>0</v>
      </c>
      <c r="CP23" s="501">
        <f t="shared" si="16"/>
        <v>0</v>
      </c>
      <c r="CQ23" s="501">
        <f t="shared" si="17"/>
        <v>0</v>
      </c>
      <c r="CR23" s="501">
        <f t="shared" si="18"/>
        <v>0</v>
      </c>
      <c r="CS23" s="501">
        <f t="shared" si="19"/>
        <v>0</v>
      </c>
      <c r="CT23" s="501">
        <f t="shared" si="20"/>
        <v>0</v>
      </c>
      <c r="CU23" s="501">
        <f t="shared" si="21"/>
        <v>0</v>
      </c>
      <c r="CV23" s="501">
        <f t="shared" si="22"/>
        <v>0</v>
      </c>
      <c r="CW23" s="501">
        <f t="shared" si="23"/>
        <v>0</v>
      </c>
      <c r="CX23" s="501">
        <f t="shared" si="24"/>
        <v>0</v>
      </c>
      <c r="CY23" s="470"/>
      <c r="DK23" s="470"/>
      <c r="DL23" s="470"/>
      <c r="DM23" s="470"/>
      <c r="DN23" s="470"/>
      <c r="DO23" s="470"/>
      <c r="DP23" s="470"/>
      <c r="DQ23" s="470"/>
      <c r="DR23" s="470"/>
      <c r="DS23" s="470"/>
      <c r="DT23" s="470"/>
      <c r="DV23"/>
    </row>
    <row r="24" spans="1:126" s="1168" customFormat="1" ht="15" customHeight="1" x14ac:dyDescent="0.25">
      <c r="A24" s="2308" t="s">
        <v>630</v>
      </c>
      <c r="B24" s="2323"/>
      <c r="C24" s="1240">
        <f t="shared" si="26"/>
        <v>0</v>
      </c>
      <c r="D24" s="1241">
        <f>+F24+H24+J24+L24+N24+P24+R24+T24+V24+X24+Z24+AB24+AD24+AF24+AH24+AJ24+AL24</f>
        <v>0</v>
      </c>
      <c r="E24" s="1242">
        <f t="shared" si="27"/>
        <v>0</v>
      </c>
      <c r="F24" s="1602"/>
      <c r="G24" s="1604"/>
      <c r="H24" s="1602"/>
      <c r="I24" s="1604"/>
      <c r="J24" s="1602"/>
      <c r="K24" s="1604"/>
      <c r="L24" s="1602"/>
      <c r="M24" s="1604"/>
      <c r="N24" s="1602"/>
      <c r="O24" s="1604"/>
      <c r="P24" s="1602"/>
      <c r="Q24" s="1604"/>
      <c r="R24" s="1602"/>
      <c r="S24" s="1604"/>
      <c r="T24" s="1602"/>
      <c r="U24" s="1604"/>
      <c r="V24" s="1602"/>
      <c r="W24" s="1604"/>
      <c r="X24" s="1602"/>
      <c r="Y24" s="1604"/>
      <c r="Z24" s="1602"/>
      <c r="AA24" s="1604"/>
      <c r="AB24" s="1602"/>
      <c r="AC24" s="1604"/>
      <c r="AD24" s="1602"/>
      <c r="AE24" s="1604"/>
      <c r="AF24" s="1602"/>
      <c r="AG24" s="1604"/>
      <c r="AH24" s="1602"/>
      <c r="AI24" s="1604"/>
      <c r="AJ24" s="1602"/>
      <c r="AK24" s="1604"/>
      <c r="AL24" s="1602"/>
      <c r="AM24" s="1637"/>
      <c r="AN24" s="1606"/>
      <c r="AO24" s="1607"/>
      <c r="AP24" s="1605"/>
      <c r="AQ24" s="1604"/>
      <c r="AR24" s="1605"/>
      <c r="AS24" s="1604"/>
      <c r="AT24" s="1608"/>
      <c r="AU24" s="1608"/>
      <c r="AV24" s="1608"/>
      <c r="AW24" s="1608"/>
      <c r="AX24" s="1608"/>
      <c r="AY24" s="1116" t="str">
        <f t="shared" si="3"/>
        <v/>
      </c>
      <c r="AZ24" s="1265"/>
      <c r="BA24" s="1265"/>
      <c r="CA24" s="620" t="str">
        <f t="shared" si="4"/>
        <v/>
      </c>
      <c r="CB24" s="620" t="str">
        <f t="shared" si="25"/>
        <v/>
      </c>
      <c r="CC24" s="620" t="str">
        <f t="shared" si="5"/>
        <v/>
      </c>
      <c r="CD24" s="620" t="str">
        <f t="shared" si="6"/>
        <v/>
      </c>
      <c r="CE24" s="620" t="str">
        <f t="shared" si="7"/>
        <v/>
      </c>
      <c r="CF24" s="620" t="str">
        <f t="shared" si="8"/>
        <v/>
      </c>
      <c r="CG24" s="620" t="str">
        <f t="shared" si="9"/>
        <v/>
      </c>
      <c r="CH24" s="620" t="str">
        <f t="shared" si="10"/>
        <v/>
      </c>
      <c r="CI24" s="620" t="str">
        <f t="shared" si="11"/>
        <v/>
      </c>
      <c r="CJ24" s="620" t="str">
        <f t="shared" si="12"/>
        <v/>
      </c>
      <c r="CK24" s="620" t="str">
        <f t="shared" si="13"/>
        <v/>
      </c>
      <c r="CL24" s="470"/>
      <c r="CM24" s="470"/>
      <c r="CN24" s="501">
        <f t="shared" si="14"/>
        <v>0</v>
      </c>
      <c r="CO24" s="501">
        <f t="shared" si="15"/>
        <v>0</v>
      </c>
      <c r="CP24" s="501">
        <f t="shared" si="16"/>
        <v>0</v>
      </c>
      <c r="CQ24" s="501">
        <f t="shared" si="17"/>
        <v>0</v>
      </c>
      <c r="CR24" s="501">
        <f t="shared" si="18"/>
        <v>0</v>
      </c>
      <c r="CS24" s="501">
        <f t="shared" si="19"/>
        <v>0</v>
      </c>
      <c r="CT24" s="501">
        <f t="shared" si="20"/>
        <v>0</v>
      </c>
      <c r="CU24" s="501">
        <f t="shared" si="21"/>
        <v>0</v>
      </c>
      <c r="CV24" s="501">
        <f t="shared" si="22"/>
        <v>0</v>
      </c>
      <c r="CW24" s="501">
        <f t="shared" si="23"/>
        <v>0</v>
      </c>
      <c r="CX24" s="501">
        <f t="shared" si="24"/>
        <v>0</v>
      </c>
      <c r="DK24" s="470"/>
      <c r="DL24" s="470"/>
      <c r="DM24" s="470"/>
      <c r="DN24" s="470"/>
      <c r="DO24" s="470"/>
      <c r="DP24" s="470"/>
      <c r="DQ24" s="470"/>
      <c r="DR24" s="470"/>
      <c r="DS24" s="470"/>
      <c r="DT24" s="470"/>
      <c r="DV24"/>
    </row>
    <row r="25" spans="1:126" s="1168" customFormat="1" ht="15" customHeight="1" x14ac:dyDescent="0.25">
      <c r="A25" s="2317" t="s">
        <v>631</v>
      </c>
      <c r="B25" s="1247" t="s">
        <v>632</v>
      </c>
      <c r="C25" s="1117">
        <f t="shared" ref="C25:C51" si="29">SUM(D25:E25)</f>
        <v>0</v>
      </c>
      <c r="D25" s="1136">
        <f t="shared" si="28"/>
        <v>0</v>
      </c>
      <c r="E25" s="1248">
        <f t="shared" si="27"/>
        <v>0</v>
      </c>
      <c r="F25" s="1616"/>
      <c r="G25" s="1617"/>
      <c r="H25" s="1616"/>
      <c r="I25" s="1617"/>
      <c r="J25" s="1616"/>
      <c r="K25" s="1617"/>
      <c r="L25" s="1616"/>
      <c r="M25" s="1617"/>
      <c r="N25" s="1616"/>
      <c r="O25" s="1617"/>
      <c r="P25" s="1616"/>
      <c r="Q25" s="1617"/>
      <c r="R25" s="1616"/>
      <c r="S25" s="1617"/>
      <c r="T25" s="1616"/>
      <c r="U25" s="1617"/>
      <c r="V25" s="1616"/>
      <c r="W25" s="1617"/>
      <c r="X25" s="1616"/>
      <c r="Y25" s="1617"/>
      <c r="Z25" s="1616"/>
      <c r="AA25" s="1617"/>
      <c r="AB25" s="1616"/>
      <c r="AC25" s="1617"/>
      <c r="AD25" s="1616"/>
      <c r="AE25" s="1617"/>
      <c r="AF25" s="1616"/>
      <c r="AG25" s="1617"/>
      <c r="AH25" s="1616"/>
      <c r="AI25" s="1617"/>
      <c r="AJ25" s="1616"/>
      <c r="AK25" s="1617"/>
      <c r="AL25" s="1616"/>
      <c r="AM25" s="1618"/>
      <c r="AN25" s="1619"/>
      <c r="AO25" s="1620"/>
      <c r="AP25" s="1621"/>
      <c r="AQ25" s="1617"/>
      <c r="AR25" s="1621"/>
      <c r="AS25" s="1617"/>
      <c r="AT25" s="1622"/>
      <c r="AU25" s="1622"/>
      <c r="AV25" s="1622"/>
      <c r="AW25" s="1622"/>
      <c r="AX25" s="1622"/>
      <c r="AY25" s="1116" t="str">
        <f t="shared" si="3"/>
        <v/>
      </c>
      <c r="AZ25" s="1265"/>
      <c r="BA25" s="1265"/>
      <c r="CA25" s="620" t="str">
        <f t="shared" si="4"/>
        <v/>
      </c>
      <c r="CB25" s="620" t="str">
        <f t="shared" si="25"/>
        <v/>
      </c>
      <c r="CC25" s="620" t="str">
        <f t="shared" si="5"/>
        <v/>
      </c>
      <c r="CD25" s="620" t="str">
        <f t="shared" si="6"/>
        <v/>
      </c>
      <c r="CE25" s="620" t="str">
        <f t="shared" si="7"/>
        <v/>
      </c>
      <c r="CF25" s="620" t="str">
        <f t="shared" si="8"/>
        <v/>
      </c>
      <c r="CG25" s="620" t="str">
        <f t="shared" si="9"/>
        <v/>
      </c>
      <c r="CH25" s="620" t="str">
        <f t="shared" si="10"/>
        <v/>
      </c>
      <c r="CI25" s="620" t="str">
        <f t="shared" si="11"/>
        <v/>
      </c>
      <c r="CJ25" s="620" t="str">
        <f t="shared" si="12"/>
        <v/>
      </c>
      <c r="CK25" s="620" t="str">
        <f t="shared" si="13"/>
        <v/>
      </c>
      <c r="CL25" s="470"/>
      <c r="CM25" s="470"/>
      <c r="CN25" s="501">
        <f t="shared" si="14"/>
        <v>0</v>
      </c>
      <c r="CO25" s="501">
        <f t="shared" si="15"/>
        <v>0</v>
      </c>
      <c r="CP25" s="501">
        <f t="shared" si="16"/>
        <v>0</v>
      </c>
      <c r="CQ25" s="501">
        <f t="shared" si="17"/>
        <v>0</v>
      </c>
      <c r="CR25" s="501">
        <f t="shared" si="18"/>
        <v>0</v>
      </c>
      <c r="CS25" s="501">
        <f t="shared" si="19"/>
        <v>0</v>
      </c>
      <c r="CT25" s="501">
        <f t="shared" si="20"/>
        <v>0</v>
      </c>
      <c r="CU25" s="501">
        <f t="shared" si="21"/>
        <v>0</v>
      </c>
      <c r="CV25" s="501">
        <f t="shared" si="22"/>
        <v>0</v>
      </c>
      <c r="CW25" s="501">
        <f t="shared" si="23"/>
        <v>0</v>
      </c>
      <c r="CX25" s="501">
        <f t="shared" si="24"/>
        <v>0</v>
      </c>
      <c r="DK25" s="470"/>
      <c r="DL25" s="470"/>
      <c r="DM25" s="470"/>
      <c r="DN25" s="470"/>
      <c r="DO25" s="470"/>
      <c r="DP25" s="470"/>
      <c r="DQ25" s="470"/>
      <c r="DR25" s="470"/>
      <c r="DS25" s="470"/>
      <c r="DT25" s="470"/>
      <c r="DV25"/>
    </row>
    <row r="26" spans="1:126" s="1168" customFormat="1" ht="15" customHeight="1" x14ac:dyDescent="0.25">
      <c r="A26" s="2318"/>
      <c r="B26" s="1266" t="s">
        <v>633</v>
      </c>
      <c r="C26" s="1117">
        <f t="shared" si="29"/>
        <v>0</v>
      </c>
      <c r="D26" s="1136">
        <f t="shared" si="28"/>
        <v>0</v>
      </c>
      <c r="E26" s="1248">
        <f t="shared" si="27"/>
        <v>0</v>
      </c>
      <c r="F26" s="1638"/>
      <c r="G26" s="1639"/>
      <c r="H26" s="1638"/>
      <c r="I26" s="1639"/>
      <c r="J26" s="1638"/>
      <c r="K26" s="1639"/>
      <c r="L26" s="1638"/>
      <c r="M26" s="1639"/>
      <c r="N26" s="1638"/>
      <c r="O26" s="1639"/>
      <c r="P26" s="1638"/>
      <c r="Q26" s="1639"/>
      <c r="R26" s="1638"/>
      <c r="S26" s="1639"/>
      <c r="T26" s="1638"/>
      <c r="U26" s="1639"/>
      <c r="V26" s="1638"/>
      <c r="W26" s="1639"/>
      <c r="X26" s="1638"/>
      <c r="Y26" s="1639"/>
      <c r="Z26" s="1638"/>
      <c r="AA26" s="1639"/>
      <c r="AB26" s="1638"/>
      <c r="AC26" s="1639"/>
      <c r="AD26" s="1638"/>
      <c r="AE26" s="1639"/>
      <c r="AF26" s="1638"/>
      <c r="AG26" s="1639"/>
      <c r="AH26" s="1638"/>
      <c r="AI26" s="1639"/>
      <c r="AJ26" s="1638"/>
      <c r="AK26" s="1639"/>
      <c r="AL26" s="1638"/>
      <c r="AM26" s="1640"/>
      <c r="AN26" s="1641"/>
      <c r="AO26" s="1642"/>
      <c r="AP26" s="1643"/>
      <c r="AQ26" s="1639"/>
      <c r="AR26" s="1643"/>
      <c r="AS26" s="1639"/>
      <c r="AT26" s="1644"/>
      <c r="AU26" s="1644"/>
      <c r="AV26" s="1644"/>
      <c r="AW26" s="1644"/>
      <c r="AX26" s="1644"/>
      <c r="AY26" s="1116" t="str">
        <f t="shared" si="3"/>
        <v/>
      </c>
      <c r="AZ26" s="1265"/>
      <c r="BA26" s="1265"/>
      <c r="CA26" s="620" t="str">
        <f t="shared" si="4"/>
        <v/>
      </c>
      <c r="CB26" s="620" t="str">
        <f t="shared" si="25"/>
        <v/>
      </c>
      <c r="CC26" s="620" t="str">
        <f t="shared" si="5"/>
        <v/>
      </c>
      <c r="CD26" s="620" t="str">
        <f t="shared" si="6"/>
        <v/>
      </c>
      <c r="CE26" s="620" t="str">
        <f t="shared" si="7"/>
        <v/>
      </c>
      <c r="CF26" s="620" t="str">
        <f t="shared" si="8"/>
        <v/>
      </c>
      <c r="CG26" s="620" t="str">
        <f t="shared" si="9"/>
        <v/>
      </c>
      <c r="CH26" s="620" t="str">
        <f t="shared" si="10"/>
        <v/>
      </c>
      <c r="CI26" s="620" t="str">
        <f t="shared" si="11"/>
        <v/>
      </c>
      <c r="CJ26" s="620" t="str">
        <f t="shared" si="12"/>
        <v/>
      </c>
      <c r="CK26" s="620" t="str">
        <f t="shared" si="13"/>
        <v/>
      </c>
      <c r="CL26" s="470"/>
      <c r="CM26" s="470"/>
      <c r="CN26" s="501">
        <f t="shared" si="14"/>
        <v>0</v>
      </c>
      <c r="CO26" s="501">
        <f t="shared" si="15"/>
        <v>0</v>
      </c>
      <c r="CP26" s="501">
        <f t="shared" si="16"/>
        <v>0</v>
      </c>
      <c r="CQ26" s="501">
        <f t="shared" si="17"/>
        <v>0</v>
      </c>
      <c r="CR26" s="501">
        <f t="shared" si="18"/>
        <v>0</v>
      </c>
      <c r="CS26" s="501">
        <f t="shared" si="19"/>
        <v>0</v>
      </c>
      <c r="CT26" s="501">
        <f t="shared" si="20"/>
        <v>0</v>
      </c>
      <c r="CU26" s="501">
        <f t="shared" si="21"/>
        <v>0</v>
      </c>
      <c r="CV26" s="501">
        <f t="shared" si="22"/>
        <v>0</v>
      </c>
      <c r="CW26" s="501">
        <f t="shared" si="23"/>
        <v>0</v>
      </c>
      <c r="CX26" s="501">
        <f t="shared" si="24"/>
        <v>0</v>
      </c>
      <c r="DK26" s="470"/>
      <c r="DL26" s="470"/>
      <c r="DM26" s="470"/>
      <c r="DN26" s="470"/>
      <c r="DO26" s="470"/>
      <c r="DP26" s="470"/>
      <c r="DQ26" s="470"/>
      <c r="DR26" s="470"/>
      <c r="DS26" s="470"/>
      <c r="DT26" s="470"/>
      <c r="DV26"/>
    </row>
    <row r="27" spans="1:126" s="1168" customFormat="1" ht="15" customHeight="1" x14ac:dyDescent="0.25">
      <c r="A27" s="2318"/>
      <c r="B27" s="1266" t="s">
        <v>634</v>
      </c>
      <c r="C27" s="1117">
        <f t="shared" si="29"/>
        <v>0</v>
      </c>
      <c r="D27" s="1136">
        <f t="shared" si="28"/>
        <v>0</v>
      </c>
      <c r="E27" s="1248">
        <f t="shared" si="27"/>
        <v>0</v>
      </c>
      <c r="F27" s="1638"/>
      <c r="G27" s="1639"/>
      <c r="H27" s="1638"/>
      <c r="I27" s="1639"/>
      <c r="J27" s="1638"/>
      <c r="K27" s="1639"/>
      <c r="L27" s="1638"/>
      <c r="M27" s="1639"/>
      <c r="N27" s="1638"/>
      <c r="O27" s="1639"/>
      <c r="P27" s="1638"/>
      <c r="Q27" s="1639"/>
      <c r="R27" s="1638"/>
      <c r="S27" s="1639"/>
      <c r="T27" s="1638"/>
      <c r="U27" s="1639"/>
      <c r="V27" s="1638"/>
      <c r="W27" s="1639"/>
      <c r="X27" s="1638"/>
      <c r="Y27" s="1639"/>
      <c r="Z27" s="1638"/>
      <c r="AA27" s="1639"/>
      <c r="AB27" s="1638"/>
      <c r="AC27" s="1639"/>
      <c r="AD27" s="1638"/>
      <c r="AE27" s="1639"/>
      <c r="AF27" s="1638"/>
      <c r="AG27" s="1639"/>
      <c r="AH27" s="1638"/>
      <c r="AI27" s="1639"/>
      <c r="AJ27" s="1638"/>
      <c r="AK27" s="1639"/>
      <c r="AL27" s="1638"/>
      <c r="AM27" s="1640"/>
      <c r="AN27" s="1641"/>
      <c r="AO27" s="1642"/>
      <c r="AP27" s="1643"/>
      <c r="AQ27" s="1639"/>
      <c r="AR27" s="1643"/>
      <c r="AS27" s="1639"/>
      <c r="AT27" s="1644"/>
      <c r="AU27" s="1644"/>
      <c r="AV27" s="1644"/>
      <c r="AW27" s="1644"/>
      <c r="AX27" s="1644"/>
      <c r="AY27" s="1116" t="str">
        <f t="shared" si="3"/>
        <v/>
      </c>
      <c r="AZ27" s="1265"/>
      <c r="BA27" s="1265"/>
      <c r="CA27" s="620" t="str">
        <f t="shared" si="4"/>
        <v/>
      </c>
      <c r="CB27" s="620" t="str">
        <f t="shared" si="25"/>
        <v/>
      </c>
      <c r="CC27" s="620" t="str">
        <f t="shared" si="5"/>
        <v/>
      </c>
      <c r="CD27" s="620" t="str">
        <f>IF(AND(E27&gt;0,OR(AQ27=""))," * No olvide digitar la variable Pueblos Originarios Mujeres. Digite Cero si no tiene.",IF(AQ27&gt;E27," * La variable Pueblos Originarios Mujeres no puede ser Mayor al Total Mujeres.",""))</f>
        <v/>
      </c>
      <c r="CE27" s="620" t="str">
        <f t="shared" si="7"/>
        <v/>
      </c>
      <c r="CF27" s="620" t="str">
        <f t="shared" si="8"/>
        <v/>
      </c>
      <c r="CG27" s="620" t="str">
        <f t="shared" si="9"/>
        <v/>
      </c>
      <c r="CH27" s="620" t="str">
        <f t="shared" si="10"/>
        <v/>
      </c>
      <c r="CI27" s="620" t="str">
        <f t="shared" si="11"/>
        <v/>
      </c>
      <c r="CJ27" s="620" t="str">
        <f t="shared" si="12"/>
        <v/>
      </c>
      <c r="CK27" s="620" t="str">
        <f t="shared" si="13"/>
        <v/>
      </c>
      <c r="CL27" s="470"/>
      <c r="CM27" s="470"/>
      <c r="CN27" s="501">
        <f t="shared" si="14"/>
        <v>0</v>
      </c>
      <c r="CO27" s="501">
        <f t="shared" si="15"/>
        <v>0</v>
      </c>
      <c r="CP27" s="501">
        <f t="shared" si="16"/>
        <v>0</v>
      </c>
      <c r="CQ27" s="501">
        <f t="shared" si="17"/>
        <v>0</v>
      </c>
      <c r="CR27" s="501">
        <f t="shared" si="18"/>
        <v>0</v>
      </c>
      <c r="CS27" s="501">
        <f t="shared" si="19"/>
        <v>0</v>
      </c>
      <c r="CT27" s="501">
        <f t="shared" si="20"/>
        <v>0</v>
      </c>
      <c r="CU27" s="501">
        <f t="shared" si="21"/>
        <v>0</v>
      </c>
      <c r="CV27" s="501">
        <f t="shared" si="22"/>
        <v>0</v>
      </c>
      <c r="CW27" s="501">
        <f t="shared" si="23"/>
        <v>0</v>
      </c>
      <c r="CX27" s="501">
        <f t="shared" si="24"/>
        <v>0</v>
      </c>
      <c r="DK27" s="470"/>
      <c r="DL27" s="470"/>
      <c r="DM27" s="470"/>
      <c r="DN27" s="470"/>
      <c r="DO27" s="470"/>
      <c r="DP27" s="470"/>
      <c r="DQ27" s="470"/>
      <c r="DR27" s="470"/>
      <c r="DS27" s="470"/>
      <c r="DT27" s="470"/>
      <c r="DV27"/>
    </row>
    <row r="28" spans="1:126" s="1168" customFormat="1" ht="15" customHeight="1" x14ac:dyDescent="0.25">
      <c r="A28" s="2318"/>
      <c r="B28" s="1266" t="s">
        <v>635</v>
      </c>
      <c r="C28" s="1117">
        <f t="shared" si="29"/>
        <v>0</v>
      </c>
      <c r="D28" s="1147"/>
      <c r="E28" s="1267">
        <f>K28+M28+O28+Q28+S28+U28+W28+Y28+AA28+AC28</f>
        <v>0</v>
      </c>
      <c r="F28" s="1122"/>
      <c r="G28" s="1123"/>
      <c r="H28" s="1122"/>
      <c r="I28" s="1123"/>
      <c r="J28" s="1122"/>
      <c r="K28" s="1639"/>
      <c r="L28" s="1122"/>
      <c r="M28" s="1639"/>
      <c r="N28" s="1122"/>
      <c r="O28" s="1639"/>
      <c r="P28" s="1122"/>
      <c r="Q28" s="1639"/>
      <c r="R28" s="1122"/>
      <c r="S28" s="1639"/>
      <c r="T28" s="1122"/>
      <c r="U28" s="1639"/>
      <c r="V28" s="1122"/>
      <c r="W28" s="1639"/>
      <c r="X28" s="1122"/>
      <c r="Y28" s="1639"/>
      <c r="Z28" s="1122"/>
      <c r="AA28" s="1639"/>
      <c r="AB28" s="1122"/>
      <c r="AC28" s="1639"/>
      <c r="AD28" s="1122"/>
      <c r="AE28" s="1123"/>
      <c r="AF28" s="1122"/>
      <c r="AG28" s="1123"/>
      <c r="AH28" s="1122"/>
      <c r="AI28" s="1123"/>
      <c r="AJ28" s="1122"/>
      <c r="AK28" s="1123"/>
      <c r="AL28" s="1122"/>
      <c r="AM28" s="1145"/>
      <c r="AN28" s="1268"/>
      <c r="AO28" s="1642"/>
      <c r="AP28" s="1147"/>
      <c r="AQ28" s="1639"/>
      <c r="AR28" s="1147"/>
      <c r="AS28" s="1639"/>
      <c r="AT28" s="1644"/>
      <c r="AU28" s="1644"/>
      <c r="AV28" s="1644"/>
      <c r="AW28" s="1644"/>
      <c r="AX28" s="1201"/>
      <c r="AY28" s="1116" t="str">
        <f t="shared" si="3"/>
        <v/>
      </c>
      <c r="AZ28" s="1265"/>
      <c r="BA28" s="1265"/>
      <c r="CA28" s="502"/>
      <c r="CB28" s="620" t="str">
        <f t="shared" si="25"/>
        <v/>
      </c>
      <c r="CC28" s="502"/>
      <c r="CD28" s="620" t="str">
        <f>IF(AND(E28&gt;0,OR(AQ28=""))," * No olvide digitar la variable Pueblos Originarios Mujeres. Digite Cero si no tiene.",IF(AQ28&gt;E28," * La variable Pueblos Originarios Mujeres no puede ser Mayor al Total Mujeres.",""))</f>
        <v/>
      </c>
      <c r="CE28" s="502"/>
      <c r="CF28" s="620" t="str">
        <f>IF(AND($E28&gt;0,OR(AS28=""))," * No olvide digitar la variable Migrantes Mujeres. Digite Cero si no tiene.",IF(AS28&gt;$E28," * La variable Migrantes Mujeres no puede ser Mayor al Total Mujeres.",""))</f>
        <v/>
      </c>
      <c r="CG28" s="620" t="str">
        <f t="shared" si="9"/>
        <v/>
      </c>
      <c r="CH28" s="620" t="str">
        <f t="shared" si="10"/>
        <v/>
      </c>
      <c r="CI28" s="620" t="str">
        <f>IF(AND(C28&gt;0,OR(AV28=""))," * No olvide digitar la variable Plan Cuidado Integral Elaborado. Digite Cero si no tiene.",IF($AV28&gt;$C28,"* La variable Plan Cuidado Integral Elaborado debe ser menor o igual al Total de Personas en control. ",""))</f>
        <v/>
      </c>
      <c r="CJ28" s="620" t="str">
        <f t="shared" ref="CJ28:CJ34" si="30">IF(AND(E28&gt;0,OR(AW28=""))," * No olvide digitar la variable Trans Masculino. (Digite Cero si no tiene).",IF(AW28&gt;E28," * La variable Trans Masculino no debe ser mayor al Total Mujeres.",""))</f>
        <v/>
      </c>
      <c r="CK28" s="502"/>
      <c r="CL28" s="470"/>
      <c r="CM28" s="470"/>
      <c r="CN28" s="502"/>
      <c r="CO28" s="501">
        <f t="shared" si="15"/>
        <v>0</v>
      </c>
      <c r="CP28" s="502"/>
      <c r="CQ28" s="501">
        <f t="shared" si="17"/>
        <v>0</v>
      </c>
      <c r="CR28" s="502"/>
      <c r="CS28" s="501">
        <f t="shared" si="19"/>
        <v>0</v>
      </c>
      <c r="CT28" s="501">
        <f t="shared" si="20"/>
        <v>0</v>
      </c>
      <c r="CU28" s="501">
        <f t="shared" si="21"/>
        <v>0</v>
      </c>
      <c r="CV28" s="501">
        <f t="shared" si="22"/>
        <v>0</v>
      </c>
      <c r="CW28" s="501">
        <f>IF(AND(E28&gt;0,OR(AW28="")),1,IF(AW28&gt;$E28,1,0))</f>
        <v>0</v>
      </c>
      <c r="CX28" s="502"/>
      <c r="DK28" s="470"/>
      <c r="DL28" s="470"/>
      <c r="DM28" s="470"/>
      <c r="DN28" s="470"/>
      <c r="DO28" s="470"/>
      <c r="DP28" s="470"/>
      <c r="DQ28" s="470"/>
      <c r="DR28" s="470"/>
      <c r="DS28" s="470"/>
      <c r="DT28" s="470"/>
      <c r="DV28"/>
    </row>
    <row r="29" spans="1:126" s="1168" customFormat="1" ht="15" customHeight="1" x14ac:dyDescent="0.25">
      <c r="A29" s="2319"/>
      <c r="B29" s="1269" t="s">
        <v>636</v>
      </c>
      <c r="C29" s="1270">
        <f t="shared" si="29"/>
        <v>0</v>
      </c>
      <c r="D29" s="1127">
        <f t="shared" ref="D29:E36" si="31">+F29+H29+J29+L29+N29+P29+R29+T29+V29+X29+Z29+AB29+AD29+AF29+AH29+AJ29+AL29</f>
        <v>0</v>
      </c>
      <c r="E29" s="1271">
        <f t="shared" si="31"/>
        <v>0</v>
      </c>
      <c r="F29" s="1646"/>
      <c r="G29" s="1645"/>
      <c r="H29" s="1646"/>
      <c r="I29" s="1645"/>
      <c r="J29" s="1646"/>
      <c r="K29" s="1645"/>
      <c r="L29" s="1646"/>
      <c r="M29" s="1645"/>
      <c r="N29" s="1646"/>
      <c r="O29" s="1645"/>
      <c r="P29" s="1646"/>
      <c r="Q29" s="1645"/>
      <c r="R29" s="1646"/>
      <c r="S29" s="1645"/>
      <c r="T29" s="1646"/>
      <c r="U29" s="1645"/>
      <c r="V29" s="1646"/>
      <c r="W29" s="1645"/>
      <c r="X29" s="1646"/>
      <c r="Y29" s="1645"/>
      <c r="Z29" s="1646"/>
      <c r="AA29" s="1645"/>
      <c r="AB29" s="1646"/>
      <c r="AC29" s="1645"/>
      <c r="AD29" s="1646"/>
      <c r="AE29" s="1645"/>
      <c r="AF29" s="1646"/>
      <c r="AG29" s="1645"/>
      <c r="AH29" s="1646"/>
      <c r="AI29" s="1645"/>
      <c r="AJ29" s="1646"/>
      <c r="AK29" s="1645"/>
      <c r="AL29" s="1646"/>
      <c r="AM29" s="1647"/>
      <c r="AN29" s="1648"/>
      <c r="AO29" s="1649"/>
      <c r="AP29" s="1650"/>
      <c r="AQ29" s="1645"/>
      <c r="AR29" s="1650"/>
      <c r="AS29" s="1645"/>
      <c r="AT29" s="1651"/>
      <c r="AU29" s="1651"/>
      <c r="AV29" s="1651"/>
      <c r="AW29" s="1651"/>
      <c r="AX29" s="1651"/>
      <c r="AY29" s="1116" t="str">
        <f t="shared" si="3"/>
        <v/>
      </c>
      <c r="AZ29" s="1265"/>
      <c r="BA29" s="1265"/>
      <c r="CA29" s="620" t="str">
        <f t="shared" ref="CA29:CA43" si="32">IF(AND(E29&gt;0,OR(AN29=""))," * No olvide digitar la variable Gestantes. Digite Cero si no tiene.",IF(AN29&gt;E29," * La variable Gestante no puede ser Mayor al Total Mujeres.",""))</f>
        <v/>
      </c>
      <c r="CB29" s="620" t="str">
        <f t="shared" si="25"/>
        <v/>
      </c>
      <c r="CC29" s="620" t="str">
        <f t="shared" ref="CC29:CC34" si="33">IF(AND(D29&gt;0,OR(AP29=""))," * No olvide digitar la variable Pueblos Originarios Hombres. Digite Cero si no tiene.",IF(AP29&gt;D29," * La variable Pueblos Originarios Hombres no puede ser Mayor al Total Hombres.",""))</f>
        <v/>
      </c>
      <c r="CD29" s="620" t="str">
        <f t="shared" ref="CD29:CD34" si="34">IF(AND(E29&gt;0,OR(AQ29=""))," * No olvide digitar la variable Pueblos Originarios Mujeres. Digite Cero si no tiene.",IF(AQ29&gt;E29," * La variable Pueblos Originarios Mujeres no puede ser Mayor al Total Mujeres.",""))</f>
        <v/>
      </c>
      <c r="CE29" s="620" t="str">
        <f t="shared" ref="CE29:CE34" si="35">IF(AND($D29&gt;0,OR(AR29=""))," * No olvide digitar la variable Migrantes Hombres. Digite Cero si no tiene.",IF(AR29&gt;$D29," * La variable Migrantes Hombres no puede ser Mayor al Total Hombres.",""))</f>
        <v/>
      </c>
      <c r="CF29" s="620" t="str">
        <f t="shared" ref="CF29:CF34" si="36">IF(AND($E29&gt;0,OR(AS29=""))," * No olvide digitar la variable Migrantes Mujeres. Digite Cero si no tiene.",IF(AS29&gt;$E29," * La variable Migrantes Mujeres no puede ser Mayor al Total Mujeres.",""))</f>
        <v/>
      </c>
      <c r="CG29" s="620" t="str">
        <f t="shared" si="9"/>
        <v/>
      </c>
      <c r="CH29" s="620" t="str">
        <f t="shared" si="10"/>
        <v/>
      </c>
      <c r="CI29" s="620" t="str">
        <f t="shared" ref="CI29:CI34" si="37">IF(AND(C29&gt;0,OR(AV29=""))," * No olvide digitar la variable Plan Cuidado Integral Elaborado. Digite Cero si no tiene.",IF($AV29&gt;$C29,"* La variable Plan Cuidado Integral Elaborado debe ser menor o igual al Total de Personas en control. ",""))</f>
        <v/>
      </c>
      <c r="CJ29" s="620" t="str">
        <f t="shared" si="30"/>
        <v/>
      </c>
      <c r="CK29" s="620" t="str">
        <f t="shared" ref="CK29:CK34" si="38">IF(AND(D29&gt;0,OR(AX29=""))," * No olvide digitar la variable Trans Femenino. (Digite Cero si no tiene).",IF(AX29&gt;D29," * La variable Trans Femenino no debe ser mayor al Total Hombre.",""))</f>
        <v/>
      </c>
      <c r="CL29" s="470"/>
      <c r="CM29" s="470"/>
      <c r="CN29" s="501">
        <f t="shared" ref="CN29:CN43" si="39">IF(AND($E29&gt;0,OR(AN29="")),1,IF(AN29&gt;$E29,1,0))</f>
        <v>0</v>
      </c>
      <c r="CO29" s="501">
        <f t="shared" si="15"/>
        <v>0</v>
      </c>
      <c r="CP29" s="501">
        <f t="shared" ref="CP29:CP35" si="40">IF(AND($D29&gt;0,OR(AP29="")),1,IF(AP29&gt;$D29,1,0))</f>
        <v>0</v>
      </c>
      <c r="CQ29" s="501">
        <f t="shared" si="17"/>
        <v>0</v>
      </c>
      <c r="CR29" s="501">
        <f t="shared" ref="CR29:CR34" si="41">IF(AND($D29&gt;0,OR(AR29="")),1,IF(AR29&gt;$D29,1,0))</f>
        <v>0</v>
      </c>
      <c r="CS29" s="501">
        <f t="shared" si="19"/>
        <v>0</v>
      </c>
      <c r="CT29" s="501">
        <f t="shared" si="20"/>
        <v>0</v>
      </c>
      <c r="CU29" s="501">
        <f t="shared" si="21"/>
        <v>0</v>
      </c>
      <c r="CV29" s="501">
        <f t="shared" si="22"/>
        <v>0</v>
      </c>
      <c r="CW29" s="501">
        <f t="shared" ref="CW29:CW58" si="42">IF(AND(E29&gt;0,OR(AW29="")),1,IF(AW29&gt;$E29,1,0))</f>
        <v>0</v>
      </c>
      <c r="CX29" s="501">
        <f t="shared" ref="CX29:CX58" si="43">IF(AND(D29&gt;0,OR(AX29="")),1,IF(AX29&gt;$D29,1,0))</f>
        <v>0</v>
      </c>
      <c r="DK29" s="470"/>
      <c r="DL29" s="470"/>
      <c r="DM29" s="470"/>
      <c r="DN29" s="470"/>
      <c r="DO29" s="470"/>
      <c r="DP29" s="470"/>
      <c r="DQ29" s="470"/>
      <c r="DR29" s="470"/>
      <c r="DS29" s="470"/>
      <c r="DT29" s="470"/>
      <c r="DV29"/>
    </row>
    <row r="30" spans="1:126" s="1168" customFormat="1" ht="15" customHeight="1" x14ac:dyDescent="0.25">
      <c r="A30" s="2317" t="s">
        <v>637</v>
      </c>
      <c r="B30" s="1247" t="s">
        <v>638</v>
      </c>
      <c r="C30" s="1110">
        <f t="shared" si="29"/>
        <v>0</v>
      </c>
      <c r="D30" s="1111">
        <f t="shared" si="31"/>
        <v>0</v>
      </c>
      <c r="E30" s="1262">
        <f t="shared" si="31"/>
        <v>0</v>
      </c>
      <c r="F30" s="1609"/>
      <c r="G30" s="1610"/>
      <c r="H30" s="1609"/>
      <c r="I30" s="1610"/>
      <c r="J30" s="1609"/>
      <c r="K30" s="1610"/>
      <c r="L30" s="1609"/>
      <c r="M30" s="1610"/>
      <c r="N30" s="1609"/>
      <c r="O30" s="1610"/>
      <c r="P30" s="1609"/>
      <c r="Q30" s="1610"/>
      <c r="R30" s="1609"/>
      <c r="S30" s="1610"/>
      <c r="T30" s="1609"/>
      <c r="U30" s="1610"/>
      <c r="V30" s="1609"/>
      <c r="W30" s="1610"/>
      <c r="X30" s="1609"/>
      <c r="Y30" s="1610"/>
      <c r="Z30" s="1609"/>
      <c r="AA30" s="1610"/>
      <c r="AB30" s="1609"/>
      <c r="AC30" s="1610"/>
      <c r="AD30" s="1609"/>
      <c r="AE30" s="1610"/>
      <c r="AF30" s="1609"/>
      <c r="AG30" s="1610"/>
      <c r="AH30" s="1609"/>
      <c r="AI30" s="1610"/>
      <c r="AJ30" s="1609"/>
      <c r="AK30" s="1610"/>
      <c r="AL30" s="1609"/>
      <c r="AM30" s="1611"/>
      <c r="AN30" s="1612"/>
      <c r="AO30" s="1613"/>
      <c r="AP30" s="1614"/>
      <c r="AQ30" s="1610"/>
      <c r="AR30" s="1614"/>
      <c r="AS30" s="1610"/>
      <c r="AT30" s="1615"/>
      <c r="AU30" s="1615"/>
      <c r="AV30" s="1615"/>
      <c r="AW30" s="1615"/>
      <c r="AX30" s="1615"/>
      <c r="AY30" s="1116" t="str">
        <f t="shared" si="3"/>
        <v/>
      </c>
      <c r="AZ30" s="1265"/>
      <c r="BA30" s="1265"/>
      <c r="CA30" s="620" t="str">
        <f t="shared" si="32"/>
        <v/>
      </c>
      <c r="CB30" s="620" t="str">
        <f t="shared" si="25"/>
        <v/>
      </c>
      <c r="CC30" s="620" t="str">
        <f t="shared" si="33"/>
        <v/>
      </c>
      <c r="CD30" s="620" t="str">
        <f t="shared" si="34"/>
        <v/>
      </c>
      <c r="CE30" s="620" t="str">
        <f t="shared" si="35"/>
        <v/>
      </c>
      <c r="CF30" s="620" t="str">
        <f t="shared" si="36"/>
        <v/>
      </c>
      <c r="CG30" s="620" t="str">
        <f t="shared" si="9"/>
        <v/>
      </c>
      <c r="CH30" s="620" t="str">
        <f t="shared" si="10"/>
        <v/>
      </c>
      <c r="CI30" s="620" t="str">
        <f t="shared" si="37"/>
        <v/>
      </c>
      <c r="CJ30" s="620" t="str">
        <f t="shared" si="30"/>
        <v/>
      </c>
      <c r="CK30" s="620" t="str">
        <f t="shared" si="38"/>
        <v/>
      </c>
      <c r="CL30" s="470"/>
      <c r="CM30" s="470"/>
      <c r="CN30" s="501">
        <f t="shared" si="39"/>
        <v>0</v>
      </c>
      <c r="CO30" s="501">
        <f t="shared" si="15"/>
        <v>0</v>
      </c>
      <c r="CP30" s="501">
        <f t="shared" si="40"/>
        <v>0</v>
      </c>
      <c r="CQ30" s="501">
        <f t="shared" si="17"/>
        <v>0</v>
      </c>
      <c r="CR30" s="501">
        <f t="shared" si="41"/>
        <v>0</v>
      </c>
      <c r="CS30" s="501">
        <f t="shared" si="19"/>
        <v>0</v>
      </c>
      <c r="CT30" s="501">
        <f t="shared" si="20"/>
        <v>0</v>
      </c>
      <c r="CU30" s="501">
        <f t="shared" si="21"/>
        <v>0</v>
      </c>
      <c r="CV30" s="501">
        <f t="shared" si="22"/>
        <v>0</v>
      </c>
      <c r="CW30" s="501">
        <f t="shared" si="42"/>
        <v>0</v>
      </c>
      <c r="CX30" s="501">
        <f t="shared" si="43"/>
        <v>0</v>
      </c>
      <c r="DK30" s="470"/>
      <c r="DL30" s="470"/>
      <c r="DM30" s="470"/>
      <c r="DN30" s="470"/>
      <c r="DO30" s="470"/>
      <c r="DP30" s="470"/>
      <c r="DQ30" s="470"/>
      <c r="DR30" s="470"/>
      <c r="DS30" s="470"/>
      <c r="DT30" s="470"/>
      <c r="DV30"/>
    </row>
    <row r="31" spans="1:126" s="1168" customFormat="1" ht="15" customHeight="1" x14ac:dyDescent="0.25">
      <c r="A31" s="2318"/>
      <c r="B31" s="1266" t="s">
        <v>639</v>
      </c>
      <c r="C31" s="1144">
        <f t="shared" si="29"/>
        <v>0</v>
      </c>
      <c r="D31" s="1118">
        <f t="shared" si="31"/>
        <v>0</v>
      </c>
      <c r="E31" s="1267">
        <f t="shared" si="31"/>
        <v>0</v>
      </c>
      <c r="F31" s="1638"/>
      <c r="G31" s="1639"/>
      <c r="H31" s="1638"/>
      <c r="I31" s="1639"/>
      <c r="J31" s="1638"/>
      <c r="K31" s="1639"/>
      <c r="L31" s="1638"/>
      <c r="M31" s="1639"/>
      <c r="N31" s="1638"/>
      <c r="O31" s="1639"/>
      <c r="P31" s="1638"/>
      <c r="Q31" s="1639"/>
      <c r="R31" s="1638"/>
      <c r="S31" s="1639"/>
      <c r="T31" s="1638"/>
      <c r="U31" s="1639"/>
      <c r="V31" s="1638"/>
      <c r="W31" s="1639"/>
      <c r="X31" s="1638"/>
      <c r="Y31" s="1639"/>
      <c r="Z31" s="1638"/>
      <c r="AA31" s="1639"/>
      <c r="AB31" s="1638"/>
      <c r="AC31" s="1639"/>
      <c r="AD31" s="1638"/>
      <c r="AE31" s="1639"/>
      <c r="AF31" s="1638"/>
      <c r="AG31" s="1639"/>
      <c r="AH31" s="1638"/>
      <c r="AI31" s="1639"/>
      <c r="AJ31" s="1638"/>
      <c r="AK31" s="1639"/>
      <c r="AL31" s="1638"/>
      <c r="AM31" s="1640"/>
      <c r="AN31" s="1641"/>
      <c r="AO31" s="1642"/>
      <c r="AP31" s="1643"/>
      <c r="AQ31" s="1639"/>
      <c r="AR31" s="1643"/>
      <c r="AS31" s="1639"/>
      <c r="AT31" s="1644"/>
      <c r="AU31" s="1644"/>
      <c r="AV31" s="1644"/>
      <c r="AW31" s="1644"/>
      <c r="AX31" s="1644"/>
      <c r="AY31" s="1116" t="str">
        <f t="shared" si="3"/>
        <v/>
      </c>
      <c r="AZ31" s="1265"/>
      <c r="BA31" s="1265"/>
      <c r="CA31" s="620" t="str">
        <f t="shared" si="32"/>
        <v/>
      </c>
      <c r="CB31" s="620" t="str">
        <f t="shared" si="25"/>
        <v/>
      </c>
      <c r="CC31" s="620" t="str">
        <f t="shared" si="33"/>
        <v/>
      </c>
      <c r="CD31" s="620" t="str">
        <f t="shared" si="34"/>
        <v/>
      </c>
      <c r="CE31" s="620" t="str">
        <f t="shared" si="35"/>
        <v/>
      </c>
      <c r="CF31" s="620" t="str">
        <f t="shared" si="36"/>
        <v/>
      </c>
      <c r="CG31" s="620" t="str">
        <f t="shared" si="9"/>
        <v/>
      </c>
      <c r="CH31" s="620" t="str">
        <f t="shared" si="10"/>
        <v/>
      </c>
      <c r="CI31" s="620" t="str">
        <f t="shared" si="37"/>
        <v/>
      </c>
      <c r="CJ31" s="620" t="str">
        <f t="shared" si="30"/>
        <v/>
      </c>
      <c r="CK31" s="620" t="str">
        <f t="shared" si="38"/>
        <v/>
      </c>
      <c r="CL31" s="470"/>
      <c r="CM31" s="470"/>
      <c r="CN31" s="501">
        <f t="shared" si="39"/>
        <v>0</v>
      </c>
      <c r="CO31" s="501">
        <f t="shared" si="15"/>
        <v>0</v>
      </c>
      <c r="CP31" s="501">
        <f t="shared" si="40"/>
        <v>0</v>
      </c>
      <c r="CQ31" s="501">
        <f t="shared" si="17"/>
        <v>0</v>
      </c>
      <c r="CR31" s="501">
        <f t="shared" si="41"/>
        <v>0</v>
      </c>
      <c r="CS31" s="501">
        <f t="shared" si="19"/>
        <v>0</v>
      </c>
      <c r="CT31" s="501">
        <f t="shared" si="20"/>
        <v>0</v>
      </c>
      <c r="CU31" s="501">
        <f t="shared" si="21"/>
        <v>0</v>
      </c>
      <c r="CV31" s="501">
        <f t="shared" si="22"/>
        <v>0</v>
      </c>
      <c r="CW31" s="501">
        <f t="shared" si="42"/>
        <v>0</v>
      </c>
      <c r="CX31" s="501">
        <f t="shared" si="43"/>
        <v>0</v>
      </c>
      <c r="DK31" s="470"/>
      <c r="DL31" s="470"/>
      <c r="DM31" s="470"/>
      <c r="DN31" s="470"/>
      <c r="DO31" s="470"/>
      <c r="DP31" s="470"/>
      <c r="DQ31" s="470"/>
      <c r="DR31" s="470"/>
      <c r="DS31" s="470"/>
      <c r="DT31" s="470"/>
      <c r="DV31"/>
    </row>
    <row r="32" spans="1:126" s="1168" customFormat="1" ht="15" customHeight="1" x14ac:dyDescent="0.25">
      <c r="A32" s="2318"/>
      <c r="B32" s="1266" t="s">
        <v>640</v>
      </c>
      <c r="C32" s="1270">
        <f t="shared" si="29"/>
        <v>0</v>
      </c>
      <c r="D32" s="1127">
        <f t="shared" si="31"/>
        <v>0</v>
      </c>
      <c r="E32" s="1271">
        <f t="shared" si="31"/>
        <v>0</v>
      </c>
      <c r="F32" s="1646"/>
      <c r="G32" s="1645"/>
      <c r="H32" s="1646"/>
      <c r="I32" s="1645"/>
      <c r="J32" s="1646"/>
      <c r="K32" s="1645"/>
      <c r="L32" s="1646"/>
      <c r="M32" s="1645"/>
      <c r="N32" s="1646"/>
      <c r="O32" s="1645"/>
      <c r="P32" s="1646"/>
      <c r="Q32" s="1645"/>
      <c r="R32" s="1646"/>
      <c r="S32" s="1645"/>
      <c r="T32" s="1646"/>
      <c r="U32" s="1645"/>
      <c r="V32" s="1646"/>
      <c r="W32" s="1645"/>
      <c r="X32" s="1646"/>
      <c r="Y32" s="1645"/>
      <c r="Z32" s="1646"/>
      <c r="AA32" s="1645"/>
      <c r="AB32" s="1646"/>
      <c r="AC32" s="1645"/>
      <c r="AD32" s="1646"/>
      <c r="AE32" s="1645"/>
      <c r="AF32" s="1646"/>
      <c r="AG32" s="1645"/>
      <c r="AH32" s="1646"/>
      <c r="AI32" s="1645"/>
      <c r="AJ32" s="1646"/>
      <c r="AK32" s="1645"/>
      <c r="AL32" s="1646"/>
      <c r="AM32" s="1647"/>
      <c r="AN32" s="1648"/>
      <c r="AO32" s="1649"/>
      <c r="AP32" s="1650"/>
      <c r="AQ32" s="1645"/>
      <c r="AR32" s="1650"/>
      <c r="AS32" s="1645"/>
      <c r="AT32" s="1651"/>
      <c r="AU32" s="1651"/>
      <c r="AV32" s="1651"/>
      <c r="AW32" s="1651"/>
      <c r="AX32" s="1651"/>
      <c r="AY32" s="1116" t="str">
        <f t="shared" si="3"/>
        <v/>
      </c>
      <c r="AZ32" s="1265"/>
      <c r="BA32" s="1265"/>
      <c r="CA32" s="620" t="str">
        <f t="shared" si="32"/>
        <v/>
      </c>
      <c r="CB32" s="620" t="str">
        <f t="shared" si="25"/>
        <v/>
      </c>
      <c r="CC32" s="620" t="str">
        <f t="shared" si="33"/>
        <v/>
      </c>
      <c r="CD32" s="620" t="str">
        <f t="shared" si="34"/>
        <v/>
      </c>
      <c r="CE32" s="620" t="str">
        <f t="shared" si="35"/>
        <v/>
      </c>
      <c r="CF32" s="620" t="str">
        <f t="shared" si="36"/>
        <v/>
      </c>
      <c r="CG32" s="620" t="str">
        <f t="shared" si="9"/>
        <v/>
      </c>
      <c r="CH32" s="620" t="str">
        <f t="shared" si="10"/>
        <v/>
      </c>
      <c r="CI32" s="620" t="str">
        <f t="shared" si="37"/>
        <v/>
      </c>
      <c r="CJ32" s="620" t="str">
        <f t="shared" si="30"/>
        <v/>
      </c>
      <c r="CK32" s="620" t="str">
        <f t="shared" si="38"/>
        <v/>
      </c>
      <c r="CL32" s="470"/>
      <c r="CM32" s="470"/>
      <c r="CN32" s="501">
        <f t="shared" si="39"/>
        <v>0</v>
      </c>
      <c r="CO32" s="501">
        <f t="shared" si="15"/>
        <v>0</v>
      </c>
      <c r="CP32" s="501">
        <f t="shared" si="40"/>
        <v>0</v>
      </c>
      <c r="CQ32" s="501">
        <f t="shared" si="17"/>
        <v>0</v>
      </c>
      <c r="CR32" s="501">
        <f t="shared" si="41"/>
        <v>0</v>
      </c>
      <c r="CS32" s="501">
        <f t="shared" si="19"/>
        <v>0</v>
      </c>
      <c r="CT32" s="501">
        <f t="shared" si="20"/>
        <v>0</v>
      </c>
      <c r="CU32" s="501">
        <f t="shared" si="21"/>
        <v>0</v>
      </c>
      <c r="CV32" s="501">
        <f t="shared" si="22"/>
        <v>0</v>
      </c>
      <c r="CW32" s="501">
        <f t="shared" si="42"/>
        <v>0</v>
      </c>
      <c r="CX32" s="501">
        <f t="shared" si="43"/>
        <v>0</v>
      </c>
      <c r="DK32" s="470"/>
      <c r="DL32" s="470"/>
      <c r="DM32" s="470"/>
      <c r="DN32" s="470"/>
      <c r="DO32" s="470"/>
      <c r="DP32" s="470"/>
      <c r="DQ32" s="470"/>
      <c r="DR32" s="470"/>
      <c r="DS32" s="470"/>
      <c r="DT32" s="470"/>
      <c r="DV32"/>
    </row>
    <row r="33" spans="1:126" s="1168" customFormat="1" ht="15" customHeight="1" x14ac:dyDescent="0.25">
      <c r="A33" s="2318"/>
      <c r="B33" s="1266" t="s">
        <v>641</v>
      </c>
      <c r="C33" s="1270">
        <f t="shared" si="29"/>
        <v>0</v>
      </c>
      <c r="D33" s="1127">
        <f t="shared" si="31"/>
        <v>0</v>
      </c>
      <c r="E33" s="1271">
        <f t="shared" si="31"/>
        <v>0</v>
      </c>
      <c r="F33" s="1646"/>
      <c r="G33" s="1645"/>
      <c r="H33" s="1646"/>
      <c r="I33" s="1645"/>
      <c r="J33" s="1646"/>
      <c r="K33" s="1645"/>
      <c r="L33" s="1646"/>
      <c r="M33" s="1645"/>
      <c r="N33" s="1646"/>
      <c r="O33" s="1645"/>
      <c r="P33" s="1646"/>
      <c r="Q33" s="1645"/>
      <c r="R33" s="1646"/>
      <c r="S33" s="1645"/>
      <c r="T33" s="1646"/>
      <c r="U33" s="1645"/>
      <c r="V33" s="1646"/>
      <c r="W33" s="1645"/>
      <c r="X33" s="1646"/>
      <c r="Y33" s="1645"/>
      <c r="Z33" s="1646"/>
      <c r="AA33" s="1645"/>
      <c r="AB33" s="1646"/>
      <c r="AC33" s="1645"/>
      <c r="AD33" s="1646"/>
      <c r="AE33" s="1645"/>
      <c r="AF33" s="1646"/>
      <c r="AG33" s="1645"/>
      <c r="AH33" s="1646"/>
      <c r="AI33" s="1645"/>
      <c r="AJ33" s="1646"/>
      <c r="AK33" s="1645"/>
      <c r="AL33" s="1646"/>
      <c r="AM33" s="1647"/>
      <c r="AN33" s="1648"/>
      <c r="AO33" s="1649"/>
      <c r="AP33" s="1650"/>
      <c r="AQ33" s="1645"/>
      <c r="AR33" s="1650"/>
      <c r="AS33" s="1645"/>
      <c r="AT33" s="1651"/>
      <c r="AU33" s="1651"/>
      <c r="AV33" s="1651"/>
      <c r="AW33" s="1651"/>
      <c r="AX33" s="1651"/>
      <c r="AY33" s="1116" t="str">
        <f t="shared" si="3"/>
        <v/>
      </c>
      <c r="AZ33" s="1265"/>
      <c r="BA33" s="1265"/>
      <c r="CA33" s="620" t="str">
        <f t="shared" si="32"/>
        <v/>
      </c>
      <c r="CB33" s="620" t="str">
        <f t="shared" si="25"/>
        <v/>
      </c>
      <c r="CC33" s="620" t="str">
        <f t="shared" si="33"/>
        <v/>
      </c>
      <c r="CD33" s="620" t="str">
        <f t="shared" si="34"/>
        <v/>
      </c>
      <c r="CE33" s="620" t="str">
        <f t="shared" si="35"/>
        <v/>
      </c>
      <c r="CF33" s="620" t="str">
        <f t="shared" si="36"/>
        <v/>
      </c>
      <c r="CG33" s="620" t="str">
        <f t="shared" si="9"/>
        <v/>
      </c>
      <c r="CH33" s="620" t="str">
        <f t="shared" si="10"/>
        <v/>
      </c>
      <c r="CI33" s="620" t="str">
        <f t="shared" si="37"/>
        <v/>
      </c>
      <c r="CJ33" s="620" t="str">
        <f t="shared" si="30"/>
        <v/>
      </c>
      <c r="CK33" s="620" t="str">
        <f t="shared" si="38"/>
        <v/>
      </c>
      <c r="CL33" s="470"/>
      <c r="CM33" s="470"/>
      <c r="CN33" s="501">
        <f t="shared" si="39"/>
        <v>0</v>
      </c>
      <c r="CO33" s="501">
        <f t="shared" si="15"/>
        <v>0</v>
      </c>
      <c r="CP33" s="501">
        <f t="shared" si="40"/>
        <v>0</v>
      </c>
      <c r="CQ33" s="501">
        <f t="shared" si="17"/>
        <v>0</v>
      </c>
      <c r="CR33" s="501">
        <f t="shared" si="41"/>
        <v>0</v>
      </c>
      <c r="CS33" s="501">
        <f t="shared" si="19"/>
        <v>0</v>
      </c>
      <c r="CT33" s="501">
        <f t="shared" si="20"/>
        <v>0</v>
      </c>
      <c r="CU33" s="501">
        <f t="shared" si="21"/>
        <v>0</v>
      </c>
      <c r="CV33" s="501">
        <f t="shared" si="22"/>
        <v>0</v>
      </c>
      <c r="CW33" s="501">
        <f t="shared" si="42"/>
        <v>0</v>
      </c>
      <c r="CX33" s="501">
        <f t="shared" si="43"/>
        <v>0</v>
      </c>
      <c r="DK33" s="470"/>
      <c r="DL33" s="470"/>
      <c r="DM33" s="470"/>
      <c r="DN33" s="470"/>
      <c r="DO33" s="470"/>
      <c r="DP33" s="470"/>
      <c r="DQ33" s="470"/>
      <c r="DR33" s="470"/>
      <c r="DS33" s="470"/>
      <c r="DT33" s="470"/>
      <c r="DV33"/>
    </row>
    <row r="34" spans="1:126" s="1168" customFormat="1" ht="15" customHeight="1" x14ac:dyDescent="0.25">
      <c r="A34" s="2319"/>
      <c r="B34" s="1269" t="s">
        <v>642</v>
      </c>
      <c r="C34" s="1139">
        <f t="shared" si="29"/>
        <v>0</v>
      </c>
      <c r="D34" s="1133">
        <f t="shared" si="31"/>
        <v>0</v>
      </c>
      <c r="E34" s="1251">
        <f t="shared" si="31"/>
        <v>0</v>
      </c>
      <c r="F34" s="1623"/>
      <c r="G34" s="1624"/>
      <c r="H34" s="1623"/>
      <c r="I34" s="1624"/>
      <c r="J34" s="1623"/>
      <c r="K34" s="1624"/>
      <c r="L34" s="1623"/>
      <c r="M34" s="1624"/>
      <c r="N34" s="1623"/>
      <c r="O34" s="1624"/>
      <c r="P34" s="1623"/>
      <c r="Q34" s="1624"/>
      <c r="R34" s="1623"/>
      <c r="S34" s="1624"/>
      <c r="T34" s="1623"/>
      <c r="U34" s="1624"/>
      <c r="V34" s="1623"/>
      <c r="W34" s="1624"/>
      <c r="X34" s="1623"/>
      <c r="Y34" s="1624"/>
      <c r="Z34" s="1623"/>
      <c r="AA34" s="1624"/>
      <c r="AB34" s="1623"/>
      <c r="AC34" s="1624"/>
      <c r="AD34" s="1623"/>
      <c r="AE34" s="1624"/>
      <c r="AF34" s="1623"/>
      <c r="AG34" s="1624"/>
      <c r="AH34" s="1623"/>
      <c r="AI34" s="1624"/>
      <c r="AJ34" s="1623"/>
      <c r="AK34" s="1624"/>
      <c r="AL34" s="1623"/>
      <c r="AM34" s="1625"/>
      <c r="AN34" s="1626"/>
      <c r="AO34" s="1627"/>
      <c r="AP34" s="1628"/>
      <c r="AQ34" s="1624"/>
      <c r="AR34" s="1628"/>
      <c r="AS34" s="1624"/>
      <c r="AT34" s="1629"/>
      <c r="AU34" s="1629"/>
      <c r="AV34" s="1629"/>
      <c r="AW34" s="1629"/>
      <c r="AX34" s="1629"/>
      <c r="AY34" s="1116" t="str">
        <f t="shared" si="3"/>
        <v/>
      </c>
      <c r="AZ34" s="1265"/>
      <c r="BA34" s="1265"/>
      <c r="CA34" s="620" t="str">
        <f t="shared" si="32"/>
        <v/>
      </c>
      <c r="CB34" s="620" t="str">
        <f t="shared" si="25"/>
        <v/>
      </c>
      <c r="CC34" s="620" t="str">
        <f t="shared" si="33"/>
        <v/>
      </c>
      <c r="CD34" s="620" t="str">
        <f t="shared" si="34"/>
        <v/>
      </c>
      <c r="CE34" s="620" t="str">
        <f t="shared" si="35"/>
        <v/>
      </c>
      <c r="CF34" s="620" t="str">
        <f t="shared" si="36"/>
        <v/>
      </c>
      <c r="CG34" s="620" t="str">
        <f t="shared" si="9"/>
        <v/>
      </c>
      <c r="CH34" s="620" t="str">
        <f t="shared" si="10"/>
        <v/>
      </c>
      <c r="CI34" s="620" t="str">
        <f t="shared" si="37"/>
        <v/>
      </c>
      <c r="CJ34" s="620" t="str">
        <f t="shared" si="30"/>
        <v/>
      </c>
      <c r="CK34" s="620" t="str">
        <f t="shared" si="38"/>
        <v/>
      </c>
      <c r="CL34" s="470"/>
      <c r="CM34" s="470"/>
      <c r="CN34" s="501">
        <f t="shared" si="39"/>
        <v>0</v>
      </c>
      <c r="CO34" s="501">
        <f t="shared" si="15"/>
        <v>0</v>
      </c>
      <c r="CP34" s="501">
        <f t="shared" si="40"/>
        <v>0</v>
      </c>
      <c r="CQ34" s="501">
        <f t="shared" si="17"/>
        <v>0</v>
      </c>
      <c r="CR34" s="501">
        <f t="shared" si="41"/>
        <v>0</v>
      </c>
      <c r="CS34" s="501">
        <f t="shared" si="19"/>
        <v>0</v>
      </c>
      <c r="CT34" s="501">
        <f t="shared" si="20"/>
        <v>0</v>
      </c>
      <c r="CU34" s="501">
        <f t="shared" si="21"/>
        <v>0</v>
      </c>
      <c r="CV34" s="501">
        <f t="shared" si="22"/>
        <v>0</v>
      </c>
      <c r="CW34" s="501">
        <f t="shared" si="42"/>
        <v>0</v>
      </c>
      <c r="CX34" s="501">
        <f t="shared" si="43"/>
        <v>0</v>
      </c>
      <c r="DK34" s="470"/>
      <c r="DL34" s="470"/>
      <c r="DM34" s="470"/>
      <c r="DN34" s="470"/>
      <c r="DO34" s="470"/>
      <c r="DP34" s="470"/>
      <c r="DQ34" s="470"/>
      <c r="DR34" s="470"/>
      <c r="DS34" s="470"/>
      <c r="DT34" s="470"/>
      <c r="DV34"/>
    </row>
    <row r="35" spans="1:126" s="1168" customFormat="1" ht="15" customHeight="1" x14ac:dyDescent="0.25">
      <c r="A35" s="2317" t="s">
        <v>643</v>
      </c>
      <c r="B35" s="1247" t="s">
        <v>644</v>
      </c>
      <c r="C35" s="1110">
        <f t="shared" si="29"/>
        <v>0</v>
      </c>
      <c r="D35" s="1111">
        <f t="shared" si="31"/>
        <v>0</v>
      </c>
      <c r="E35" s="1262">
        <f t="shared" si="31"/>
        <v>0</v>
      </c>
      <c r="F35" s="1609"/>
      <c r="G35" s="1610"/>
      <c r="H35" s="1609"/>
      <c r="I35" s="1610"/>
      <c r="J35" s="1609"/>
      <c r="K35" s="1610"/>
      <c r="L35" s="1609"/>
      <c r="M35" s="1610"/>
      <c r="N35" s="1609"/>
      <c r="O35" s="1610"/>
      <c r="P35" s="1609"/>
      <c r="Q35" s="1610"/>
      <c r="R35" s="1609"/>
      <c r="S35" s="1610"/>
      <c r="T35" s="1609"/>
      <c r="U35" s="1610"/>
      <c r="V35" s="1609"/>
      <c r="W35" s="1610"/>
      <c r="X35" s="1609"/>
      <c r="Y35" s="1610"/>
      <c r="Z35" s="1609"/>
      <c r="AA35" s="1610"/>
      <c r="AB35" s="1609"/>
      <c r="AC35" s="1610"/>
      <c r="AD35" s="1609"/>
      <c r="AE35" s="1610"/>
      <c r="AF35" s="1609"/>
      <c r="AG35" s="1610"/>
      <c r="AH35" s="1609"/>
      <c r="AI35" s="1610"/>
      <c r="AJ35" s="1609"/>
      <c r="AK35" s="1610"/>
      <c r="AL35" s="1609"/>
      <c r="AM35" s="1611"/>
      <c r="AN35" s="1612"/>
      <c r="AO35" s="1272"/>
      <c r="AP35" s="1614"/>
      <c r="AQ35" s="1610"/>
      <c r="AR35" s="1614"/>
      <c r="AS35" s="1610"/>
      <c r="AT35" s="1615"/>
      <c r="AU35" s="1615"/>
      <c r="AV35" s="1615"/>
      <c r="AW35" s="1615"/>
      <c r="AX35" s="1615"/>
      <c r="AY35" s="1116" t="str">
        <f t="shared" si="3"/>
        <v/>
      </c>
      <c r="AZ35" s="1265"/>
      <c r="BA35" s="1265"/>
      <c r="CA35" s="620" t="str">
        <f t="shared" si="32"/>
        <v/>
      </c>
      <c r="CB35" s="502"/>
      <c r="CC35" s="620" t="str">
        <f t="shared" ref="CC35:CC39" si="44">IF(AND(D35&gt;0,OR(AP35=""))," * No olvide digitar la variable Pueblos Originarios Hombres. Digite Cero si no tiene.",IF(AP35&gt;D35," * La variable Pueblos Originarios Hombres no puede ser Mayor al Total Hombres.",""))</f>
        <v/>
      </c>
      <c r="CD35" s="620" t="str">
        <f t="shared" ref="CD35:CD39" si="45">IF(AND(E35&gt;0,OR(AQ35=""))," * No olvide digitar la variable Pueblos Originarios Mujeres. Digite Cero si no tiene.",IF(AQ35&gt;E35," * La variable Pueblos Originarios Mujeres no puede ser Mayor al Total Mujeres.",""))</f>
        <v/>
      </c>
      <c r="CE35" s="620" t="str">
        <f t="shared" ref="CE35:CE39" si="46">IF(AND($D35&gt;0,OR(AR35=""))," * No olvide digitar la variable Migrantes Hombres. Digite Cero si no tiene.",IF(AR35&gt;$D35," * La variable Migrantes Hombres no puede ser Mayor al Total Hombres.",""))</f>
        <v/>
      </c>
      <c r="CF35" s="620" t="str">
        <f t="shared" ref="CF35:CF39" si="47">IF(AND($E35&gt;0,OR(AS35=""))," * No olvide digitar la variable Migrantes Mujeres. Digite Cero si no tiene.",IF(AS35&gt;$E35," * La variable Migrantes Mujeres no puede ser Mayor al Total Mujeres.",""))</f>
        <v/>
      </c>
      <c r="CG35" s="620" t="str">
        <f t="shared" si="9"/>
        <v/>
      </c>
      <c r="CH35" s="620" t="str">
        <f t="shared" si="10"/>
        <v/>
      </c>
      <c r="CI35" s="620" t="str">
        <f t="shared" ref="CI35:CI39" si="48">IF(AND(C35&gt;0,OR(AV35=""))," * No olvide digitar la variable Plan Cuidado Integral Elaborado. Digite Cero si no tiene.",IF($AV35&gt;$C35,"* La variable Plan Cuidado Integral Elaborado debe ser menor o igual al Total de Personas en control. ",""))</f>
        <v/>
      </c>
      <c r="CJ35" s="620" t="str">
        <f t="shared" ref="CJ35:CJ39" si="49">IF(AND(E35&gt;0,OR(AW35=""))," * No olvide digitar la variable Trans Masculino. (Digite Cero si no tiene).",IF(AW35&gt;E35," * La variable Trans Masculino no debe ser mayor al Total Mujeres.",""))</f>
        <v/>
      </c>
      <c r="CK35" s="620" t="str">
        <f t="shared" ref="CK35:CK39" si="50">IF(AND(D35&gt;0,OR(AX35=""))," * No olvide digitar la variable Trans Femenino. (Digite Cero si no tiene).",IF(AX35&gt;D35," * La variable Trans Femenino no debe ser mayor al Total Hombre.",""))</f>
        <v/>
      </c>
      <c r="CL35" s="470"/>
      <c r="CM35" s="470"/>
      <c r="CN35" s="501">
        <f t="shared" si="39"/>
        <v>0</v>
      </c>
      <c r="CO35" s="502"/>
      <c r="CP35" s="501">
        <f t="shared" si="40"/>
        <v>0</v>
      </c>
      <c r="CQ35" s="501">
        <f t="shared" ref="CQ35:CQ38" si="51">IF(AND($E35&gt;0,OR(AQ35="")),1,IF(AQ35&gt;$E35,1,0))</f>
        <v>0</v>
      </c>
      <c r="CR35" s="501">
        <f t="shared" ref="CR35:CR38" si="52">IF(AND($D35&gt;0,OR(AR35="")),1,IF(AR35&gt;$D35,1,0))</f>
        <v>0</v>
      </c>
      <c r="CS35" s="501">
        <f t="shared" ref="CS35:CS38" si="53">IF(AND($E35&gt;0,OR(AS35="")),1,IF(AS35&gt;$E35,1,0))</f>
        <v>0</v>
      </c>
      <c r="CT35" s="501">
        <f t="shared" ref="CT35:CT38" si="54">IF(AND($C35&gt;0,OR(AT35="")),1,IF(AT35&gt;$C35,1,0))</f>
        <v>0</v>
      </c>
      <c r="CU35" s="501">
        <f t="shared" ref="CU35:CU38" si="55">IF(AND($C35&gt;0,OR(AU35="")),1,IF(AU35&gt;$C35,1,0))</f>
        <v>0</v>
      </c>
      <c r="CV35" s="501">
        <f t="shared" ref="CV35:CV38" si="56">IF(AND($C35&gt;0,OR(AV35="")),1,IF(AV35&gt;$C35,1,0))</f>
        <v>0</v>
      </c>
      <c r="CW35" s="501">
        <f t="shared" si="42"/>
        <v>0</v>
      </c>
      <c r="CX35" s="501">
        <f t="shared" si="43"/>
        <v>0</v>
      </c>
      <c r="DK35" s="470"/>
      <c r="DL35" s="470"/>
      <c r="DM35" s="470"/>
      <c r="DN35" s="470"/>
      <c r="DO35" s="470"/>
      <c r="DP35" s="470"/>
      <c r="DQ35" s="470"/>
      <c r="DR35" s="470"/>
      <c r="DS35" s="470"/>
      <c r="DT35" s="470"/>
      <c r="DV35"/>
    </row>
    <row r="36" spans="1:126" s="1168" customFormat="1" ht="15" customHeight="1" x14ac:dyDescent="0.25">
      <c r="A36" s="2318"/>
      <c r="B36" s="1266" t="s">
        <v>645</v>
      </c>
      <c r="C36" s="1144">
        <f t="shared" si="29"/>
        <v>0</v>
      </c>
      <c r="D36" s="1118">
        <f t="shared" si="31"/>
        <v>0</v>
      </c>
      <c r="E36" s="1267">
        <f t="shared" si="31"/>
        <v>0</v>
      </c>
      <c r="F36" s="1638"/>
      <c r="G36" s="1639"/>
      <c r="H36" s="1638"/>
      <c r="I36" s="1639"/>
      <c r="J36" s="1638"/>
      <c r="K36" s="1639"/>
      <c r="L36" s="1638"/>
      <c r="M36" s="1639"/>
      <c r="N36" s="1638"/>
      <c r="O36" s="1643"/>
      <c r="P36" s="1638"/>
      <c r="Q36" s="1639"/>
      <c r="R36" s="1638"/>
      <c r="S36" s="1639"/>
      <c r="T36" s="1638"/>
      <c r="U36" s="1639"/>
      <c r="V36" s="1638"/>
      <c r="W36" s="1639"/>
      <c r="X36" s="1638"/>
      <c r="Y36" s="1639"/>
      <c r="Z36" s="1638"/>
      <c r="AA36" s="1639"/>
      <c r="AB36" s="1638"/>
      <c r="AC36" s="1639"/>
      <c r="AD36" s="1638"/>
      <c r="AE36" s="1639"/>
      <c r="AF36" s="1638"/>
      <c r="AG36" s="1639"/>
      <c r="AH36" s="1638"/>
      <c r="AI36" s="1639"/>
      <c r="AJ36" s="1638"/>
      <c r="AK36" s="1639"/>
      <c r="AL36" s="1638"/>
      <c r="AM36" s="1640"/>
      <c r="AN36" s="1641"/>
      <c r="AO36" s="1273"/>
      <c r="AP36" s="1643"/>
      <c r="AQ36" s="1639"/>
      <c r="AR36" s="1643"/>
      <c r="AS36" s="1639"/>
      <c r="AT36" s="1644"/>
      <c r="AU36" s="1644"/>
      <c r="AV36" s="1644"/>
      <c r="AW36" s="1644"/>
      <c r="AX36" s="1644"/>
      <c r="AY36" s="1116" t="str">
        <f t="shared" si="3"/>
        <v/>
      </c>
      <c r="AZ36" s="1265"/>
      <c r="BA36" s="1265"/>
      <c r="CA36" s="620" t="str">
        <f t="shared" si="32"/>
        <v/>
      </c>
      <c r="CB36" s="502"/>
      <c r="CC36" s="620" t="str">
        <f t="shared" si="44"/>
        <v/>
      </c>
      <c r="CD36" s="620" t="str">
        <f t="shared" si="45"/>
        <v/>
      </c>
      <c r="CE36" s="620" t="str">
        <f t="shared" si="46"/>
        <v/>
      </c>
      <c r="CF36" s="620" t="str">
        <f t="shared" si="47"/>
        <v/>
      </c>
      <c r="CG36" s="620" t="str">
        <f t="shared" si="9"/>
        <v/>
      </c>
      <c r="CH36" s="620" t="str">
        <f t="shared" si="10"/>
        <v/>
      </c>
      <c r="CI36" s="620" t="str">
        <f t="shared" si="48"/>
        <v/>
      </c>
      <c r="CJ36" s="620" t="str">
        <f t="shared" si="49"/>
        <v/>
      </c>
      <c r="CK36" s="620" t="str">
        <f t="shared" si="50"/>
        <v/>
      </c>
      <c r="CL36" s="470"/>
      <c r="CM36" s="470"/>
      <c r="CN36" s="501">
        <f t="shared" si="39"/>
        <v>0</v>
      </c>
      <c r="CO36" s="502"/>
      <c r="CP36" s="501">
        <f t="shared" ref="CP36:CP38" si="57">IF(AND($D36&gt;0,OR(AP36="")),1,IF(AP36&gt;$D36,1,0))</f>
        <v>0</v>
      </c>
      <c r="CQ36" s="501">
        <f t="shared" si="51"/>
        <v>0</v>
      </c>
      <c r="CR36" s="501">
        <f t="shared" si="52"/>
        <v>0</v>
      </c>
      <c r="CS36" s="501">
        <f t="shared" si="53"/>
        <v>0</v>
      </c>
      <c r="CT36" s="501">
        <f t="shared" si="54"/>
        <v>0</v>
      </c>
      <c r="CU36" s="501">
        <f t="shared" si="55"/>
        <v>0</v>
      </c>
      <c r="CV36" s="501">
        <f t="shared" si="56"/>
        <v>0</v>
      </c>
      <c r="CW36" s="501">
        <f t="shared" si="42"/>
        <v>0</v>
      </c>
      <c r="CX36" s="501">
        <f t="shared" si="43"/>
        <v>0</v>
      </c>
      <c r="DK36" s="470"/>
      <c r="DL36" s="470"/>
      <c r="DM36" s="470"/>
      <c r="DN36" s="470"/>
      <c r="DO36" s="470"/>
      <c r="DP36" s="470"/>
      <c r="DQ36" s="470"/>
      <c r="DR36" s="470"/>
      <c r="DS36" s="470"/>
      <c r="DT36" s="470"/>
      <c r="DV36"/>
    </row>
    <row r="37" spans="1:126" s="1168" customFormat="1" ht="15" customHeight="1" x14ac:dyDescent="0.25">
      <c r="A37" s="2318"/>
      <c r="B37" s="1266" t="s">
        <v>646</v>
      </c>
      <c r="C37" s="1117">
        <f t="shared" si="29"/>
        <v>0</v>
      </c>
      <c r="D37" s="1136">
        <f>+F37+H37+J37</f>
        <v>0</v>
      </c>
      <c r="E37" s="1248">
        <f>+G37+I37+K37</f>
        <v>0</v>
      </c>
      <c r="F37" s="1638"/>
      <c r="G37" s="1639"/>
      <c r="H37" s="1638"/>
      <c r="I37" s="1639"/>
      <c r="J37" s="1638"/>
      <c r="K37" s="1639"/>
      <c r="L37" s="1122"/>
      <c r="M37" s="1123"/>
      <c r="N37" s="1122"/>
      <c r="O37" s="1123"/>
      <c r="P37" s="1122"/>
      <c r="Q37" s="1123"/>
      <c r="R37" s="1122"/>
      <c r="S37" s="1123"/>
      <c r="T37" s="1122"/>
      <c r="U37" s="1123"/>
      <c r="V37" s="1122"/>
      <c r="W37" s="1123"/>
      <c r="X37" s="1122"/>
      <c r="Y37" s="1123"/>
      <c r="Z37" s="1122"/>
      <c r="AA37" s="1123"/>
      <c r="AB37" s="1122"/>
      <c r="AC37" s="1123"/>
      <c r="AD37" s="1122"/>
      <c r="AE37" s="1123"/>
      <c r="AF37" s="1122"/>
      <c r="AG37" s="1123"/>
      <c r="AH37" s="1122"/>
      <c r="AI37" s="1123"/>
      <c r="AJ37" s="1122"/>
      <c r="AK37" s="1123"/>
      <c r="AL37" s="1122"/>
      <c r="AM37" s="1145"/>
      <c r="AN37" s="1641"/>
      <c r="AO37" s="1273"/>
      <c r="AP37" s="1643"/>
      <c r="AQ37" s="1639"/>
      <c r="AR37" s="1643"/>
      <c r="AS37" s="1639"/>
      <c r="AT37" s="1644"/>
      <c r="AU37" s="1644"/>
      <c r="AV37" s="1644"/>
      <c r="AW37" s="1644"/>
      <c r="AX37" s="1644"/>
      <c r="AY37" s="1116" t="str">
        <f t="shared" si="3"/>
        <v/>
      </c>
      <c r="AZ37" s="1265"/>
      <c r="BA37" s="1265"/>
      <c r="CA37" s="620" t="str">
        <f t="shared" si="32"/>
        <v/>
      </c>
      <c r="CB37" s="502"/>
      <c r="CC37" s="620" t="str">
        <f t="shared" si="44"/>
        <v/>
      </c>
      <c r="CD37" s="620" t="str">
        <f t="shared" si="45"/>
        <v/>
      </c>
      <c r="CE37" s="620" t="str">
        <f t="shared" si="46"/>
        <v/>
      </c>
      <c r="CF37" s="620" t="str">
        <f t="shared" si="47"/>
        <v/>
      </c>
      <c r="CG37" s="620" t="str">
        <f t="shared" si="9"/>
        <v/>
      </c>
      <c r="CH37" s="620" t="str">
        <f t="shared" si="10"/>
        <v/>
      </c>
      <c r="CI37" s="620" t="str">
        <f t="shared" si="48"/>
        <v/>
      </c>
      <c r="CJ37" s="620" t="str">
        <f t="shared" si="49"/>
        <v/>
      </c>
      <c r="CK37" s="620" t="str">
        <f t="shared" si="50"/>
        <v/>
      </c>
      <c r="CL37" s="470"/>
      <c r="CM37" s="470"/>
      <c r="CN37" s="501">
        <f t="shared" si="39"/>
        <v>0</v>
      </c>
      <c r="CO37" s="502"/>
      <c r="CP37" s="501">
        <f t="shared" si="57"/>
        <v>0</v>
      </c>
      <c r="CQ37" s="501">
        <f t="shared" si="51"/>
        <v>0</v>
      </c>
      <c r="CR37" s="501">
        <f t="shared" si="52"/>
        <v>0</v>
      </c>
      <c r="CS37" s="501">
        <f t="shared" si="53"/>
        <v>0</v>
      </c>
      <c r="CT37" s="501">
        <f t="shared" si="54"/>
        <v>0</v>
      </c>
      <c r="CU37" s="501">
        <f t="shared" si="55"/>
        <v>0</v>
      </c>
      <c r="CV37" s="501">
        <f t="shared" si="56"/>
        <v>0</v>
      </c>
      <c r="CW37" s="501">
        <f t="shared" si="42"/>
        <v>0</v>
      </c>
      <c r="CX37" s="501">
        <f t="shared" si="43"/>
        <v>0</v>
      </c>
      <c r="DK37" s="470"/>
      <c r="DL37" s="470"/>
      <c r="DM37" s="470"/>
      <c r="DN37" s="470"/>
      <c r="DO37" s="470"/>
      <c r="DP37" s="470"/>
      <c r="DQ37" s="470"/>
      <c r="DR37" s="470"/>
      <c r="DS37" s="470"/>
      <c r="DT37" s="470"/>
      <c r="DV37"/>
    </row>
    <row r="38" spans="1:126" s="1168" customFormat="1" ht="23.25" customHeight="1" x14ac:dyDescent="0.25">
      <c r="A38" s="2319"/>
      <c r="B38" s="1269" t="s">
        <v>647</v>
      </c>
      <c r="C38" s="1139">
        <f t="shared" si="29"/>
        <v>0</v>
      </c>
      <c r="D38" s="1133">
        <f>+F38+H38+J38+L38+N38</f>
        <v>0</v>
      </c>
      <c r="E38" s="1251">
        <f>+G38+I38+K38+M38+O38</f>
        <v>0</v>
      </c>
      <c r="F38" s="1623"/>
      <c r="G38" s="1624"/>
      <c r="H38" s="1623"/>
      <c r="I38" s="1624"/>
      <c r="J38" s="1623"/>
      <c r="K38" s="1624"/>
      <c r="L38" s="1623"/>
      <c r="M38" s="1624"/>
      <c r="N38" s="1623"/>
      <c r="O38" s="1624"/>
      <c r="P38" s="1140"/>
      <c r="Q38" s="1141"/>
      <c r="R38" s="1140"/>
      <c r="S38" s="1141"/>
      <c r="T38" s="1140"/>
      <c r="U38" s="1141"/>
      <c r="V38" s="1140"/>
      <c r="W38" s="1141"/>
      <c r="X38" s="1140"/>
      <c r="Y38" s="1141"/>
      <c r="Z38" s="1140"/>
      <c r="AA38" s="1141"/>
      <c r="AB38" s="1140"/>
      <c r="AC38" s="1141"/>
      <c r="AD38" s="1140"/>
      <c r="AE38" s="1141"/>
      <c r="AF38" s="1140"/>
      <c r="AG38" s="1141"/>
      <c r="AH38" s="1140"/>
      <c r="AI38" s="1141"/>
      <c r="AJ38" s="1140"/>
      <c r="AK38" s="1141"/>
      <c r="AL38" s="1140"/>
      <c r="AM38" s="1274"/>
      <c r="AN38" s="1626"/>
      <c r="AO38" s="1275"/>
      <c r="AP38" s="1628"/>
      <c r="AQ38" s="1624"/>
      <c r="AR38" s="1628"/>
      <c r="AS38" s="1624"/>
      <c r="AT38" s="1629"/>
      <c r="AU38" s="1629"/>
      <c r="AV38" s="1629"/>
      <c r="AW38" s="1629"/>
      <c r="AX38" s="1629"/>
      <c r="AY38" s="1116" t="str">
        <f t="shared" si="3"/>
        <v/>
      </c>
      <c r="AZ38" s="1265"/>
      <c r="BA38" s="1265"/>
      <c r="CA38" s="620" t="str">
        <f t="shared" si="32"/>
        <v/>
      </c>
      <c r="CB38" s="502"/>
      <c r="CC38" s="620" t="str">
        <f t="shared" si="44"/>
        <v/>
      </c>
      <c r="CD38" s="620" t="str">
        <f t="shared" si="45"/>
        <v/>
      </c>
      <c r="CE38" s="620" t="str">
        <f t="shared" si="46"/>
        <v/>
      </c>
      <c r="CF38" s="620" t="str">
        <f t="shared" si="47"/>
        <v/>
      </c>
      <c r="CG38" s="620" t="str">
        <f t="shared" si="9"/>
        <v/>
      </c>
      <c r="CH38" s="620" t="str">
        <f t="shared" si="10"/>
        <v/>
      </c>
      <c r="CI38" s="620" t="str">
        <f t="shared" si="48"/>
        <v/>
      </c>
      <c r="CJ38" s="620" t="str">
        <f t="shared" si="49"/>
        <v/>
      </c>
      <c r="CK38" s="620" t="str">
        <f t="shared" si="50"/>
        <v/>
      </c>
      <c r="CL38" s="470"/>
      <c r="CM38" s="470"/>
      <c r="CN38" s="501">
        <f t="shared" si="39"/>
        <v>0</v>
      </c>
      <c r="CO38" s="502"/>
      <c r="CP38" s="501">
        <f t="shared" si="57"/>
        <v>0</v>
      </c>
      <c r="CQ38" s="501">
        <f t="shared" si="51"/>
        <v>0</v>
      </c>
      <c r="CR38" s="501">
        <f t="shared" si="52"/>
        <v>0</v>
      </c>
      <c r="CS38" s="501">
        <f t="shared" si="53"/>
        <v>0</v>
      </c>
      <c r="CT38" s="501">
        <f t="shared" si="54"/>
        <v>0</v>
      </c>
      <c r="CU38" s="501">
        <f t="shared" si="55"/>
        <v>0</v>
      </c>
      <c r="CV38" s="501">
        <f t="shared" si="56"/>
        <v>0</v>
      </c>
      <c r="CW38" s="501">
        <f t="shared" si="42"/>
        <v>0</v>
      </c>
      <c r="CX38" s="501">
        <f t="shared" si="43"/>
        <v>0</v>
      </c>
      <c r="DK38" s="470"/>
      <c r="DL38" s="470"/>
      <c r="DM38" s="470"/>
      <c r="DN38" s="470"/>
      <c r="DO38" s="470"/>
      <c r="DP38" s="470"/>
      <c r="DQ38" s="470"/>
      <c r="DR38" s="470"/>
      <c r="DS38" s="470"/>
      <c r="DT38" s="470"/>
      <c r="DV38"/>
    </row>
    <row r="39" spans="1:126" s="1168" customFormat="1" ht="15" customHeight="1" x14ac:dyDescent="0.25">
      <c r="A39" s="2317" t="s">
        <v>648</v>
      </c>
      <c r="B39" s="1247" t="s">
        <v>649</v>
      </c>
      <c r="C39" s="1276">
        <f t="shared" si="29"/>
        <v>0</v>
      </c>
      <c r="D39" s="1277">
        <f t="shared" ref="D39:E43" si="58">SUM(F39+H39+J39+L39+N39+P39+R39+T39+V39+X39+Z39+AB39+AD39+AF39+AH39+AJ39+AL39)</f>
        <v>0</v>
      </c>
      <c r="E39" s="1278">
        <f>SUM(G39+I39+K39+M39+O39+Q39+S39+U39+W39+Y39+AA39+AC39+AE39+AG39+AI39+AK39+AM39)</f>
        <v>0</v>
      </c>
      <c r="F39" s="1616"/>
      <c r="G39" s="1617"/>
      <c r="H39" s="1616"/>
      <c r="I39" s="1617"/>
      <c r="J39" s="1616"/>
      <c r="K39" s="1617"/>
      <c r="L39" s="1638"/>
      <c r="M39" s="1639"/>
      <c r="N39" s="1609"/>
      <c r="O39" s="1643"/>
      <c r="P39" s="1638"/>
      <c r="Q39" s="1643"/>
      <c r="R39" s="1638"/>
      <c r="S39" s="1643"/>
      <c r="T39" s="1638"/>
      <c r="U39" s="1643"/>
      <c r="V39" s="1638"/>
      <c r="W39" s="1643"/>
      <c r="X39" s="1638"/>
      <c r="Y39" s="1643"/>
      <c r="Z39" s="1638"/>
      <c r="AA39" s="1643"/>
      <c r="AB39" s="1638"/>
      <c r="AC39" s="1643"/>
      <c r="AD39" s="1638"/>
      <c r="AE39" s="1643"/>
      <c r="AF39" s="1638"/>
      <c r="AG39" s="1643"/>
      <c r="AH39" s="1638"/>
      <c r="AI39" s="1643"/>
      <c r="AJ39" s="1638"/>
      <c r="AK39" s="1643"/>
      <c r="AL39" s="1638"/>
      <c r="AM39" s="1611"/>
      <c r="AN39" s="1612"/>
      <c r="AO39" s="1613"/>
      <c r="AP39" s="1643"/>
      <c r="AQ39" s="1644"/>
      <c r="AR39" s="1643"/>
      <c r="AS39" s="1639"/>
      <c r="AT39" s="1615"/>
      <c r="AU39" s="1615"/>
      <c r="AV39" s="1610"/>
      <c r="AW39" s="1610"/>
      <c r="AX39" s="1610"/>
      <c r="AY39" s="1116" t="str">
        <f t="shared" si="3"/>
        <v/>
      </c>
      <c r="AZ39" s="1265"/>
      <c r="BA39" s="1265"/>
      <c r="CA39" s="620" t="str">
        <f t="shared" si="32"/>
        <v/>
      </c>
      <c r="CB39" s="620" t="str">
        <f t="shared" ref="CB39:CB43" si="59">IF(AND(E39&gt;0,OR(AO39=""))," * No olvide digitar la variable Madre de hijo menor de 5 años. Digite Cero si no tiene.",IF(AO39&gt;E39," * La variable Madre de hijo menor de 5 años no puede ser Mayor al Total Mujeres.",""))</f>
        <v/>
      </c>
      <c r="CC39" s="620" t="str">
        <f t="shared" si="44"/>
        <v/>
      </c>
      <c r="CD39" s="620" t="str">
        <f t="shared" si="45"/>
        <v/>
      </c>
      <c r="CE39" s="620" t="str">
        <f t="shared" si="46"/>
        <v/>
      </c>
      <c r="CF39" s="620" t="str">
        <f t="shared" si="47"/>
        <v/>
      </c>
      <c r="CG39" s="620" t="str">
        <f t="shared" si="9"/>
        <v/>
      </c>
      <c r="CH39" s="620" t="str">
        <f t="shared" si="10"/>
        <v/>
      </c>
      <c r="CI39" s="620" t="str">
        <f t="shared" si="48"/>
        <v/>
      </c>
      <c r="CJ39" s="620" t="str">
        <f t="shared" si="49"/>
        <v/>
      </c>
      <c r="CK39" s="620" t="str">
        <f t="shared" si="50"/>
        <v/>
      </c>
      <c r="CL39" s="470"/>
      <c r="CM39" s="470"/>
      <c r="CN39" s="501">
        <f t="shared" si="39"/>
        <v>0</v>
      </c>
      <c r="CO39" s="501">
        <f t="shared" ref="CO39:CO43" si="60">IF(AND($E39&gt;0,OR(AO39="")),1,IF(AO39&gt;$E39,1,0))</f>
        <v>0</v>
      </c>
      <c r="CP39" s="501">
        <f>IF(AND($D39&gt;0,OR(AP39="")),1,IF(AP39&gt;$D39,1,0))</f>
        <v>0</v>
      </c>
      <c r="CQ39" s="501">
        <f>IF(AND($E39&gt;0,OR(AQ39="")),1,IF(AQ39&gt;$E39,1,0))</f>
        <v>0</v>
      </c>
      <c r="CR39" s="501">
        <f>IF(AND($D39&gt;0,OR(AR39="")),1,IF(AR39&gt;$D39,1,0))</f>
        <v>0</v>
      </c>
      <c r="CS39" s="501">
        <f>IF(AND($E39&gt;0,OR(AS39="")),1,IF(AS39&gt;$E39,1,0))</f>
        <v>0</v>
      </c>
      <c r="CT39" s="501">
        <f t="shared" ref="CT39:CV40" si="61">IF(AND($C39&gt;0,OR(AT39="")),1,IF(AT39&gt;$C39,1,0))</f>
        <v>0</v>
      </c>
      <c r="CU39" s="501">
        <f t="shared" si="61"/>
        <v>0</v>
      </c>
      <c r="CV39" s="501">
        <f t="shared" si="61"/>
        <v>0</v>
      </c>
      <c r="CW39" s="501">
        <f t="shared" si="42"/>
        <v>0</v>
      </c>
      <c r="CX39" s="501">
        <f t="shared" si="43"/>
        <v>0</v>
      </c>
      <c r="DK39" s="470"/>
      <c r="DL39" s="470"/>
      <c r="DM39" s="470"/>
      <c r="DN39" s="470"/>
      <c r="DO39" s="470"/>
      <c r="DP39" s="470"/>
      <c r="DQ39" s="470"/>
      <c r="DR39" s="470"/>
      <c r="DS39" s="470"/>
      <c r="DT39" s="470"/>
      <c r="DV39"/>
    </row>
    <row r="40" spans="1:126" s="1168" customFormat="1" ht="15" customHeight="1" x14ac:dyDescent="0.25">
      <c r="A40" s="2318"/>
      <c r="B40" s="1266" t="s">
        <v>650</v>
      </c>
      <c r="C40" s="1276">
        <f t="shared" si="29"/>
        <v>0</v>
      </c>
      <c r="D40" s="1277">
        <f t="shared" si="58"/>
        <v>0</v>
      </c>
      <c r="E40" s="1278">
        <f>SUM(G40+I40+K40+M40+O40+Q40+S40+U40+W40+Y40+AA40+AC40+AE40+AG40+AI40+AK40+AM40)</f>
        <v>0</v>
      </c>
      <c r="F40" s="1638"/>
      <c r="G40" s="1639"/>
      <c r="H40" s="1638"/>
      <c r="I40" s="1639"/>
      <c r="J40" s="1638"/>
      <c r="K40" s="1639"/>
      <c r="L40" s="1638"/>
      <c r="M40" s="1639"/>
      <c r="N40" s="1638"/>
      <c r="O40" s="1643"/>
      <c r="P40" s="1638"/>
      <c r="Q40" s="1643"/>
      <c r="R40" s="1638"/>
      <c r="S40" s="1643"/>
      <c r="T40" s="1638"/>
      <c r="U40" s="1643"/>
      <c r="V40" s="1638"/>
      <c r="W40" s="1643"/>
      <c r="X40" s="1638"/>
      <c r="Y40" s="1643"/>
      <c r="Z40" s="1638"/>
      <c r="AA40" s="1643"/>
      <c r="AB40" s="1638"/>
      <c r="AC40" s="1643"/>
      <c r="AD40" s="1638"/>
      <c r="AE40" s="1643"/>
      <c r="AF40" s="1638"/>
      <c r="AG40" s="1643"/>
      <c r="AH40" s="1638"/>
      <c r="AI40" s="1643"/>
      <c r="AJ40" s="1638"/>
      <c r="AK40" s="1643"/>
      <c r="AL40" s="1638"/>
      <c r="AM40" s="1640"/>
      <c r="AN40" s="1641"/>
      <c r="AO40" s="1642"/>
      <c r="AP40" s="1643"/>
      <c r="AQ40" s="1644"/>
      <c r="AR40" s="1643"/>
      <c r="AS40" s="1639"/>
      <c r="AT40" s="1644"/>
      <c r="AU40" s="1644"/>
      <c r="AV40" s="1639"/>
      <c r="AW40" s="1639"/>
      <c r="AX40" s="1639"/>
      <c r="AY40" s="1116" t="str">
        <f t="shared" si="3"/>
        <v/>
      </c>
      <c r="AZ40" s="1265"/>
      <c r="BA40" s="1265"/>
      <c r="CA40" s="620" t="str">
        <f t="shared" si="32"/>
        <v/>
      </c>
      <c r="CB40" s="620" t="str">
        <f t="shared" si="59"/>
        <v/>
      </c>
      <c r="CC40" s="620" t="str">
        <f t="shared" ref="CC40" si="62">IF(AND(D40&gt;0,OR(AP40=""))," * No olvide digitar la variable Pueblos Originarios Hombres. Digite Cero si no tiene.",IF(AP40&gt;D40," * La variable Pueblos Originarios Hombres no puede ser Mayor al Total Hombres.",""))</f>
        <v/>
      </c>
      <c r="CD40" s="620" t="str">
        <f t="shared" ref="CD40" si="63">IF(AND(E40&gt;0,OR(AQ40=""))," * No olvide digitar la variable Pueblos Originarios Mujeres. Digite Cero si no tiene.",IF(AQ40&gt;E40," * La variable Pueblos Originarios Mujeres no puede ser Mayor al Total Mujeres.",""))</f>
        <v/>
      </c>
      <c r="CE40" s="620" t="str">
        <f t="shared" ref="CE40" si="64">IF(AND($D40&gt;0,OR(AR40=""))," * No olvide digitar la variable Migrantes Hombres. Digite Cero si no tiene.",IF(AR40&gt;$D40," * La variable Migrantes Hombres no puede ser Mayor al Total Hombres.",""))</f>
        <v/>
      </c>
      <c r="CF40" s="620" t="str">
        <f t="shared" ref="CF40" si="65">IF(AND($E40&gt;0,OR(AS40=""))," * No olvide digitar la variable Migrantes Mujeres. Digite Cero si no tiene.",IF(AS40&gt;$E40," * La variable Migrantes Mujeres no puede ser Mayor al Total Mujeres.",""))</f>
        <v/>
      </c>
      <c r="CG40" s="620" t="str">
        <f t="shared" si="9"/>
        <v/>
      </c>
      <c r="CH40" s="620" t="str">
        <f t="shared" si="10"/>
        <v/>
      </c>
      <c r="CI40" s="620" t="str">
        <f t="shared" ref="CI40:CI46" si="66">IF(AND(C40&gt;0,OR(AV40=""))," * No olvide digitar la variable Plan Cuidado Integral Elaborado. Digite Cero si no tiene.",IF($AV40&gt;$C40,"* La variable Plan Cuidado Integral Elaborado debe ser menor o igual al Total de Personas en control. ",""))</f>
        <v/>
      </c>
      <c r="CJ40" s="620" t="str">
        <f t="shared" ref="CJ40:CJ46" si="67">IF(AND(E40&gt;0,OR(AW40=""))," * No olvide digitar la variable Trans Masculino. (Digite Cero si no tiene).",IF(AW40&gt;E40," * La variable Trans Masculino no debe ser mayor al Total Mujeres.",""))</f>
        <v/>
      </c>
      <c r="CK40" s="620" t="str">
        <f t="shared" ref="CK40:CK46" si="68">IF(AND(D40&gt;0,OR(AX40=""))," * No olvide digitar la variable Trans Femenino. (Digite Cero si no tiene).",IF(AX40&gt;D40," * La variable Trans Femenino no debe ser mayor al Total Hombre.",""))</f>
        <v/>
      </c>
      <c r="CL40" s="470"/>
      <c r="CM40" s="470"/>
      <c r="CN40" s="501">
        <f t="shared" si="39"/>
        <v>0</v>
      </c>
      <c r="CO40" s="501">
        <f t="shared" si="60"/>
        <v>0</v>
      </c>
      <c r="CP40" s="501">
        <f>IF(AND($D40&gt;0,OR(AP40="")),1,IF(AP40&gt;$D40,1,0))</f>
        <v>0</v>
      </c>
      <c r="CQ40" s="501">
        <f>IF(AND($E40&gt;0,OR(AQ40="")),1,IF(AQ40&gt;$E40,1,0))</f>
        <v>0</v>
      </c>
      <c r="CR40" s="501">
        <f>IF(AND($D40&gt;0,OR(AR40="")),1,IF(AR40&gt;$D40,1,0))</f>
        <v>0</v>
      </c>
      <c r="CS40" s="501">
        <f>IF(AND($E40&gt;0,OR(AS40="")),1,IF(AS40&gt;$E40,1,0))</f>
        <v>0</v>
      </c>
      <c r="CT40" s="501">
        <f t="shared" si="61"/>
        <v>0</v>
      </c>
      <c r="CU40" s="501">
        <f t="shared" si="61"/>
        <v>0</v>
      </c>
      <c r="CV40" s="501">
        <f t="shared" si="61"/>
        <v>0</v>
      </c>
      <c r="CW40" s="501">
        <f t="shared" si="42"/>
        <v>0</v>
      </c>
      <c r="CX40" s="501">
        <f t="shared" si="43"/>
        <v>0</v>
      </c>
      <c r="DK40" s="470"/>
      <c r="DL40" s="470"/>
      <c r="DM40" s="470"/>
      <c r="DN40" s="470"/>
      <c r="DO40" s="470"/>
      <c r="DP40" s="470"/>
      <c r="DQ40" s="470"/>
      <c r="DR40" s="470"/>
      <c r="DS40" s="470"/>
      <c r="DT40" s="470"/>
      <c r="DV40"/>
    </row>
    <row r="41" spans="1:126" s="1168" customFormat="1" ht="15" customHeight="1" x14ac:dyDescent="0.25">
      <c r="A41" s="2318"/>
      <c r="B41" s="1266" t="s">
        <v>651</v>
      </c>
      <c r="C41" s="1279">
        <f t="shared" si="29"/>
        <v>0</v>
      </c>
      <c r="D41" s="1280">
        <f>SUM(F41+H41+J41+L41+N41+P41+R41+T41+V41+X41+Z41+AB41+AD41+AF41+AH41+AJ41+AL41)</f>
        <v>0</v>
      </c>
      <c r="E41" s="1281">
        <f t="shared" si="58"/>
        <v>0</v>
      </c>
      <c r="F41" s="1638"/>
      <c r="G41" s="1639"/>
      <c r="H41" s="1638"/>
      <c r="I41" s="1639"/>
      <c r="J41" s="1638"/>
      <c r="K41" s="1639"/>
      <c r="L41" s="1638"/>
      <c r="M41" s="1639"/>
      <c r="N41" s="1638"/>
      <c r="O41" s="1643"/>
      <c r="P41" s="1638"/>
      <c r="Q41" s="1643"/>
      <c r="R41" s="1638"/>
      <c r="S41" s="1643"/>
      <c r="T41" s="1638"/>
      <c r="U41" s="1643"/>
      <c r="V41" s="1638"/>
      <c r="W41" s="1643"/>
      <c r="X41" s="1638"/>
      <c r="Y41" s="1643"/>
      <c r="Z41" s="1638"/>
      <c r="AA41" s="1643"/>
      <c r="AB41" s="1638"/>
      <c r="AC41" s="1643"/>
      <c r="AD41" s="1638"/>
      <c r="AE41" s="1643"/>
      <c r="AF41" s="1638"/>
      <c r="AG41" s="1643"/>
      <c r="AH41" s="1638"/>
      <c r="AI41" s="1643"/>
      <c r="AJ41" s="1638"/>
      <c r="AK41" s="1643"/>
      <c r="AL41" s="1638"/>
      <c r="AM41" s="1640"/>
      <c r="AN41" s="1641"/>
      <c r="AO41" s="1642"/>
      <c r="AP41" s="1643"/>
      <c r="AQ41" s="1644"/>
      <c r="AR41" s="1643"/>
      <c r="AS41" s="1639"/>
      <c r="AT41" s="1644"/>
      <c r="AU41" s="1644"/>
      <c r="AV41" s="1639"/>
      <c r="AW41" s="1639"/>
      <c r="AX41" s="1639"/>
      <c r="AY41" s="1116" t="str">
        <f t="shared" si="3"/>
        <v/>
      </c>
      <c r="AZ41" s="1265"/>
      <c r="BA41" s="1265"/>
      <c r="CA41" s="620" t="str">
        <f t="shared" si="32"/>
        <v/>
      </c>
      <c r="CB41" s="620" t="str">
        <f t="shared" si="59"/>
        <v/>
      </c>
      <c r="CC41" s="620" t="str">
        <f t="shared" ref="CC41:CC48" si="69">IF(AND(D41&gt;0,OR(AP41=""))," * No olvide digitar la variable Pueblos Originarios Hombres. Digite Cero si no tiene.",IF(AP41&gt;D41," * La variable Pueblos Originarios Hombres no puede ser Mayor al Total Hombres.",""))</f>
        <v/>
      </c>
      <c r="CD41" s="620" t="str">
        <f t="shared" ref="CD41:CD48" si="70">IF(AND(E41&gt;0,OR(AQ41=""))," * No olvide digitar la variable Pueblos Originarios Mujeres. Digite Cero si no tiene.",IF(AQ41&gt;E41," * La variable Pueblos Originarios Mujeres no puede ser Mayor al Total Mujeres.",""))</f>
        <v/>
      </c>
      <c r="CE41" s="620" t="str">
        <f t="shared" ref="CE41:CE48" si="71">IF(AND($D41&gt;0,OR(AR41=""))," * No olvide digitar la variable Migrantes Hombres. Digite Cero si no tiene.",IF(AR41&gt;$D41," * La variable Migrantes Hombres no puede ser Mayor al Total Hombres.",""))</f>
        <v/>
      </c>
      <c r="CF41" s="620" t="str">
        <f t="shared" ref="CF41:CF48" si="72">IF(AND($E41&gt;0,OR(AS41=""))," * No olvide digitar la variable Migrantes Mujeres. Digite Cero si no tiene.",IF(AS41&gt;$E41," * La variable Migrantes Mujeres no puede ser Mayor al Total Mujeres.",""))</f>
        <v/>
      </c>
      <c r="CG41" s="620" t="str">
        <f t="shared" si="9"/>
        <v/>
      </c>
      <c r="CH41" s="620" t="str">
        <f t="shared" si="10"/>
        <v/>
      </c>
      <c r="CI41" s="620" t="str">
        <f t="shared" si="66"/>
        <v/>
      </c>
      <c r="CJ41" s="620" t="str">
        <f t="shared" si="67"/>
        <v/>
      </c>
      <c r="CK41" s="620" t="str">
        <f t="shared" si="68"/>
        <v/>
      </c>
      <c r="CL41" s="470"/>
      <c r="CM41" s="470"/>
      <c r="CN41" s="501">
        <f t="shared" si="39"/>
        <v>0</v>
      </c>
      <c r="CO41" s="501">
        <f t="shared" si="60"/>
        <v>0</v>
      </c>
      <c r="CP41" s="501">
        <f t="shared" ref="CP41:CP58" si="73">IF(AND($D41&gt;0,OR(AP41="")),1,IF(AP41&gt;$D41,1,0))</f>
        <v>0</v>
      </c>
      <c r="CQ41" s="501">
        <f t="shared" ref="CQ41:CQ58" si="74">IF(AND($E41&gt;0,OR(AQ41="")),1,IF(AQ41&gt;$E41,1,0))</f>
        <v>0</v>
      </c>
      <c r="CR41" s="501">
        <f t="shared" ref="CR41:CR58" si="75">IF(AND($D41&gt;0,OR(AR41="")),1,IF(AR41&gt;$D41,1,0))</f>
        <v>0</v>
      </c>
      <c r="CS41" s="501">
        <f t="shared" ref="CS41:CS58" si="76">IF(AND($E41&gt;0,OR(AS41="")),1,IF(AS41&gt;$E41,1,0))</f>
        <v>0</v>
      </c>
      <c r="CT41" s="501">
        <f t="shared" ref="CT41:CT58" si="77">IF(AND($C41&gt;0,OR(AT41="")),1,IF(AT41&gt;$C41,1,0))</f>
        <v>0</v>
      </c>
      <c r="CU41" s="501">
        <f t="shared" ref="CU41:CU58" si="78">IF(AND($C41&gt;0,OR(AU41="")),1,IF(AU41&gt;$C41,1,0))</f>
        <v>0</v>
      </c>
      <c r="CV41" s="501">
        <f t="shared" ref="CV41:CV58" si="79">IF(AND($C41&gt;0,OR(AV41="")),1,IF(AV41&gt;$C41,1,0))</f>
        <v>0</v>
      </c>
      <c r="CW41" s="501">
        <f t="shared" si="42"/>
        <v>0</v>
      </c>
      <c r="CX41" s="501">
        <f t="shared" si="43"/>
        <v>0</v>
      </c>
      <c r="DK41" s="470"/>
      <c r="DL41" s="470"/>
      <c r="DM41" s="470"/>
      <c r="DN41" s="470"/>
      <c r="DO41" s="470"/>
      <c r="DP41" s="470"/>
      <c r="DQ41" s="470"/>
      <c r="DR41" s="470"/>
      <c r="DS41" s="470"/>
      <c r="DT41" s="470"/>
      <c r="DV41"/>
    </row>
    <row r="42" spans="1:126" s="1168" customFormat="1" ht="15" customHeight="1" x14ac:dyDescent="0.25">
      <c r="A42" s="2318"/>
      <c r="B42" s="1266" t="s">
        <v>652</v>
      </c>
      <c r="C42" s="1276">
        <f t="shared" si="29"/>
        <v>0</v>
      </c>
      <c r="D42" s="1277">
        <f t="shared" si="58"/>
        <v>0</v>
      </c>
      <c r="E42" s="1278">
        <f t="shared" si="58"/>
        <v>0</v>
      </c>
      <c r="F42" s="1638"/>
      <c r="G42" s="1639"/>
      <c r="H42" s="1638"/>
      <c r="I42" s="1639"/>
      <c r="J42" s="1638"/>
      <c r="K42" s="1639"/>
      <c r="L42" s="1638"/>
      <c r="M42" s="1639"/>
      <c r="N42" s="1638"/>
      <c r="O42" s="1643"/>
      <c r="P42" s="1638"/>
      <c r="Q42" s="1643"/>
      <c r="R42" s="1638"/>
      <c r="S42" s="1643"/>
      <c r="T42" s="1638"/>
      <c r="U42" s="1643"/>
      <c r="V42" s="1638"/>
      <c r="W42" s="1643"/>
      <c r="X42" s="1638"/>
      <c r="Y42" s="1643"/>
      <c r="Z42" s="1638"/>
      <c r="AA42" s="1643"/>
      <c r="AB42" s="1638"/>
      <c r="AC42" s="1643"/>
      <c r="AD42" s="1638"/>
      <c r="AE42" s="1643"/>
      <c r="AF42" s="1638"/>
      <c r="AG42" s="1643"/>
      <c r="AH42" s="1638"/>
      <c r="AI42" s="1643"/>
      <c r="AJ42" s="1638"/>
      <c r="AK42" s="1643"/>
      <c r="AL42" s="1638"/>
      <c r="AM42" s="1640"/>
      <c r="AN42" s="1641"/>
      <c r="AO42" s="1642"/>
      <c r="AP42" s="1643"/>
      <c r="AQ42" s="1644"/>
      <c r="AR42" s="1643"/>
      <c r="AS42" s="1639"/>
      <c r="AT42" s="1644"/>
      <c r="AU42" s="1644"/>
      <c r="AV42" s="1639"/>
      <c r="AW42" s="1639"/>
      <c r="AX42" s="1639"/>
      <c r="AY42" s="1116" t="str">
        <f t="shared" si="3"/>
        <v/>
      </c>
      <c r="AZ42" s="1265"/>
      <c r="BA42" s="1265"/>
      <c r="CA42" s="620" t="str">
        <f t="shared" si="32"/>
        <v/>
      </c>
      <c r="CB42" s="620" t="str">
        <f t="shared" si="59"/>
        <v/>
      </c>
      <c r="CC42" s="620" t="str">
        <f t="shared" si="69"/>
        <v/>
      </c>
      <c r="CD42" s="620" t="str">
        <f t="shared" si="70"/>
        <v/>
      </c>
      <c r="CE42" s="620" t="str">
        <f t="shared" si="71"/>
        <v/>
      </c>
      <c r="CF42" s="620" t="str">
        <f t="shared" si="72"/>
        <v/>
      </c>
      <c r="CG42" s="620" t="str">
        <f t="shared" si="9"/>
        <v/>
      </c>
      <c r="CH42" s="620" t="str">
        <f t="shared" si="10"/>
        <v/>
      </c>
      <c r="CI42" s="620" t="str">
        <f t="shared" si="66"/>
        <v/>
      </c>
      <c r="CJ42" s="620" t="str">
        <f t="shared" si="67"/>
        <v/>
      </c>
      <c r="CK42" s="620" t="str">
        <f t="shared" si="68"/>
        <v/>
      </c>
      <c r="CL42" s="470"/>
      <c r="CM42" s="470"/>
      <c r="CN42" s="501">
        <f t="shared" si="39"/>
        <v>0</v>
      </c>
      <c r="CO42" s="501">
        <f t="shared" si="60"/>
        <v>0</v>
      </c>
      <c r="CP42" s="501">
        <f t="shared" si="73"/>
        <v>0</v>
      </c>
      <c r="CQ42" s="501">
        <f t="shared" si="74"/>
        <v>0</v>
      </c>
      <c r="CR42" s="501">
        <f t="shared" si="75"/>
        <v>0</v>
      </c>
      <c r="CS42" s="501">
        <f t="shared" si="76"/>
        <v>0</v>
      </c>
      <c r="CT42" s="501">
        <f t="shared" si="77"/>
        <v>0</v>
      </c>
      <c r="CU42" s="501">
        <f t="shared" si="78"/>
        <v>0</v>
      </c>
      <c r="CV42" s="501">
        <f t="shared" si="79"/>
        <v>0</v>
      </c>
      <c r="CW42" s="501">
        <f t="shared" si="42"/>
        <v>0</v>
      </c>
      <c r="CX42" s="501">
        <f t="shared" si="43"/>
        <v>0</v>
      </c>
      <c r="DK42" s="470"/>
      <c r="DL42" s="470"/>
      <c r="DM42" s="470"/>
      <c r="DN42" s="470"/>
      <c r="DO42" s="470"/>
      <c r="DP42" s="470"/>
      <c r="DQ42" s="470"/>
      <c r="DR42" s="470"/>
      <c r="DS42" s="470"/>
      <c r="DT42" s="470"/>
      <c r="DV42"/>
    </row>
    <row r="43" spans="1:126" s="1168" customFormat="1" ht="15" customHeight="1" x14ac:dyDescent="0.25">
      <c r="A43" s="2319"/>
      <c r="B43" s="1269" t="s">
        <v>653</v>
      </c>
      <c r="C43" s="1282">
        <f t="shared" si="29"/>
        <v>0</v>
      </c>
      <c r="D43" s="1283">
        <f t="shared" si="58"/>
        <v>0</v>
      </c>
      <c r="E43" s="1284">
        <f t="shared" si="58"/>
        <v>0</v>
      </c>
      <c r="F43" s="1638"/>
      <c r="G43" s="1639"/>
      <c r="H43" s="1638"/>
      <c r="I43" s="1639"/>
      <c r="J43" s="1638"/>
      <c r="K43" s="1639"/>
      <c r="L43" s="1638"/>
      <c r="M43" s="1639"/>
      <c r="N43" s="1623"/>
      <c r="O43" s="1643"/>
      <c r="P43" s="1638"/>
      <c r="Q43" s="1643"/>
      <c r="R43" s="1638"/>
      <c r="S43" s="1643"/>
      <c r="T43" s="1638"/>
      <c r="U43" s="1643"/>
      <c r="V43" s="1638"/>
      <c r="W43" s="1643"/>
      <c r="X43" s="1638"/>
      <c r="Y43" s="1643"/>
      <c r="Z43" s="1638"/>
      <c r="AA43" s="1643"/>
      <c r="AB43" s="1638"/>
      <c r="AC43" s="1643"/>
      <c r="AD43" s="1638"/>
      <c r="AE43" s="1643"/>
      <c r="AF43" s="1638"/>
      <c r="AG43" s="1643"/>
      <c r="AH43" s="1638"/>
      <c r="AI43" s="1643"/>
      <c r="AJ43" s="1638"/>
      <c r="AK43" s="1643"/>
      <c r="AL43" s="1638"/>
      <c r="AM43" s="1625"/>
      <c r="AN43" s="1626"/>
      <c r="AO43" s="1627"/>
      <c r="AP43" s="1628"/>
      <c r="AQ43" s="1624"/>
      <c r="AR43" s="1628"/>
      <c r="AS43" s="1624"/>
      <c r="AT43" s="1629"/>
      <c r="AU43" s="1629"/>
      <c r="AV43" s="1624"/>
      <c r="AW43" s="1624"/>
      <c r="AX43" s="1624"/>
      <c r="AY43" s="1116" t="str">
        <f t="shared" si="3"/>
        <v/>
      </c>
      <c r="AZ43" s="1265"/>
      <c r="BA43" s="1265"/>
      <c r="CA43" s="620" t="str">
        <f t="shared" si="32"/>
        <v/>
      </c>
      <c r="CB43" s="620" t="str">
        <f t="shared" si="59"/>
        <v/>
      </c>
      <c r="CC43" s="620" t="str">
        <f t="shared" si="69"/>
        <v/>
      </c>
      <c r="CD43" s="620" t="str">
        <f t="shared" si="70"/>
        <v/>
      </c>
      <c r="CE43" s="620" t="str">
        <f t="shared" si="71"/>
        <v/>
      </c>
      <c r="CF43" s="620" t="str">
        <f t="shared" si="72"/>
        <v/>
      </c>
      <c r="CG43" s="620" t="str">
        <f t="shared" si="9"/>
        <v/>
      </c>
      <c r="CH43" s="620" t="str">
        <f t="shared" si="10"/>
        <v/>
      </c>
      <c r="CI43" s="620" t="str">
        <f t="shared" si="66"/>
        <v/>
      </c>
      <c r="CJ43" s="620" t="str">
        <f t="shared" si="67"/>
        <v/>
      </c>
      <c r="CK43" s="620" t="str">
        <f t="shared" si="68"/>
        <v/>
      </c>
      <c r="CL43" s="470"/>
      <c r="CM43" s="470"/>
      <c r="CN43" s="501">
        <f t="shared" si="39"/>
        <v>0</v>
      </c>
      <c r="CO43" s="501">
        <f t="shared" si="60"/>
        <v>0</v>
      </c>
      <c r="CP43" s="501">
        <f t="shared" si="73"/>
        <v>0</v>
      </c>
      <c r="CQ43" s="501">
        <f t="shared" si="74"/>
        <v>0</v>
      </c>
      <c r="CR43" s="501">
        <f t="shared" si="75"/>
        <v>0</v>
      </c>
      <c r="CS43" s="501">
        <f t="shared" si="76"/>
        <v>0</v>
      </c>
      <c r="CT43" s="501">
        <f t="shared" si="77"/>
        <v>0</v>
      </c>
      <c r="CU43" s="501">
        <f t="shared" si="78"/>
        <v>0</v>
      </c>
      <c r="CV43" s="501">
        <f t="shared" si="79"/>
        <v>0</v>
      </c>
      <c r="CW43" s="501">
        <f t="shared" si="42"/>
        <v>0</v>
      </c>
      <c r="CX43" s="501">
        <f t="shared" si="43"/>
        <v>0</v>
      </c>
      <c r="DK43" s="470"/>
      <c r="DL43" s="470"/>
      <c r="DM43" s="470"/>
      <c r="DN43" s="470"/>
      <c r="DO43" s="470"/>
      <c r="DP43" s="470"/>
      <c r="DQ43" s="470"/>
      <c r="DR43" s="470"/>
      <c r="DS43" s="470"/>
      <c r="DT43" s="470"/>
      <c r="DV43"/>
    </row>
    <row r="44" spans="1:126" s="1168" customFormat="1" ht="15" customHeight="1" x14ac:dyDescent="0.25">
      <c r="A44" s="2317" t="s">
        <v>654</v>
      </c>
      <c r="B44" s="1247" t="s">
        <v>279</v>
      </c>
      <c r="C44" s="1110">
        <f t="shared" si="29"/>
        <v>0</v>
      </c>
      <c r="D44" s="1111">
        <f t="shared" ref="D44:D58" si="80">+F44+H44+J44+L44+N44+P44+R44+T44+V44+X44+Z44+AB44+AD44+AF44+AH44+AJ44+AL44</f>
        <v>0</v>
      </c>
      <c r="E44" s="1262">
        <f t="shared" ref="E44:E58" si="81">+G44+I44+K44+M44+O44+Q44+S44+U44+W44+Y44+AA44+AC44+AE44+AG44+AI44+AK44+AM44</f>
        <v>0</v>
      </c>
      <c r="F44" s="1285"/>
      <c r="G44" s="1286"/>
      <c r="H44" s="1285"/>
      <c r="I44" s="1286"/>
      <c r="J44" s="1285"/>
      <c r="K44" s="1286"/>
      <c r="L44" s="1285"/>
      <c r="M44" s="1286"/>
      <c r="N44" s="1285"/>
      <c r="O44" s="1286"/>
      <c r="P44" s="1285"/>
      <c r="Q44" s="1286"/>
      <c r="R44" s="1609"/>
      <c r="S44" s="1610"/>
      <c r="T44" s="1609"/>
      <c r="U44" s="1610"/>
      <c r="V44" s="1609"/>
      <c r="W44" s="1610"/>
      <c r="X44" s="1609"/>
      <c r="Y44" s="1610"/>
      <c r="Z44" s="1609"/>
      <c r="AA44" s="1610"/>
      <c r="AB44" s="1609"/>
      <c r="AC44" s="1610"/>
      <c r="AD44" s="1609"/>
      <c r="AE44" s="1610"/>
      <c r="AF44" s="1609"/>
      <c r="AG44" s="1610"/>
      <c r="AH44" s="1609"/>
      <c r="AI44" s="1610"/>
      <c r="AJ44" s="1609"/>
      <c r="AK44" s="1610"/>
      <c r="AL44" s="1609"/>
      <c r="AM44" s="1611"/>
      <c r="AN44" s="1287"/>
      <c r="AO44" s="1288"/>
      <c r="AP44" s="1609"/>
      <c r="AQ44" s="1615"/>
      <c r="AR44" s="1614"/>
      <c r="AS44" s="1610"/>
      <c r="AT44" s="1198"/>
      <c r="AU44" s="1198"/>
      <c r="AV44" s="1610"/>
      <c r="AW44" s="1610"/>
      <c r="AX44" s="1610"/>
      <c r="AY44" s="1116" t="str">
        <f t="shared" si="3"/>
        <v/>
      </c>
      <c r="AZ44" s="1265"/>
      <c r="BA44" s="1265"/>
      <c r="CA44" s="502"/>
      <c r="CB44" s="502"/>
      <c r="CC44" s="620" t="str">
        <f>IF(AND(D44&gt;0,OR(AP44=""))," * No olvide digitar la variable Pueblos Originarios Hombres. Digite Cero si no tiene.",IF(AP44&gt;D44," * La variable Pueblos Originarios Hombres no puede ser Mayor al Total Hombres.",""))</f>
        <v/>
      </c>
      <c r="CD44" s="620" t="str">
        <f t="shared" si="70"/>
        <v/>
      </c>
      <c r="CE44" s="620" t="str">
        <f t="shared" si="71"/>
        <v/>
      </c>
      <c r="CF44" s="620" t="str">
        <f t="shared" si="72"/>
        <v/>
      </c>
      <c r="CG44" s="502"/>
      <c r="CH44" s="502"/>
      <c r="CI44" s="620" t="str">
        <f t="shared" si="66"/>
        <v/>
      </c>
      <c r="CJ44" s="620" t="str">
        <f t="shared" si="67"/>
        <v/>
      </c>
      <c r="CK44" s="620" t="str">
        <f t="shared" si="68"/>
        <v/>
      </c>
      <c r="CL44" s="470"/>
      <c r="CM44" s="470"/>
      <c r="CN44" s="502"/>
      <c r="CO44" s="502"/>
      <c r="CP44" s="501">
        <f t="shared" si="73"/>
        <v>0</v>
      </c>
      <c r="CQ44" s="501">
        <f t="shared" si="74"/>
        <v>0</v>
      </c>
      <c r="CR44" s="501">
        <f t="shared" si="75"/>
        <v>0</v>
      </c>
      <c r="CS44" s="501">
        <f t="shared" si="76"/>
        <v>0</v>
      </c>
      <c r="CT44" s="502"/>
      <c r="CU44" s="502"/>
      <c r="CV44" s="501">
        <f t="shared" si="79"/>
        <v>0</v>
      </c>
      <c r="CW44" s="501">
        <f t="shared" si="42"/>
        <v>0</v>
      </c>
      <c r="CX44" s="501">
        <f t="shared" si="43"/>
        <v>0</v>
      </c>
      <c r="DK44" s="470"/>
      <c r="DL44" s="470"/>
      <c r="DM44" s="470"/>
      <c r="DN44" s="470"/>
      <c r="DO44" s="470"/>
      <c r="DP44" s="470"/>
      <c r="DQ44" s="470"/>
      <c r="DR44" s="470"/>
      <c r="DS44" s="470"/>
      <c r="DT44" s="470"/>
      <c r="DV44"/>
    </row>
    <row r="45" spans="1:126" s="1168" customFormat="1" ht="15" customHeight="1" x14ac:dyDescent="0.25">
      <c r="A45" s="2318"/>
      <c r="B45" s="1266" t="s">
        <v>280</v>
      </c>
      <c r="C45" s="1117">
        <f t="shared" si="29"/>
        <v>0</v>
      </c>
      <c r="D45" s="1136">
        <f t="shared" si="80"/>
        <v>0</v>
      </c>
      <c r="E45" s="1248">
        <f t="shared" si="81"/>
        <v>0</v>
      </c>
      <c r="F45" s="1289"/>
      <c r="G45" s="1290"/>
      <c r="H45" s="1289"/>
      <c r="I45" s="1290"/>
      <c r="J45" s="1289"/>
      <c r="K45" s="1290"/>
      <c r="L45" s="1289"/>
      <c r="M45" s="1290"/>
      <c r="N45" s="1289"/>
      <c r="O45" s="1290"/>
      <c r="P45" s="1289"/>
      <c r="Q45" s="1290"/>
      <c r="R45" s="1616"/>
      <c r="S45" s="1617"/>
      <c r="T45" s="1616"/>
      <c r="U45" s="1617"/>
      <c r="V45" s="1616"/>
      <c r="W45" s="1617"/>
      <c r="X45" s="1616"/>
      <c r="Y45" s="1617"/>
      <c r="Z45" s="1616"/>
      <c r="AA45" s="1617"/>
      <c r="AB45" s="1616"/>
      <c r="AC45" s="1617"/>
      <c r="AD45" s="1616"/>
      <c r="AE45" s="1617"/>
      <c r="AF45" s="1616"/>
      <c r="AG45" s="1617"/>
      <c r="AH45" s="1616"/>
      <c r="AI45" s="1617"/>
      <c r="AJ45" s="1616"/>
      <c r="AK45" s="1617"/>
      <c r="AL45" s="1616"/>
      <c r="AM45" s="1618"/>
      <c r="AN45" s="1291"/>
      <c r="AO45" s="1292"/>
      <c r="AP45" s="1638"/>
      <c r="AQ45" s="1644"/>
      <c r="AR45" s="1653"/>
      <c r="AS45" s="1639"/>
      <c r="AT45" s="1120"/>
      <c r="AU45" s="1120"/>
      <c r="AV45" s="1616"/>
      <c r="AW45" s="1616"/>
      <c r="AX45" s="1620"/>
      <c r="AY45" s="1116" t="str">
        <f t="shared" si="3"/>
        <v/>
      </c>
      <c r="AZ45" s="1265"/>
      <c r="BA45" s="1265"/>
      <c r="CA45" s="502"/>
      <c r="CB45" s="502"/>
      <c r="CC45" s="620" t="str">
        <f t="shared" si="69"/>
        <v/>
      </c>
      <c r="CD45" s="620" t="str">
        <f t="shared" si="70"/>
        <v/>
      </c>
      <c r="CE45" s="620" t="str">
        <f t="shared" si="71"/>
        <v/>
      </c>
      <c r="CF45" s="620" t="str">
        <f t="shared" si="72"/>
        <v/>
      </c>
      <c r="CG45" s="502"/>
      <c r="CH45" s="502"/>
      <c r="CI45" s="620" t="str">
        <f t="shared" si="66"/>
        <v/>
      </c>
      <c r="CJ45" s="620" t="str">
        <f t="shared" si="67"/>
        <v/>
      </c>
      <c r="CK45" s="620" t="str">
        <f t="shared" si="68"/>
        <v/>
      </c>
      <c r="CL45" s="470"/>
      <c r="CM45" s="470"/>
      <c r="CN45" s="502"/>
      <c r="CO45" s="502"/>
      <c r="CP45" s="501">
        <f t="shared" si="73"/>
        <v>0</v>
      </c>
      <c r="CQ45" s="501">
        <f t="shared" si="74"/>
        <v>0</v>
      </c>
      <c r="CR45" s="501">
        <f t="shared" si="75"/>
        <v>0</v>
      </c>
      <c r="CS45" s="501">
        <f t="shared" si="76"/>
        <v>0</v>
      </c>
      <c r="CT45" s="502"/>
      <c r="CU45" s="502"/>
      <c r="CV45" s="501">
        <f t="shared" si="79"/>
        <v>0</v>
      </c>
      <c r="CW45" s="501">
        <f t="shared" si="42"/>
        <v>0</v>
      </c>
      <c r="CX45" s="501">
        <f t="shared" si="43"/>
        <v>0</v>
      </c>
      <c r="DK45" s="470"/>
      <c r="DL45" s="470"/>
      <c r="DM45" s="470"/>
      <c r="DN45" s="470"/>
      <c r="DO45" s="470"/>
      <c r="DP45" s="470"/>
      <c r="DQ45" s="470"/>
      <c r="DR45" s="470"/>
      <c r="DS45" s="470"/>
      <c r="DT45" s="470"/>
      <c r="DV45"/>
    </row>
    <row r="46" spans="1:126" s="1168" customFormat="1" ht="15" customHeight="1" x14ac:dyDescent="0.25">
      <c r="A46" s="2319"/>
      <c r="B46" s="1269" t="s">
        <v>655</v>
      </c>
      <c r="C46" s="1132">
        <f t="shared" si="29"/>
        <v>0</v>
      </c>
      <c r="D46" s="1158">
        <f t="shared" si="80"/>
        <v>0</v>
      </c>
      <c r="E46" s="1264">
        <f t="shared" si="81"/>
        <v>0</v>
      </c>
      <c r="F46" s="1255"/>
      <c r="G46" s="1256"/>
      <c r="H46" s="1255"/>
      <c r="I46" s="1256"/>
      <c r="J46" s="1255"/>
      <c r="K46" s="1256"/>
      <c r="L46" s="1255"/>
      <c r="M46" s="1256"/>
      <c r="N46" s="1255"/>
      <c r="O46" s="1256"/>
      <c r="P46" s="1255"/>
      <c r="Q46" s="1256"/>
      <c r="R46" s="1630"/>
      <c r="S46" s="1631"/>
      <c r="T46" s="1630"/>
      <c r="U46" s="1631"/>
      <c r="V46" s="1630"/>
      <c r="W46" s="1631"/>
      <c r="X46" s="1630"/>
      <c r="Y46" s="1631"/>
      <c r="Z46" s="1630"/>
      <c r="AA46" s="1631"/>
      <c r="AB46" s="1630"/>
      <c r="AC46" s="1631"/>
      <c r="AD46" s="1630"/>
      <c r="AE46" s="1631"/>
      <c r="AF46" s="1630"/>
      <c r="AG46" s="1631"/>
      <c r="AH46" s="1630"/>
      <c r="AI46" s="1631"/>
      <c r="AJ46" s="1630"/>
      <c r="AK46" s="1631"/>
      <c r="AL46" s="1630"/>
      <c r="AM46" s="1632"/>
      <c r="AN46" s="1293"/>
      <c r="AO46" s="1252"/>
      <c r="AP46" s="1623"/>
      <c r="AQ46" s="1629"/>
      <c r="AR46" s="1654"/>
      <c r="AS46" s="1624"/>
      <c r="AT46" s="1142"/>
      <c r="AU46" s="1142"/>
      <c r="AV46" s="1630"/>
      <c r="AW46" s="1630"/>
      <c r="AX46" s="1634"/>
      <c r="AY46" s="1116" t="str">
        <f t="shared" si="3"/>
        <v/>
      </c>
      <c r="AZ46" s="1265"/>
      <c r="BA46" s="1265"/>
      <c r="CA46" s="502"/>
      <c r="CB46" s="502"/>
      <c r="CC46" s="620" t="str">
        <f t="shared" si="69"/>
        <v/>
      </c>
      <c r="CD46" s="620" t="str">
        <f t="shared" si="70"/>
        <v/>
      </c>
      <c r="CE46" s="620" t="str">
        <f t="shared" si="71"/>
        <v/>
      </c>
      <c r="CF46" s="620" t="str">
        <f t="shared" si="72"/>
        <v/>
      </c>
      <c r="CG46" s="502"/>
      <c r="CH46" s="502"/>
      <c r="CI46" s="620" t="str">
        <f t="shared" si="66"/>
        <v/>
      </c>
      <c r="CJ46" s="620" t="str">
        <f t="shared" si="67"/>
        <v/>
      </c>
      <c r="CK46" s="620" t="str">
        <f t="shared" si="68"/>
        <v/>
      </c>
      <c r="CL46" s="470"/>
      <c r="CM46" s="470"/>
      <c r="CN46" s="502"/>
      <c r="CO46" s="502"/>
      <c r="CP46" s="501">
        <f t="shared" si="73"/>
        <v>0</v>
      </c>
      <c r="CQ46" s="501">
        <f t="shared" si="74"/>
        <v>0</v>
      </c>
      <c r="CR46" s="501">
        <f t="shared" si="75"/>
        <v>0</v>
      </c>
      <c r="CS46" s="501">
        <f t="shared" si="76"/>
        <v>0</v>
      </c>
      <c r="CT46" s="502"/>
      <c r="CU46" s="502"/>
      <c r="CV46" s="501">
        <f t="shared" si="79"/>
        <v>0</v>
      </c>
      <c r="CW46" s="501">
        <f t="shared" si="42"/>
        <v>0</v>
      </c>
      <c r="CX46" s="501">
        <f t="shared" si="43"/>
        <v>0</v>
      </c>
      <c r="DK46" s="470"/>
      <c r="DL46" s="470"/>
      <c r="DM46" s="470"/>
      <c r="DN46" s="470"/>
      <c r="DO46" s="470"/>
      <c r="DP46" s="470"/>
      <c r="DQ46" s="470"/>
      <c r="DR46" s="470"/>
      <c r="DS46" s="470"/>
      <c r="DT46" s="470"/>
      <c r="DV46"/>
    </row>
    <row r="47" spans="1:126" s="1168" customFormat="1" ht="15" customHeight="1" x14ac:dyDescent="0.25">
      <c r="A47" s="2305" t="s">
        <v>656</v>
      </c>
      <c r="B47" s="2306"/>
      <c r="C47" s="1117">
        <f t="shared" si="29"/>
        <v>0</v>
      </c>
      <c r="D47" s="1136">
        <f t="shared" si="80"/>
        <v>0</v>
      </c>
      <c r="E47" s="1248">
        <f t="shared" si="81"/>
        <v>0</v>
      </c>
      <c r="F47" s="1616"/>
      <c r="G47" s="1617"/>
      <c r="H47" s="1616"/>
      <c r="I47" s="1617"/>
      <c r="J47" s="1616"/>
      <c r="K47" s="1617"/>
      <c r="L47" s="1616"/>
      <c r="M47" s="1617"/>
      <c r="N47" s="1616"/>
      <c r="O47" s="1617"/>
      <c r="P47" s="1616"/>
      <c r="Q47" s="1617"/>
      <c r="R47" s="1616"/>
      <c r="S47" s="1617"/>
      <c r="T47" s="1616"/>
      <c r="U47" s="1617"/>
      <c r="V47" s="1616"/>
      <c r="W47" s="1617"/>
      <c r="X47" s="1616"/>
      <c r="Y47" s="1617"/>
      <c r="Z47" s="1616"/>
      <c r="AA47" s="1617"/>
      <c r="AB47" s="1616"/>
      <c r="AC47" s="1617"/>
      <c r="AD47" s="1616"/>
      <c r="AE47" s="1617"/>
      <c r="AF47" s="1616"/>
      <c r="AG47" s="1617"/>
      <c r="AH47" s="1616"/>
      <c r="AI47" s="1617"/>
      <c r="AJ47" s="1616"/>
      <c r="AK47" s="1617"/>
      <c r="AL47" s="1616"/>
      <c r="AM47" s="1618"/>
      <c r="AN47" s="1619"/>
      <c r="AO47" s="1620"/>
      <c r="AP47" s="1621"/>
      <c r="AQ47" s="1617"/>
      <c r="AR47" s="1621"/>
      <c r="AS47" s="1617"/>
      <c r="AT47" s="1622"/>
      <c r="AU47" s="1622"/>
      <c r="AV47" s="1622"/>
      <c r="AW47" s="1622"/>
      <c r="AX47" s="1622"/>
      <c r="AY47" s="1116" t="str">
        <f t="shared" si="3"/>
        <v/>
      </c>
      <c r="AZ47" s="1265"/>
      <c r="BA47" s="1265"/>
      <c r="CA47" s="620" t="str">
        <f t="shared" ref="CA47:CA58" si="82">IF(AND(E47&gt;0,OR(AN47=""))," * No olvide digitar la variable Gestantes. Digite Cero si no tiene.",IF(AN47&gt;E47," * La variable Gestante no puede ser Mayor al Total Mujeres.",""))</f>
        <v/>
      </c>
      <c r="CB47" s="620" t="str">
        <f t="shared" ref="CB47:CB58" si="83">IF(AND(E47&gt;0,OR(AO47=""))," * No olvide digitar la variable Madre de hijo menor de 5 años. Digite Cero si no tiene.",IF(AO47&gt;E47," * La variable Madre de hijo menor de 5 años no puede ser Mayor al Total Mujeres.",""))</f>
        <v/>
      </c>
      <c r="CC47" s="620" t="str">
        <f t="shared" si="69"/>
        <v/>
      </c>
      <c r="CD47" s="620" t="str">
        <f t="shared" si="70"/>
        <v/>
      </c>
      <c r="CE47" s="620" t="str">
        <f t="shared" si="71"/>
        <v/>
      </c>
      <c r="CF47" s="620" t="str">
        <f t="shared" si="72"/>
        <v/>
      </c>
      <c r="CG47" s="620" t="str">
        <f t="shared" si="9"/>
        <v/>
      </c>
      <c r="CH47" s="620" t="str">
        <f t="shared" si="10"/>
        <v/>
      </c>
      <c r="CI47" s="620" t="str">
        <f t="shared" ref="CI47:CI51" si="84">IF(AND(C47&gt;0,OR(AV47=""))," * No olvide digitar la variable Plan Cuidado Integral Elaborado. Digite Cero si no tiene.",IF($AV47&gt;$C47,"* La variable Plan Cuidado Integral Elaborado debe ser menor o igual al Total de Personas en control. ",""))</f>
        <v/>
      </c>
      <c r="CJ47" s="620" t="str">
        <f t="shared" ref="CJ47:CJ51" si="85">IF(AND(E47&gt;0,OR(AW47=""))," * No olvide digitar la variable Trans Masculino. (Digite Cero si no tiene).",IF(AW47&gt;E47," * La variable Trans Masculino no debe ser mayor al Total Mujeres.",""))</f>
        <v/>
      </c>
      <c r="CK47" s="620" t="str">
        <f t="shared" ref="CK47:CK51" si="86">IF(AND(D47&gt;0,OR(AX47=""))," * No olvide digitar la variable Trans Femenino. (Digite Cero si no tiene).",IF(AX47&gt;D47," * La variable Trans Femenino no debe ser mayor al Total Hombre.",""))</f>
        <v/>
      </c>
      <c r="CL47" s="470"/>
      <c r="CM47" s="470"/>
      <c r="CN47" s="501">
        <f t="shared" ref="CN47:CN58" si="87">IF(AND($E47&gt;0,OR(AN47="")),1,IF(AN47&gt;$E47,1,0))</f>
        <v>0</v>
      </c>
      <c r="CO47" s="501">
        <f t="shared" ref="CO47:CO58" si="88">IF(AND($E47&gt;0,OR(AO47="")),1,IF(AO47&gt;$E47,1,0))</f>
        <v>0</v>
      </c>
      <c r="CP47" s="501">
        <f t="shared" si="73"/>
        <v>0</v>
      </c>
      <c r="CQ47" s="501">
        <f t="shared" si="74"/>
        <v>0</v>
      </c>
      <c r="CR47" s="501">
        <f t="shared" si="75"/>
        <v>0</v>
      </c>
      <c r="CS47" s="501">
        <f t="shared" si="76"/>
        <v>0</v>
      </c>
      <c r="CT47" s="501">
        <f t="shared" si="77"/>
        <v>0</v>
      </c>
      <c r="CU47" s="501">
        <f t="shared" si="78"/>
        <v>0</v>
      </c>
      <c r="CV47" s="501">
        <f t="shared" si="79"/>
        <v>0</v>
      </c>
      <c r="CW47" s="501">
        <f t="shared" si="42"/>
        <v>0</v>
      </c>
      <c r="CX47" s="501">
        <f t="shared" si="43"/>
        <v>0</v>
      </c>
      <c r="DK47" s="470"/>
      <c r="DL47" s="470"/>
      <c r="DM47" s="470"/>
      <c r="DN47" s="470"/>
      <c r="DO47" s="470"/>
      <c r="DP47" s="470"/>
      <c r="DQ47" s="470"/>
      <c r="DR47" s="470"/>
      <c r="DS47" s="470"/>
      <c r="DT47" s="470"/>
      <c r="DV47"/>
    </row>
    <row r="48" spans="1:126" s="1168" customFormat="1" ht="15" customHeight="1" x14ac:dyDescent="0.25">
      <c r="A48" s="1296" t="s">
        <v>657</v>
      </c>
      <c r="B48" s="1297"/>
      <c r="C48" s="1117">
        <f t="shared" si="29"/>
        <v>0</v>
      </c>
      <c r="D48" s="1136">
        <f t="shared" si="80"/>
        <v>0</v>
      </c>
      <c r="E48" s="1248">
        <f t="shared" si="81"/>
        <v>0</v>
      </c>
      <c r="F48" s="1616"/>
      <c r="G48" s="1617"/>
      <c r="H48" s="1616"/>
      <c r="I48" s="1617"/>
      <c r="J48" s="1616"/>
      <c r="K48" s="1617"/>
      <c r="L48" s="1616"/>
      <c r="M48" s="1617"/>
      <c r="N48" s="1616"/>
      <c r="O48" s="1617"/>
      <c r="P48" s="1616"/>
      <c r="Q48" s="1617"/>
      <c r="R48" s="1616"/>
      <c r="S48" s="1617"/>
      <c r="T48" s="1616"/>
      <c r="U48" s="1617"/>
      <c r="V48" s="1616"/>
      <c r="W48" s="1617"/>
      <c r="X48" s="1616"/>
      <c r="Y48" s="1617"/>
      <c r="Z48" s="1616"/>
      <c r="AA48" s="1617"/>
      <c r="AB48" s="1616"/>
      <c r="AC48" s="1617"/>
      <c r="AD48" s="1616"/>
      <c r="AE48" s="1617"/>
      <c r="AF48" s="1616"/>
      <c r="AG48" s="1617"/>
      <c r="AH48" s="1616"/>
      <c r="AI48" s="1617"/>
      <c r="AJ48" s="1616"/>
      <c r="AK48" s="1617"/>
      <c r="AL48" s="1616"/>
      <c r="AM48" s="1618"/>
      <c r="AN48" s="1619"/>
      <c r="AO48" s="1620"/>
      <c r="AP48" s="1621"/>
      <c r="AQ48" s="1617"/>
      <c r="AR48" s="1621"/>
      <c r="AS48" s="1617"/>
      <c r="AT48" s="1622"/>
      <c r="AU48" s="1622"/>
      <c r="AV48" s="1622"/>
      <c r="AW48" s="1622"/>
      <c r="AX48" s="1622"/>
      <c r="AY48" s="1116" t="str">
        <f t="shared" si="3"/>
        <v/>
      </c>
      <c r="AZ48" s="1265"/>
      <c r="BA48" s="1265"/>
      <c r="CA48" s="620" t="str">
        <f t="shared" si="82"/>
        <v/>
      </c>
      <c r="CB48" s="620" t="str">
        <f t="shared" si="83"/>
        <v/>
      </c>
      <c r="CC48" s="620" t="str">
        <f t="shared" si="69"/>
        <v/>
      </c>
      <c r="CD48" s="620" t="str">
        <f t="shared" si="70"/>
        <v/>
      </c>
      <c r="CE48" s="620" t="str">
        <f t="shared" si="71"/>
        <v/>
      </c>
      <c r="CF48" s="620" t="str">
        <f t="shared" si="72"/>
        <v/>
      </c>
      <c r="CG48" s="620" t="str">
        <f t="shared" si="9"/>
        <v/>
      </c>
      <c r="CH48" s="620" t="str">
        <f t="shared" si="10"/>
        <v/>
      </c>
      <c r="CI48" s="620" t="str">
        <f t="shared" si="84"/>
        <v/>
      </c>
      <c r="CJ48" s="620" t="str">
        <f t="shared" si="85"/>
        <v/>
      </c>
      <c r="CK48" s="620" t="str">
        <f t="shared" si="86"/>
        <v/>
      </c>
      <c r="CL48" s="470"/>
      <c r="CM48" s="470"/>
      <c r="CN48" s="501">
        <f t="shared" si="87"/>
        <v>0</v>
      </c>
      <c r="CO48" s="501">
        <f t="shared" si="88"/>
        <v>0</v>
      </c>
      <c r="CP48" s="501">
        <f t="shared" si="73"/>
        <v>0</v>
      </c>
      <c r="CQ48" s="501">
        <f t="shared" si="74"/>
        <v>0</v>
      </c>
      <c r="CR48" s="501">
        <f t="shared" si="75"/>
        <v>0</v>
      </c>
      <c r="CS48" s="501">
        <f t="shared" si="76"/>
        <v>0</v>
      </c>
      <c r="CT48" s="501">
        <f t="shared" si="77"/>
        <v>0</v>
      </c>
      <c r="CU48" s="501">
        <f t="shared" si="78"/>
        <v>0</v>
      </c>
      <c r="CV48" s="501">
        <f t="shared" si="79"/>
        <v>0</v>
      </c>
      <c r="CW48" s="501">
        <f t="shared" si="42"/>
        <v>0</v>
      </c>
      <c r="CX48" s="501">
        <f t="shared" si="43"/>
        <v>0</v>
      </c>
      <c r="DK48" s="470"/>
      <c r="DL48" s="470"/>
      <c r="DM48" s="470"/>
      <c r="DN48" s="470"/>
      <c r="DO48" s="470"/>
      <c r="DP48" s="470"/>
      <c r="DQ48" s="470"/>
      <c r="DR48" s="470"/>
      <c r="DS48" s="470"/>
      <c r="DT48" s="470"/>
      <c r="DV48"/>
    </row>
    <row r="49" spans="1:126" ht="15" customHeight="1" x14ac:dyDescent="0.25">
      <c r="A49" s="2313" t="s">
        <v>658</v>
      </c>
      <c r="B49" s="2314"/>
      <c r="C49" s="1144">
        <f t="shared" si="29"/>
        <v>0</v>
      </c>
      <c r="D49" s="1118">
        <f t="shared" si="80"/>
        <v>0</v>
      </c>
      <c r="E49" s="1267">
        <f t="shared" si="81"/>
        <v>0</v>
      </c>
      <c r="F49" s="1638"/>
      <c r="G49" s="1639"/>
      <c r="H49" s="1638"/>
      <c r="I49" s="1639"/>
      <c r="J49" s="1638"/>
      <c r="K49" s="1639"/>
      <c r="L49" s="1638"/>
      <c r="M49" s="1639"/>
      <c r="N49" s="1638"/>
      <c r="O49" s="1639"/>
      <c r="P49" s="1638"/>
      <c r="Q49" s="1639"/>
      <c r="R49" s="1638"/>
      <c r="S49" s="1639"/>
      <c r="T49" s="1638"/>
      <c r="U49" s="1639"/>
      <c r="V49" s="1638"/>
      <c r="W49" s="1639"/>
      <c r="X49" s="1638"/>
      <c r="Y49" s="1639"/>
      <c r="Z49" s="1638"/>
      <c r="AA49" s="1639"/>
      <c r="AB49" s="1638"/>
      <c r="AC49" s="1639"/>
      <c r="AD49" s="1638"/>
      <c r="AE49" s="1639"/>
      <c r="AF49" s="1638"/>
      <c r="AG49" s="1639"/>
      <c r="AH49" s="1638"/>
      <c r="AI49" s="1639"/>
      <c r="AJ49" s="1638"/>
      <c r="AK49" s="1639"/>
      <c r="AL49" s="1638"/>
      <c r="AM49" s="1640"/>
      <c r="AN49" s="1641"/>
      <c r="AO49" s="1642"/>
      <c r="AP49" s="1643"/>
      <c r="AQ49" s="1639"/>
      <c r="AR49" s="1643"/>
      <c r="AS49" s="1639"/>
      <c r="AT49" s="1644"/>
      <c r="AU49" s="1644"/>
      <c r="AV49" s="1644"/>
      <c r="AW49" s="1644"/>
      <c r="AX49" s="1644"/>
      <c r="AY49" s="1116" t="str">
        <f t="shared" si="3"/>
        <v/>
      </c>
      <c r="CA49" s="620" t="str">
        <f t="shared" si="82"/>
        <v/>
      </c>
      <c r="CB49" s="620" t="str">
        <f t="shared" si="83"/>
        <v/>
      </c>
      <c r="CC49" s="620" t="str">
        <f t="shared" ref="CC49:CC51" si="89">IF(AND(D49&gt;0,OR(AP49=""))," * No olvide digitar la variable Pueblos Originarios Hombres. Digite Cero si no tiene.",IF(AP49&gt;D49," * La variable Pueblos Originarios Hombres no puede ser Mayor al Total Hombres.",""))</f>
        <v/>
      </c>
      <c r="CD49" s="620" t="str">
        <f t="shared" ref="CD49:CD51" si="90">IF(AND(E49&gt;0,OR(AQ49=""))," * No olvide digitar la variable Pueblos Originarios Mujeres. Digite Cero si no tiene.",IF(AQ49&gt;E49," * La variable Pueblos Originarios Mujeres no puede ser Mayor al Total Mujeres.",""))</f>
        <v/>
      </c>
      <c r="CE49" s="620" t="str">
        <f t="shared" ref="CE49:CE51" si="91">IF(AND($D49&gt;0,OR(AR49=""))," * No olvide digitar la variable Migrantes Hombres. Digite Cero si no tiene.",IF(AR49&gt;$D49," * La variable Migrantes Hombres no puede ser Mayor al Total Hombres.",""))</f>
        <v/>
      </c>
      <c r="CF49" s="620" t="str">
        <f t="shared" ref="CF49:CF51" si="92">IF(AND($E49&gt;0,OR(AS49=""))," * No olvide digitar la variable Migrantes Mujeres. Digite Cero si no tiene.",IF(AS49&gt;$E49," * La variable Migrantes Mujeres no puede ser Mayor al Total Mujeres.",""))</f>
        <v/>
      </c>
      <c r="CG49" s="620" t="str">
        <f t="shared" si="9"/>
        <v/>
      </c>
      <c r="CH49" s="620" t="str">
        <f t="shared" si="10"/>
        <v/>
      </c>
      <c r="CI49" s="620" t="str">
        <f t="shared" si="84"/>
        <v/>
      </c>
      <c r="CJ49" s="620" t="str">
        <f t="shared" si="85"/>
        <v/>
      </c>
      <c r="CK49" s="620" t="str">
        <f t="shared" si="86"/>
        <v/>
      </c>
      <c r="CN49" s="501">
        <f t="shared" si="87"/>
        <v>0</v>
      </c>
      <c r="CO49" s="501">
        <f t="shared" si="88"/>
        <v>0</v>
      </c>
      <c r="CP49" s="501">
        <f t="shared" si="73"/>
        <v>0</v>
      </c>
      <c r="CQ49" s="501">
        <f t="shared" si="74"/>
        <v>0</v>
      </c>
      <c r="CR49" s="501">
        <f t="shared" si="75"/>
        <v>0</v>
      </c>
      <c r="CS49" s="501">
        <f t="shared" si="76"/>
        <v>0</v>
      </c>
      <c r="CT49" s="501">
        <f t="shared" si="77"/>
        <v>0</v>
      </c>
      <c r="CU49" s="501">
        <f t="shared" si="78"/>
        <v>0</v>
      </c>
      <c r="CV49" s="501">
        <f t="shared" si="79"/>
        <v>0</v>
      </c>
      <c r="CW49" s="501">
        <f t="shared" si="42"/>
        <v>0</v>
      </c>
      <c r="CX49" s="501">
        <f t="shared" si="43"/>
        <v>0</v>
      </c>
      <c r="DM49" s="470"/>
      <c r="DN49" s="470"/>
      <c r="DO49" s="470"/>
      <c r="DV49"/>
    </row>
    <row r="50" spans="1:126" ht="15" customHeight="1" x14ac:dyDescent="0.25">
      <c r="A50" s="2313" t="s">
        <v>659</v>
      </c>
      <c r="B50" s="2314"/>
      <c r="C50" s="1144">
        <f t="shared" si="29"/>
        <v>0</v>
      </c>
      <c r="D50" s="1118">
        <f t="shared" si="80"/>
        <v>0</v>
      </c>
      <c r="E50" s="1267">
        <f t="shared" si="81"/>
        <v>0</v>
      </c>
      <c r="F50" s="1638"/>
      <c r="G50" s="1639"/>
      <c r="H50" s="1638"/>
      <c r="I50" s="1639"/>
      <c r="J50" s="1638"/>
      <c r="K50" s="1639"/>
      <c r="L50" s="1638"/>
      <c r="M50" s="1639"/>
      <c r="N50" s="1638"/>
      <c r="O50" s="1639"/>
      <c r="P50" s="1638"/>
      <c r="Q50" s="1639"/>
      <c r="R50" s="1638"/>
      <c r="S50" s="1639"/>
      <c r="T50" s="1638"/>
      <c r="U50" s="1639"/>
      <c r="V50" s="1638"/>
      <c r="W50" s="1639"/>
      <c r="X50" s="1638"/>
      <c r="Y50" s="1639"/>
      <c r="Z50" s="1638"/>
      <c r="AA50" s="1639"/>
      <c r="AB50" s="1638"/>
      <c r="AC50" s="1639"/>
      <c r="AD50" s="1638"/>
      <c r="AE50" s="1639"/>
      <c r="AF50" s="1638"/>
      <c r="AG50" s="1639"/>
      <c r="AH50" s="1638"/>
      <c r="AI50" s="1639"/>
      <c r="AJ50" s="1638"/>
      <c r="AK50" s="1639"/>
      <c r="AL50" s="1638"/>
      <c r="AM50" s="1640"/>
      <c r="AN50" s="1641"/>
      <c r="AO50" s="1642"/>
      <c r="AP50" s="1643"/>
      <c r="AQ50" s="1639"/>
      <c r="AR50" s="1643"/>
      <c r="AS50" s="1639"/>
      <c r="AT50" s="1644"/>
      <c r="AU50" s="1644"/>
      <c r="AV50" s="1644"/>
      <c r="AW50" s="1644"/>
      <c r="AX50" s="1644"/>
      <c r="AY50" s="1116" t="str">
        <f t="shared" si="3"/>
        <v/>
      </c>
      <c r="CA50" s="620" t="str">
        <f t="shared" si="82"/>
        <v/>
      </c>
      <c r="CB50" s="620" t="str">
        <f t="shared" si="83"/>
        <v/>
      </c>
      <c r="CC50" s="620" t="str">
        <f t="shared" si="89"/>
        <v/>
      </c>
      <c r="CD50" s="620" t="str">
        <f t="shared" si="90"/>
        <v/>
      </c>
      <c r="CE50" s="620" t="str">
        <f t="shared" si="91"/>
        <v/>
      </c>
      <c r="CF50" s="620" t="str">
        <f t="shared" si="92"/>
        <v/>
      </c>
      <c r="CG50" s="620" t="str">
        <f t="shared" si="9"/>
        <v/>
      </c>
      <c r="CH50" s="620" t="str">
        <f t="shared" si="10"/>
        <v/>
      </c>
      <c r="CI50" s="620" t="str">
        <f t="shared" si="84"/>
        <v/>
      </c>
      <c r="CJ50" s="620" t="str">
        <f t="shared" si="85"/>
        <v/>
      </c>
      <c r="CK50" s="620" t="str">
        <f t="shared" si="86"/>
        <v/>
      </c>
      <c r="CN50" s="501">
        <f t="shared" si="87"/>
        <v>0</v>
      </c>
      <c r="CO50" s="501">
        <f t="shared" si="88"/>
        <v>0</v>
      </c>
      <c r="CP50" s="501">
        <f t="shared" si="73"/>
        <v>0</v>
      </c>
      <c r="CQ50" s="501">
        <f t="shared" si="74"/>
        <v>0</v>
      </c>
      <c r="CR50" s="501">
        <f t="shared" si="75"/>
        <v>0</v>
      </c>
      <c r="CS50" s="501">
        <f t="shared" si="76"/>
        <v>0</v>
      </c>
      <c r="CT50" s="501">
        <f t="shared" si="77"/>
        <v>0</v>
      </c>
      <c r="CU50" s="501">
        <f t="shared" si="78"/>
        <v>0</v>
      </c>
      <c r="CV50" s="501">
        <f t="shared" si="79"/>
        <v>0</v>
      </c>
      <c r="CW50" s="501">
        <f t="shared" si="42"/>
        <v>0</v>
      </c>
      <c r="CX50" s="501">
        <f t="shared" si="43"/>
        <v>0</v>
      </c>
      <c r="DM50" s="470"/>
      <c r="DN50" s="470"/>
      <c r="DO50" s="470"/>
      <c r="DV50"/>
    </row>
    <row r="51" spans="1:126" ht="15" customHeight="1" x14ac:dyDescent="0.25">
      <c r="A51" s="2315" t="s">
        <v>660</v>
      </c>
      <c r="B51" s="2316"/>
      <c r="C51" s="1139">
        <f t="shared" si="29"/>
        <v>0</v>
      </c>
      <c r="D51" s="1133">
        <f t="shared" si="80"/>
        <v>0</v>
      </c>
      <c r="E51" s="1251">
        <f t="shared" si="81"/>
        <v>0</v>
      </c>
      <c r="F51" s="1623"/>
      <c r="G51" s="1624"/>
      <c r="H51" s="1623"/>
      <c r="I51" s="1624"/>
      <c r="J51" s="1623"/>
      <c r="K51" s="1624"/>
      <c r="L51" s="1623"/>
      <c r="M51" s="1624"/>
      <c r="N51" s="1623"/>
      <c r="O51" s="1624"/>
      <c r="P51" s="1623"/>
      <c r="Q51" s="1624"/>
      <c r="R51" s="1623"/>
      <c r="S51" s="1624"/>
      <c r="T51" s="1623"/>
      <c r="U51" s="1624"/>
      <c r="V51" s="1623"/>
      <c r="W51" s="1624"/>
      <c r="X51" s="1623"/>
      <c r="Y51" s="1624"/>
      <c r="Z51" s="1623"/>
      <c r="AA51" s="1624"/>
      <c r="AB51" s="1623"/>
      <c r="AC51" s="1624"/>
      <c r="AD51" s="1623"/>
      <c r="AE51" s="1624"/>
      <c r="AF51" s="1623"/>
      <c r="AG51" s="1624"/>
      <c r="AH51" s="1623"/>
      <c r="AI51" s="1624"/>
      <c r="AJ51" s="1623"/>
      <c r="AK51" s="1624"/>
      <c r="AL51" s="1623"/>
      <c r="AM51" s="1625"/>
      <c r="AN51" s="1626"/>
      <c r="AO51" s="1627"/>
      <c r="AP51" s="1628"/>
      <c r="AQ51" s="1624"/>
      <c r="AR51" s="1628"/>
      <c r="AS51" s="1624"/>
      <c r="AT51" s="1629"/>
      <c r="AU51" s="1629"/>
      <c r="AV51" s="1629"/>
      <c r="AW51" s="1629"/>
      <c r="AX51" s="1629"/>
      <c r="AY51" s="1116" t="str">
        <f t="shared" si="3"/>
        <v/>
      </c>
      <c r="CA51" s="620" t="str">
        <f t="shared" si="82"/>
        <v/>
      </c>
      <c r="CB51" s="620" t="str">
        <f t="shared" si="83"/>
        <v/>
      </c>
      <c r="CC51" s="620" t="str">
        <f t="shared" si="89"/>
        <v/>
      </c>
      <c r="CD51" s="620" t="str">
        <f t="shared" si="90"/>
        <v/>
      </c>
      <c r="CE51" s="620" t="str">
        <f t="shared" si="91"/>
        <v/>
      </c>
      <c r="CF51" s="620" t="str">
        <f t="shared" si="92"/>
        <v/>
      </c>
      <c r="CG51" s="620" t="str">
        <f t="shared" si="9"/>
        <v/>
      </c>
      <c r="CH51" s="620" t="str">
        <f t="shared" si="10"/>
        <v/>
      </c>
      <c r="CI51" s="620" t="str">
        <f t="shared" si="84"/>
        <v/>
      </c>
      <c r="CJ51" s="620" t="str">
        <f t="shared" si="85"/>
        <v/>
      </c>
      <c r="CK51" s="620" t="str">
        <f t="shared" si="86"/>
        <v/>
      </c>
      <c r="CN51" s="501">
        <f t="shared" si="87"/>
        <v>0</v>
      </c>
      <c r="CO51" s="501">
        <f t="shared" si="88"/>
        <v>0</v>
      </c>
      <c r="CP51" s="501">
        <f t="shared" si="73"/>
        <v>0</v>
      </c>
      <c r="CQ51" s="501">
        <f t="shared" si="74"/>
        <v>0</v>
      </c>
      <c r="CR51" s="501">
        <f t="shared" si="75"/>
        <v>0</v>
      </c>
      <c r="CS51" s="501">
        <f t="shared" si="76"/>
        <v>0</v>
      </c>
      <c r="CT51" s="501">
        <f t="shared" si="77"/>
        <v>0</v>
      </c>
      <c r="CU51" s="501">
        <f t="shared" si="78"/>
        <v>0</v>
      </c>
      <c r="CV51" s="501">
        <f t="shared" si="79"/>
        <v>0</v>
      </c>
      <c r="CW51" s="501">
        <f t="shared" si="42"/>
        <v>0</v>
      </c>
      <c r="CX51" s="501">
        <f t="shared" si="43"/>
        <v>0</v>
      </c>
      <c r="DM51" s="470"/>
      <c r="DN51" s="470"/>
      <c r="DO51" s="470"/>
      <c r="DV51"/>
    </row>
    <row r="52" spans="1:126" ht="15" customHeight="1" x14ac:dyDescent="0.25">
      <c r="A52" s="2317" t="s">
        <v>661</v>
      </c>
      <c r="B52" s="1247" t="s">
        <v>410</v>
      </c>
      <c r="C52" s="1126">
        <f t="shared" ref="C52:C55" si="93">SUM(D52:E52)</f>
        <v>0</v>
      </c>
      <c r="D52" s="1199">
        <f>+F52+H52+J52+L52+N52+P52+R52+T52+V52+X52+Z52+AB52+AD52+AF52+AH52+AJ52+AL52</f>
        <v>0</v>
      </c>
      <c r="E52" s="1298">
        <f>+G52+I52+K52+M52+O52+Q52+S52+U52+W52+Y52+AA52+AC52+AE52+AG52+AI52+AK52+AM52</f>
        <v>0</v>
      </c>
      <c r="F52" s="1657"/>
      <c r="G52" s="1656"/>
      <c r="H52" s="1657"/>
      <c r="I52" s="1656"/>
      <c r="J52" s="1657"/>
      <c r="K52" s="1656"/>
      <c r="L52" s="1657"/>
      <c r="M52" s="1656"/>
      <c r="N52" s="1657"/>
      <c r="O52" s="1656"/>
      <c r="P52" s="1657"/>
      <c r="Q52" s="1656"/>
      <c r="R52" s="1657"/>
      <c r="S52" s="1656"/>
      <c r="T52" s="1657"/>
      <c r="U52" s="1656"/>
      <c r="V52" s="1657"/>
      <c r="W52" s="1656"/>
      <c r="X52" s="1657"/>
      <c r="Y52" s="1656"/>
      <c r="Z52" s="1657"/>
      <c r="AA52" s="1656"/>
      <c r="AB52" s="1657"/>
      <c r="AC52" s="1656"/>
      <c r="AD52" s="1657"/>
      <c r="AE52" s="1656"/>
      <c r="AF52" s="1657"/>
      <c r="AG52" s="1656"/>
      <c r="AH52" s="1657"/>
      <c r="AI52" s="1656"/>
      <c r="AJ52" s="1657"/>
      <c r="AK52" s="1656"/>
      <c r="AL52" s="1657"/>
      <c r="AM52" s="1658"/>
      <c r="AN52" s="1619"/>
      <c r="AO52" s="1620"/>
      <c r="AP52" s="1621"/>
      <c r="AQ52" s="1617"/>
      <c r="AR52" s="1655"/>
      <c r="AS52" s="1656"/>
      <c r="AT52" s="1652"/>
      <c r="AU52" s="1652"/>
      <c r="AV52" s="1652"/>
      <c r="AW52" s="1652"/>
      <c r="AX52" s="1652"/>
      <c r="AY52" s="1116" t="str">
        <f t="shared" si="3"/>
        <v/>
      </c>
      <c r="CA52" s="620" t="str">
        <f t="shared" si="82"/>
        <v/>
      </c>
      <c r="CB52" s="620" t="str">
        <f t="shared" si="83"/>
        <v/>
      </c>
      <c r="CC52" s="620" t="str">
        <f t="shared" ref="CC52:CC55" si="94">IF(AND(D52&gt;0,OR(AP52=""))," * No olvide digitar la variable Pueblos Originarios Hombres. Digite Cero si no tiene.",IF(AP52&gt;D52," * La variable Pueblos Originarios Hombres no puede ser Mayor al Total Hombres.",""))</f>
        <v/>
      </c>
      <c r="CD52" s="620" t="str">
        <f t="shared" ref="CD52:CD55" si="95">IF(AND(E52&gt;0,OR(AQ52=""))," * No olvide digitar la variable Pueblos Originarios Mujeres. Digite Cero si no tiene.",IF(AQ52&gt;E52," * La variable Pueblos Originarios Mujeres no puede ser Mayor al Total Mujeres.",""))</f>
        <v/>
      </c>
      <c r="CE52" s="620" t="str">
        <f t="shared" ref="CE52:CE55" si="96">IF(AND($D52&gt;0,OR(AR52=""))," * No olvide digitar la variable Migrantes Hombres. Digite Cero si no tiene.",IF(AR52&gt;$D52," * La variable Migrantes Hombres no puede ser Mayor al Total Hombres.",""))</f>
        <v/>
      </c>
      <c r="CF52" s="620" t="str">
        <f t="shared" ref="CF52:CF55" si="97">IF(AND($E52&gt;0,OR(AS52=""))," * No olvide digitar la variable Migrantes Mujeres. Digite Cero si no tiene.",IF(AS52&gt;$E52," * La variable Migrantes Mujeres no puede ser Mayor al Total Mujeres.",""))</f>
        <v/>
      </c>
      <c r="CG52" s="620" t="str">
        <f t="shared" si="9"/>
        <v/>
      </c>
      <c r="CH52" s="620" t="str">
        <f t="shared" si="10"/>
        <v/>
      </c>
      <c r="CI52" s="620" t="str">
        <f t="shared" ref="CI52:CI58" si="98">IF(AND(C52&gt;0,OR(AV52=""))," * No olvide digitar la variable Plan Cuidado Integral Elaborado. Digite Cero si no tiene.",IF($AV52&gt;$C52,"* La variable Plan Cuidado Integral Elaborado debe ser menor o igual al Total de Personas en control. ",""))</f>
        <v/>
      </c>
      <c r="CJ52" s="620" t="str">
        <f t="shared" ref="CJ52:CJ58" si="99">IF(AND(E52&gt;0,OR(AW52=""))," * No olvide digitar la variable Trans Masculino. (Digite Cero si no tiene).",IF(AW52&gt;E52," * La variable Trans Masculino no debe ser mayor al Total Mujeres.",""))</f>
        <v/>
      </c>
      <c r="CK52" s="620" t="str">
        <f t="shared" ref="CK52:CK58" si="100">IF(AND(D52&gt;0,OR(AX52=""))," * No olvide digitar la variable Trans Femenino. (Digite Cero si no tiene).",IF(AX52&gt;D52," * La variable Trans Femenino no debe ser mayor al Total Hombre.",""))</f>
        <v/>
      </c>
      <c r="CN52" s="501">
        <f t="shared" si="87"/>
        <v>0</v>
      </c>
      <c r="CO52" s="501">
        <f t="shared" si="88"/>
        <v>0</v>
      </c>
      <c r="CP52" s="501">
        <f t="shared" si="73"/>
        <v>0</v>
      </c>
      <c r="CQ52" s="501">
        <f t="shared" si="74"/>
        <v>0</v>
      </c>
      <c r="CR52" s="501">
        <f t="shared" si="75"/>
        <v>0</v>
      </c>
      <c r="CS52" s="501">
        <f t="shared" si="76"/>
        <v>0</v>
      </c>
      <c r="CT52" s="501">
        <f t="shared" si="77"/>
        <v>0</v>
      </c>
      <c r="CU52" s="501">
        <f t="shared" si="78"/>
        <v>0</v>
      </c>
      <c r="CV52" s="501">
        <f t="shared" si="79"/>
        <v>0</v>
      </c>
      <c r="CW52" s="501">
        <f t="shared" si="42"/>
        <v>0</v>
      </c>
      <c r="CX52" s="501">
        <f t="shared" si="43"/>
        <v>0</v>
      </c>
      <c r="DM52" s="470"/>
      <c r="DN52" s="470"/>
      <c r="DO52" s="470"/>
      <c r="DV52"/>
    </row>
    <row r="53" spans="1:126" ht="15" customHeight="1" x14ac:dyDescent="0.25">
      <c r="A53" s="2318"/>
      <c r="B53" s="1266" t="s">
        <v>412</v>
      </c>
      <c r="C53" s="1270">
        <f t="shared" si="93"/>
        <v>0</v>
      </c>
      <c r="D53" s="1127">
        <f t="shared" ref="D53:D55" si="101">+F53+H53+J53+L53+N53+P53+R53+T53+V53+X53+Z53+AB53+AD53+AF53+AH53+AJ53+AL53</f>
        <v>0</v>
      </c>
      <c r="E53" s="1271">
        <f t="shared" ref="E53:E55" si="102">+G53+I53+K53+M53+O53+Q53+S53+U53+W53+Y53+AA53+AC53+AE53+AG53+AI53+AK53+AM53</f>
        <v>0</v>
      </c>
      <c r="F53" s="1646"/>
      <c r="G53" s="1645"/>
      <c r="H53" s="1646"/>
      <c r="I53" s="1645"/>
      <c r="J53" s="1646"/>
      <c r="K53" s="1645"/>
      <c r="L53" s="1646"/>
      <c r="M53" s="1645"/>
      <c r="N53" s="1646"/>
      <c r="O53" s="1645"/>
      <c r="P53" s="1646"/>
      <c r="Q53" s="1645"/>
      <c r="R53" s="1646"/>
      <c r="S53" s="1645"/>
      <c r="T53" s="1646"/>
      <c r="U53" s="1645"/>
      <c r="V53" s="1646"/>
      <c r="W53" s="1645"/>
      <c r="X53" s="1646"/>
      <c r="Y53" s="1645"/>
      <c r="Z53" s="1646"/>
      <c r="AA53" s="1645"/>
      <c r="AB53" s="1646"/>
      <c r="AC53" s="1645"/>
      <c r="AD53" s="1646"/>
      <c r="AE53" s="1645"/>
      <c r="AF53" s="1646"/>
      <c r="AG53" s="1645"/>
      <c r="AH53" s="1646"/>
      <c r="AI53" s="1645"/>
      <c r="AJ53" s="1646"/>
      <c r="AK53" s="1645"/>
      <c r="AL53" s="1646"/>
      <c r="AM53" s="1647"/>
      <c r="AN53" s="1641"/>
      <c r="AO53" s="1642"/>
      <c r="AP53" s="1643"/>
      <c r="AQ53" s="1639"/>
      <c r="AR53" s="1650"/>
      <c r="AS53" s="1645"/>
      <c r="AT53" s="1651"/>
      <c r="AU53" s="1651"/>
      <c r="AV53" s="1651"/>
      <c r="AW53" s="1651"/>
      <c r="AX53" s="1651"/>
      <c r="AY53" s="1116" t="str">
        <f t="shared" si="3"/>
        <v/>
      </c>
      <c r="CA53" s="620" t="str">
        <f t="shared" si="82"/>
        <v/>
      </c>
      <c r="CB53" s="620" t="str">
        <f t="shared" si="83"/>
        <v/>
      </c>
      <c r="CC53" s="620" t="str">
        <f t="shared" si="94"/>
        <v/>
      </c>
      <c r="CD53" s="620" t="str">
        <f t="shared" si="95"/>
        <v/>
      </c>
      <c r="CE53" s="620" t="str">
        <f t="shared" si="96"/>
        <v/>
      </c>
      <c r="CF53" s="620" t="str">
        <f t="shared" si="97"/>
        <v/>
      </c>
      <c r="CG53" s="620" t="str">
        <f t="shared" si="9"/>
        <v/>
      </c>
      <c r="CH53" s="620" t="str">
        <f t="shared" si="10"/>
        <v/>
      </c>
      <c r="CI53" s="620" t="str">
        <f t="shared" si="98"/>
        <v/>
      </c>
      <c r="CJ53" s="620" t="str">
        <f t="shared" si="99"/>
        <v/>
      </c>
      <c r="CK53" s="620" t="str">
        <f t="shared" si="100"/>
        <v/>
      </c>
      <c r="CN53" s="501">
        <f t="shared" si="87"/>
        <v>0</v>
      </c>
      <c r="CO53" s="501">
        <f t="shared" si="88"/>
        <v>0</v>
      </c>
      <c r="CP53" s="501">
        <f t="shared" si="73"/>
        <v>0</v>
      </c>
      <c r="CQ53" s="501">
        <f t="shared" si="74"/>
        <v>0</v>
      </c>
      <c r="CR53" s="501">
        <f t="shared" si="75"/>
        <v>0</v>
      </c>
      <c r="CS53" s="501">
        <f t="shared" si="76"/>
        <v>0</v>
      </c>
      <c r="CT53" s="501">
        <f t="shared" si="77"/>
        <v>0</v>
      </c>
      <c r="CU53" s="501">
        <f t="shared" si="78"/>
        <v>0</v>
      </c>
      <c r="CV53" s="501">
        <f t="shared" si="79"/>
        <v>0</v>
      </c>
      <c r="CW53" s="501">
        <f t="shared" si="42"/>
        <v>0</v>
      </c>
      <c r="CX53" s="501">
        <f t="shared" si="43"/>
        <v>0</v>
      </c>
      <c r="DM53" s="470"/>
      <c r="DN53" s="470"/>
      <c r="DO53" s="470"/>
      <c r="DV53"/>
    </row>
    <row r="54" spans="1:126" ht="15" customHeight="1" x14ac:dyDescent="0.25">
      <c r="A54" s="2318"/>
      <c r="B54" s="1266" t="s">
        <v>662</v>
      </c>
      <c r="C54" s="1270">
        <f t="shared" si="93"/>
        <v>0</v>
      </c>
      <c r="D54" s="1127">
        <f t="shared" si="101"/>
        <v>0</v>
      </c>
      <c r="E54" s="1271">
        <f t="shared" si="102"/>
        <v>0</v>
      </c>
      <c r="F54" s="1646"/>
      <c r="G54" s="1645"/>
      <c r="H54" s="1646"/>
      <c r="I54" s="1645"/>
      <c r="J54" s="1646"/>
      <c r="K54" s="1645"/>
      <c r="L54" s="1646"/>
      <c r="M54" s="1645"/>
      <c r="N54" s="1646"/>
      <c r="O54" s="1645"/>
      <c r="P54" s="1646"/>
      <c r="Q54" s="1645"/>
      <c r="R54" s="1646"/>
      <c r="S54" s="1645"/>
      <c r="T54" s="1646"/>
      <c r="U54" s="1645"/>
      <c r="V54" s="1646"/>
      <c r="W54" s="1645"/>
      <c r="X54" s="1646"/>
      <c r="Y54" s="1645"/>
      <c r="Z54" s="1646"/>
      <c r="AA54" s="1645"/>
      <c r="AB54" s="1646"/>
      <c r="AC54" s="1645"/>
      <c r="AD54" s="1646"/>
      <c r="AE54" s="1645"/>
      <c r="AF54" s="1646"/>
      <c r="AG54" s="1645"/>
      <c r="AH54" s="1646"/>
      <c r="AI54" s="1645"/>
      <c r="AJ54" s="1646"/>
      <c r="AK54" s="1645"/>
      <c r="AL54" s="1646"/>
      <c r="AM54" s="1647"/>
      <c r="AN54" s="1641"/>
      <c r="AO54" s="1642"/>
      <c r="AP54" s="1643"/>
      <c r="AQ54" s="1639"/>
      <c r="AR54" s="1650"/>
      <c r="AS54" s="1645"/>
      <c r="AT54" s="1651"/>
      <c r="AU54" s="1651"/>
      <c r="AV54" s="1651"/>
      <c r="AW54" s="1651"/>
      <c r="AX54" s="1651"/>
      <c r="AY54" s="1116" t="str">
        <f t="shared" si="3"/>
        <v/>
      </c>
      <c r="CA54" s="620" t="str">
        <f t="shared" si="82"/>
        <v/>
      </c>
      <c r="CB54" s="620" t="str">
        <f t="shared" si="83"/>
        <v/>
      </c>
      <c r="CC54" s="620" t="str">
        <f t="shared" si="94"/>
        <v/>
      </c>
      <c r="CD54" s="620" t="str">
        <f t="shared" si="95"/>
        <v/>
      </c>
      <c r="CE54" s="620" t="str">
        <f t="shared" si="96"/>
        <v/>
      </c>
      <c r="CF54" s="620" t="str">
        <f t="shared" si="97"/>
        <v/>
      </c>
      <c r="CG54" s="620" t="str">
        <f t="shared" si="9"/>
        <v/>
      </c>
      <c r="CH54" s="620" t="str">
        <f t="shared" si="10"/>
        <v/>
      </c>
      <c r="CI54" s="620" t="str">
        <f t="shared" si="98"/>
        <v/>
      </c>
      <c r="CJ54" s="620" t="str">
        <f t="shared" si="99"/>
        <v/>
      </c>
      <c r="CK54" s="620" t="str">
        <f t="shared" si="100"/>
        <v/>
      </c>
      <c r="CN54" s="501">
        <f t="shared" si="87"/>
        <v>0</v>
      </c>
      <c r="CO54" s="501">
        <f t="shared" si="88"/>
        <v>0</v>
      </c>
      <c r="CP54" s="501">
        <f t="shared" si="73"/>
        <v>0</v>
      </c>
      <c r="CQ54" s="501">
        <f t="shared" si="74"/>
        <v>0</v>
      </c>
      <c r="CR54" s="501">
        <f t="shared" si="75"/>
        <v>0</v>
      </c>
      <c r="CS54" s="501">
        <f t="shared" si="76"/>
        <v>0</v>
      </c>
      <c r="CT54" s="501">
        <f t="shared" si="77"/>
        <v>0</v>
      </c>
      <c r="CU54" s="501">
        <f t="shared" si="78"/>
        <v>0</v>
      </c>
      <c r="CV54" s="501">
        <f t="shared" si="79"/>
        <v>0</v>
      </c>
      <c r="CW54" s="501">
        <f t="shared" si="42"/>
        <v>0</v>
      </c>
      <c r="CX54" s="501">
        <f t="shared" si="43"/>
        <v>0</v>
      </c>
      <c r="DM54" s="470"/>
      <c r="DN54" s="470"/>
      <c r="DO54" s="470"/>
      <c r="DV54"/>
    </row>
    <row r="55" spans="1:126" ht="15" customHeight="1" x14ac:dyDescent="0.25">
      <c r="A55" s="2318"/>
      <c r="B55" s="1266" t="s">
        <v>663</v>
      </c>
      <c r="C55" s="1270">
        <f t="shared" si="93"/>
        <v>0</v>
      </c>
      <c r="D55" s="1127">
        <f t="shared" si="101"/>
        <v>0</v>
      </c>
      <c r="E55" s="1271">
        <f t="shared" si="102"/>
        <v>0</v>
      </c>
      <c r="F55" s="1646"/>
      <c r="G55" s="1645"/>
      <c r="H55" s="1646"/>
      <c r="I55" s="1645"/>
      <c r="J55" s="1646"/>
      <c r="K55" s="1645"/>
      <c r="L55" s="1646"/>
      <c r="M55" s="1645"/>
      <c r="N55" s="1646"/>
      <c r="O55" s="1645"/>
      <c r="P55" s="1646"/>
      <c r="Q55" s="1645"/>
      <c r="R55" s="1646"/>
      <c r="S55" s="1645"/>
      <c r="T55" s="1646"/>
      <c r="U55" s="1645"/>
      <c r="V55" s="1646"/>
      <c r="W55" s="1645"/>
      <c r="X55" s="1646"/>
      <c r="Y55" s="1645"/>
      <c r="Z55" s="1646"/>
      <c r="AA55" s="1645"/>
      <c r="AB55" s="1646"/>
      <c r="AC55" s="1645"/>
      <c r="AD55" s="1646"/>
      <c r="AE55" s="1645"/>
      <c r="AF55" s="1646"/>
      <c r="AG55" s="1645"/>
      <c r="AH55" s="1646"/>
      <c r="AI55" s="1645"/>
      <c r="AJ55" s="1646"/>
      <c r="AK55" s="1645"/>
      <c r="AL55" s="1646"/>
      <c r="AM55" s="1647"/>
      <c r="AN55" s="1641"/>
      <c r="AO55" s="1642"/>
      <c r="AP55" s="1643"/>
      <c r="AQ55" s="1639"/>
      <c r="AR55" s="1650"/>
      <c r="AS55" s="1645"/>
      <c r="AT55" s="1651"/>
      <c r="AU55" s="1651"/>
      <c r="AV55" s="1651"/>
      <c r="AW55" s="1651"/>
      <c r="AX55" s="1651"/>
      <c r="AY55" s="1116" t="str">
        <f t="shared" si="3"/>
        <v/>
      </c>
      <c r="CA55" s="620" t="str">
        <f t="shared" si="82"/>
        <v/>
      </c>
      <c r="CB55" s="620" t="str">
        <f t="shared" si="83"/>
        <v/>
      </c>
      <c r="CC55" s="620" t="str">
        <f t="shared" si="94"/>
        <v/>
      </c>
      <c r="CD55" s="620" t="str">
        <f t="shared" si="95"/>
        <v/>
      </c>
      <c r="CE55" s="620" t="str">
        <f t="shared" si="96"/>
        <v/>
      </c>
      <c r="CF55" s="620" t="str">
        <f t="shared" si="97"/>
        <v/>
      </c>
      <c r="CG55" s="620" t="str">
        <f t="shared" si="9"/>
        <v/>
      </c>
      <c r="CH55" s="620" t="str">
        <f t="shared" si="10"/>
        <v/>
      </c>
      <c r="CI55" s="620" t="str">
        <f t="shared" si="98"/>
        <v/>
      </c>
      <c r="CJ55" s="620" t="str">
        <f t="shared" si="99"/>
        <v/>
      </c>
      <c r="CK55" s="620" t="str">
        <f t="shared" si="100"/>
        <v/>
      </c>
      <c r="CN55" s="501">
        <f t="shared" si="87"/>
        <v>0</v>
      </c>
      <c r="CO55" s="501">
        <f t="shared" si="88"/>
        <v>0</v>
      </c>
      <c r="CP55" s="501">
        <f t="shared" si="73"/>
        <v>0</v>
      </c>
      <c r="CQ55" s="501">
        <f t="shared" si="74"/>
        <v>0</v>
      </c>
      <c r="CR55" s="501">
        <f t="shared" si="75"/>
        <v>0</v>
      </c>
      <c r="CS55" s="501">
        <f t="shared" si="76"/>
        <v>0</v>
      </c>
      <c r="CT55" s="501">
        <f t="shared" si="77"/>
        <v>0</v>
      </c>
      <c r="CU55" s="501">
        <f t="shared" si="78"/>
        <v>0</v>
      </c>
      <c r="CV55" s="501">
        <f t="shared" si="79"/>
        <v>0</v>
      </c>
      <c r="CW55" s="501">
        <f t="shared" si="42"/>
        <v>0</v>
      </c>
      <c r="CX55" s="501">
        <f t="shared" si="43"/>
        <v>0</v>
      </c>
      <c r="DM55" s="470"/>
      <c r="DN55" s="470"/>
      <c r="DO55" s="470"/>
      <c r="DV55"/>
    </row>
    <row r="56" spans="1:126" ht="15" customHeight="1" x14ac:dyDescent="0.25">
      <c r="A56" s="2319"/>
      <c r="B56" s="1269" t="s">
        <v>664</v>
      </c>
      <c r="C56" s="1139">
        <f>SUM(D56:E56)</f>
        <v>0</v>
      </c>
      <c r="D56" s="1133">
        <f t="shared" si="80"/>
        <v>0</v>
      </c>
      <c r="E56" s="1251">
        <f t="shared" si="81"/>
        <v>0</v>
      </c>
      <c r="F56" s="1623"/>
      <c r="G56" s="1624"/>
      <c r="H56" s="1623"/>
      <c r="I56" s="1624"/>
      <c r="J56" s="1623"/>
      <c r="K56" s="1624"/>
      <c r="L56" s="1623"/>
      <c r="M56" s="1624"/>
      <c r="N56" s="1623"/>
      <c r="O56" s="1624"/>
      <c r="P56" s="1623"/>
      <c r="Q56" s="1624"/>
      <c r="R56" s="1623"/>
      <c r="S56" s="1624"/>
      <c r="T56" s="1623"/>
      <c r="U56" s="1624"/>
      <c r="V56" s="1623"/>
      <c r="W56" s="1624"/>
      <c r="X56" s="1623"/>
      <c r="Y56" s="1624"/>
      <c r="Z56" s="1623"/>
      <c r="AA56" s="1624"/>
      <c r="AB56" s="1623"/>
      <c r="AC56" s="1624"/>
      <c r="AD56" s="1623"/>
      <c r="AE56" s="1624"/>
      <c r="AF56" s="1623"/>
      <c r="AG56" s="1624"/>
      <c r="AH56" s="1623"/>
      <c r="AI56" s="1624"/>
      <c r="AJ56" s="1623"/>
      <c r="AK56" s="1624"/>
      <c r="AL56" s="1623"/>
      <c r="AM56" s="1625"/>
      <c r="AN56" s="1626"/>
      <c r="AO56" s="1627"/>
      <c r="AP56" s="1628"/>
      <c r="AQ56" s="1624"/>
      <c r="AR56" s="1628"/>
      <c r="AS56" s="1624"/>
      <c r="AT56" s="1629"/>
      <c r="AU56" s="1629"/>
      <c r="AV56" s="1629"/>
      <c r="AW56" s="1629"/>
      <c r="AX56" s="1629"/>
      <c r="AY56" s="1116" t="str">
        <f t="shared" si="3"/>
        <v/>
      </c>
      <c r="CA56" s="620" t="str">
        <f t="shared" si="82"/>
        <v/>
      </c>
      <c r="CB56" s="620" t="str">
        <f t="shared" si="83"/>
        <v/>
      </c>
      <c r="CC56" s="620" t="str">
        <f t="shared" ref="CC56:CC58" si="103">IF(AND(D56&gt;0,OR(AP56=""))," * No olvide digitar la variable Pueblos Originarios Hombres. Digite Cero si no tiene.",IF(AP56&gt;D56," * La variable Pueblos Originarios Hombres no puede ser Mayor al Total Hombres.",""))</f>
        <v/>
      </c>
      <c r="CD56" s="620" t="str">
        <f t="shared" ref="CD56:CD58" si="104">IF(AND(E56&gt;0,OR(AQ56=""))," * No olvide digitar la variable Pueblos Originarios Mujeres. Digite Cero si no tiene.",IF(AQ56&gt;E56," * La variable Pueblos Originarios Mujeres no puede ser Mayor al Total Mujeres.",""))</f>
        <v/>
      </c>
      <c r="CE56" s="620" t="str">
        <f t="shared" ref="CE56:CE58" si="105">IF(AND($D56&gt;0,OR(AR56=""))," * No olvide digitar la variable Migrantes Hombres. Digite Cero si no tiene.",IF(AR56&gt;$D56," * La variable Migrantes Hombres no puede ser Mayor al Total Hombres.",""))</f>
        <v/>
      </c>
      <c r="CF56" s="620" t="str">
        <f t="shared" ref="CF56:CF58" si="106">IF(AND($E56&gt;0,OR(AS56=""))," * No olvide digitar la variable Migrantes Mujeres. Digite Cero si no tiene.",IF(AS56&gt;$E56," * La variable Migrantes Mujeres no puede ser Mayor al Total Mujeres.",""))</f>
        <v/>
      </c>
      <c r="CG56" s="620" t="str">
        <f t="shared" si="9"/>
        <v/>
      </c>
      <c r="CH56" s="620" t="str">
        <f t="shared" si="10"/>
        <v/>
      </c>
      <c r="CI56" s="620" t="str">
        <f t="shared" si="98"/>
        <v/>
      </c>
      <c r="CJ56" s="620" t="str">
        <f t="shared" si="99"/>
        <v/>
      </c>
      <c r="CK56" s="620" t="str">
        <f t="shared" si="100"/>
        <v/>
      </c>
      <c r="CN56" s="501">
        <f t="shared" si="87"/>
        <v>0</v>
      </c>
      <c r="CO56" s="501">
        <f t="shared" si="88"/>
        <v>0</v>
      </c>
      <c r="CP56" s="501">
        <f t="shared" si="73"/>
        <v>0</v>
      </c>
      <c r="CQ56" s="501">
        <f t="shared" si="74"/>
        <v>0</v>
      </c>
      <c r="CR56" s="501">
        <f t="shared" si="75"/>
        <v>0</v>
      </c>
      <c r="CS56" s="501">
        <f t="shared" si="76"/>
        <v>0</v>
      </c>
      <c r="CT56" s="501">
        <f t="shared" si="77"/>
        <v>0</v>
      </c>
      <c r="CU56" s="501">
        <f t="shared" si="78"/>
        <v>0</v>
      </c>
      <c r="CV56" s="501">
        <f t="shared" si="79"/>
        <v>0</v>
      </c>
      <c r="CW56" s="501">
        <f t="shared" si="42"/>
        <v>0</v>
      </c>
      <c r="CX56" s="501">
        <f t="shared" si="43"/>
        <v>0</v>
      </c>
      <c r="DM56" s="470"/>
      <c r="DN56" s="470"/>
      <c r="DO56" s="470"/>
      <c r="DV56"/>
    </row>
    <row r="57" spans="1:126" ht="15" customHeight="1" x14ac:dyDescent="0.25">
      <c r="A57" s="1294" t="s">
        <v>665</v>
      </c>
      <c r="B57" s="1295"/>
      <c r="C57" s="1126">
        <f>SUM(D57:E57)</f>
        <v>0</v>
      </c>
      <c r="D57" s="1199">
        <f t="shared" si="80"/>
        <v>0</v>
      </c>
      <c r="E57" s="1298">
        <f t="shared" si="81"/>
        <v>0</v>
      </c>
      <c r="F57" s="1657"/>
      <c r="G57" s="1656"/>
      <c r="H57" s="1657"/>
      <c r="I57" s="1656"/>
      <c r="J57" s="1657"/>
      <c r="K57" s="1656"/>
      <c r="L57" s="1657"/>
      <c r="M57" s="1656"/>
      <c r="N57" s="1657"/>
      <c r="O57" s="1656"/>
      <c r="P57" s="1657"/>
      <c r="Q57" s="1656"/>
      <c r="R57" s="1657"/>
      <c r="S57" s="1656"/>
      <c r="T57" s="1657"/>
      <c r="U57" s="1656"/>
      <c r="V57" s="1657"/>
      <c r="W57" s="1656"/>
      <c r="X57" s="1657"/>
      <c r="Y57" s="1656"/>
      <c r="Z57" s="1657"/>
      <c r="AA57" s="1656"/>
      <c r="AB57" s="1657"/>
      <c r="AC57" s="1656"/>
      <c r="AD57" s="1657"/>
      <c r="AE57" s="1656"/>
      <c r="AF57" s="1657"/>
      <c r="AG57" s="1656"/>
      <c r="AH57" s="1657"/>
      <c r="AI57" s="1656"/>
      <c r="AJ57" s="1657"/>
      <c r="AK57" s="1656"/>
      <c r="AL57" s="1657"/>
      <c r="AM57" s="1658"/>
      <c r="AN57" s="1619"/>
      <c r="AO57" s="1620"/>
      <c r="AP57" s="1655"/>
      <c r="AQ57" s="1656"/>
      <c r="AR57" s="1655"/>
      <c r="AS57" s="1656"/>
      <c r="AT57" s="1652"/>
      <c r="AU57" s="1652"/>
      <c r="AV57" s="1652"/>
      <c r="AW57" s="1652"/>
      <c r="AX57" s="1652"/>
      <c r="AY57" s="1116" t="str">
        <f>CA57&amp;CB57&amp;CC57&amp;CD57&amp;CE57&amp;CF57&amp;CG57&amp;CH57&amp;CI57&amp;CJ57&amp;CK57</f>
        <v/>
      </c>
      <c r="CA57" s="620" t="str">
        <f t="shared" si="82"/>
        <v/>
      </c>
      <c r="CB57" s="620" t="str">
        <f t="shared" si="83"/>
        <v/>
      </c>
      <c r="CC57" s="620" t="str">
        <f t="shared" si="103"/>
        <v/>
      </c>
      <c r="CD57" s="620" t="str">
        <f t="shared" si="104"/>
        <v/>
      </c>
      <c r="CE57" s="620" t="str">
        <f t="shared" si="105"/>
        <v/>
      </c>
      <c r="CF57" s="620" t="str">
        <f t="shared" si="106"/>
        <v/>
      </c>
      <c r="CG57" s="620" t="str">
        <f t="shared" si="9"/>
        <v/>
      </c>
      <c r="CH57" s="620" t="str">
        <f t="shared" si="10"/>
        <v/>
      </c>
      <c r="CI57" s="620" t="str">
        <f t="shared" si="98"/>
        <v/>
      </c>
      <c r="CJ57" s="620" t="str">
        <f t="shared" si="99"/>
        <v/>
      </c>
      <c r="CK57" s="620" t="str">
        <f t="shared" si="100"/>
        <v/>
      </c>
      <c r="CN57" s="501">
        <f t="shared" si="87"/>
        <v>0</v>
      </c>
      <c r="CO57" s="501">
        <f t="shared" si="88"/>
        <v>0</v>
      </c>
      <c r="CP57" s="501">
        <f t="shared" si="73"/>
        <v>0</v>
      </c>
      <c r="CQ57" s="501">
        <f t="shared" si="74"/>
        <v>0</v>
      </c>
      <c r="CR57" s="501">
        <f t="shared" si="75"/>
        <v>0</v>
      </c>
      <c r="CS57" s="501">
        <f t="shared" si="76"/>
        <v>0</v>
      </c>
      <c r="CT57" s="501">
        <f t="shared" si="77"/>
        <v>0</v>
      </c>
      <c r="CU57" s="501">
        <f t="shared" si="78"/>
        <v>0</v>
      </c>
      <c r="CV57" s="501">
        <f t="shared" si="79"/>
        <v>0</v>
      </c>
      <c r="CW57" s="501">
        <f t="shared" si="42"/>
        <v>0</v>
      </c>
      <c r="CX57" s="501">
        <f t="shared" si="43"/>
        <v>0</v>
      </c>
      <c r="DM57" s="470"/>
      <c r="DN57" s="470"/>
      <c r="DO57" s="470"/>
      <c r="DV57"/>
    </row>
    <row r="58" spans="1:126" ht="15" customHeight="1" x14ac:dyDescent="0.25">
      <c r="A58" s="2321" t="s">
        <v>666</v>
      </c>
      <c r="B58" s="2322"/>
      <c r="C58" s="1139">
        <f>SUM(D58:E58)</f>
        <v>0</v>
      </c>
      <c r="D58" s="1133">
        <f t="shared" si="80"/>
        <v>0</v>
      </c>
      <c r="E58" s="1134">
        <f t="shared" si="81"/>
        <v>0</v>
      </c>
      <c r="F58" s="1623"/>
      <c r="G58" s="1624"/>
      <c r="H58" s="1623"/>
      <c r="I58" s="1624"/>
      <c r="J58" s="1623"/>
      <c r="K58" s="1624"/>
      <c r="L58" s="1623"/>
      <c r="M58" s="1624"/>
      <c r="N58" s="1623"/>
      <c r="O58" s="1624"/>
      <c r="P58" s="1623"/>
      <c r="Q58" s="1624"/>
      <c r="R58" s="1623"/>
      <c r="S58" s="1624"/>
      <c r="T58" s="1623"/>
      <c r="U58" s="1624"/>
      <c r="V58" s="1623"/>
      <c r="W58" s="1624"/>
      <c r="X58" s="1623"/>
      <c r="Y58" s="1624"/>
      <c r="Z58" s="1623"/>
      <c r="AA58" s="1624"/>
      <c r="AB58" s="1623"/>
      <c r="AC58" s="1624"/>
      <c r="AD58" s="1623"/>
      <c r="AE58" s="1624"/>
      <c r="AF58" s="1623"/>
      <c r="AG58" s="1624"/>
      <c r="AH58" s="1623"/>
      <c r="AI58" s="1624"/>
      <c r="AJ58" s="1623"/>
      <c r="AK58" s="1624"/>
      <c r="AL58" s="1623"/>
      <c r="AM58" s="1625"/>
      <c r="AN58" s="1626"/>
      <c r="AO58" s="1627"/>
      <c r="AP58" s="1628"/>
      <c r="AQ58" s="1624"/>
      <c r="AR58" s="1628"/>
      <c r="AS58" s="1624"/>
      <c r="AT58" s="1629"/>
      <c r="AU58" s="1629"/>
      <c r="AV58" s="1629"/>
      <c r="AW58" s="1629"/>
      <c r="AX58" s="1629"/>
      <c r="AY58" s="1116" t="str">
        <f>CA58&amp;CB58&amp;CC58&amp;CD58&amp;CE58&amp;CF58&amp;CG58&amp;CH58&amp;CI58&amp;CJ58&amp;CK58</f>
        <v/>
      </c>
      <c r="CA58" s="620" t="str">
        <f t="shared" si="82"/>
        <v/>
      </c>
      <c r="CB58" s="620" t="str">
        <f t="shared" si="83"/>
        <v/>
      </c>
      <c r="CC58" s="620" t="str">
        <f t="shared" si="103"/>
        <v/>
      </c>
      <c r="CD58" s="620" t="str">
        <f t="shared" si="104"/>
        <v/>
      </c>
      <c r="CE58" s="620" t="str">
        <f t="shared" si="105"/>
        <v/>
      </c>
      <c r="CF58" s="620" t="str">
        <f t="shared" si="106"/>
        <v/>
      </c>
      <c r="CG58" s="620" t="str">
        <f t="shared" si="9"/>
        <v/>
      </c>
      <c r="CH58" s="620" t="str">
        <f t="shared" si="10"/>
        <v/>
      </c>
      <c r="CI58" s="620" t="str">
        <f t="shared" si="98"/>
        <v/>
      </c>
      <c r="CJ58" s="620" t="str">
        <f t="shared" si="99"/>
        <v/>
      </c>
      <c r="CK58" s="620" t="str">
        <f t="shared" si="100"/>
        <v/>
      </c>
      <c r="CN58" s="501">
        <f t="shared" si="87"/>
        <v>0</v>
      </c>
      <c r="CO58" s="501">
        <f t="shared" si="88"/>
        <v>0</v>
      </c>
      <c r="CP58" s="501">
        <f t="shared" si="73"/>
        <v>0</v>
      </c>
      <c r="CQ58" s="501">
        <f t="shared" si="74"/>
        <v>0</v>
      </c>
      <c r="CR58" s="501">
        <f t="shared" si="75"/>
        <v>0</v>
      </c>
      <c r="CS58" s="501">
        <f t="shared" si="76"/>
        <v>0</v>
      </c>
      <c r="CT58" s="501">
        <f t="shared" si="77"/>
        <v>0</v>
      </c>
      <c r="CU58" s="501">
        <f t="shared" si="78"/>
        <v>0</v>
      </c>
      <c r="CV58" s="501">
        <f t="shared" si="79"/>
        <v>0</v>
      </c>
      <c r="CW58" s="501">
        <f t="shared" si="42"/>
        <v>0</v>
      </c>
      <c r="CX58" s="501">
        <f t="shared" si="43"/>
        <v>0</v>
      </c>
      <c r="DM58" s="470"/>
      <c r="DN58" s="470"/>
      <c r="DO58" s="470"/>
      <c r="DV58"/>
    </row>
    <row r="59" spans="1:126" s="471" customFormat="1" ht="15" customHeight="1" x14ac:dyDescent="0.25">
      <c r="A59" s="1299" t="s">
        <v>667</v>
      </c>
      <c r="B59" s="1299"/>
      <c r="C59" s="1300"/>
      <c r="D59" s="1300"/>
      <c r="E59" s="1301"/>
      <c r="F59" s="1301"/>
      <c r="G59" s="1301"/>
      <c r="H59" s="1301"/>
      <c r="I59" s="1301"/>
      <c r="J59" s="1301"/>
      <c r="K59" s="1301"/>
      <c r="L59" s="1301"/>
      <c r="M59" s="1301"/>
      <c r="N59" s="1301"/>
      <c r="O59" s="1301"/>
      <c r="P59" s="470"/>
      <c r="Q59" s="470"/>
      <c r="R59" s="470"/>
      <c r="S59" s="470"/>
      <c r="T59" s="470"/>
      <c r="U59" s="470"/>
      <c r="V59" s="470"/>
      <c r="W59" s="470"/>
      <c r="X59" s="470"/>
      <c r="Y59" s="470"/>
      <c r="Z59" s="470"/>
      <c r="AA59" s="470"/>
      <c r="AB59" s="470"/>
      <c r="AC59" s="470"/>
      <c r="AD59" s="470"/>
      <c r="AE59" s="470"/>
      <c r="AF59" s="470"/>
      <c r="AG59" s="470"/>
      <c r="AH59" s="470"/>
      <c r="AI59" s="470"/>
      <c r="AJ59" s="470"/>
      <c r="AK59" s="470"/>
      <c r="AL59" s="470"/>
      <c r="AM59" s="470"/>
      <c r="AN59" s="470"/>
      <c r="AO59" s="470"/>
      <c r="AP59" s="470"/>
      <c r="AQ59" s="470"/>
      <c r="AR59" s="470"/>
      <c r="AS59" s="470"/>
      <c r="AT59" s="470"/>
      <c r="AU59" s="470"/>
      <c r="AV59" s="470"/>
      <c r="AW59" s="470"/>
      <c r="AX59" s="470"/>
      <c r="CA59" s="470"/>
      <c r="CB59" s="470"/>
      <c r="CC59" s="470"/>
      <c r="CD59" s="470"/>
      <c r="CE59" s="470"/>
      <c r="CF59" s="470"/>
      <c r="CG59" s="470"/>
      <c r="CH59" s="470"/>
      <c r="CI59" s="470"/>
      <c r="CJ59" s="470"/>
      <c r="CK59" s="470"/>
      <c r="CL59" s="470"/>
      <c r="CM59" s="470"/>
      <c r="CN59" s="470"/>
      <c r="CO59" s="470"/>
      <c r="CP59" s="470"/>
      <c r="CQ59" s="470"/>
      <c r="CR59" s="470"/>
      <c r="CS59" s="470"/>
      <c r="CT59" s="470"/>
      <c r="CU59" s="470"/>
      <c r="CV59" s="470"/>
      <c r="CW59" s="470"/>
      <c r="CX59" s="470"/>
      <c r="CY59" s="470"/>
      <c r="DK59" s="470"/>
      <c r="DL59" s="470"/>
      <c r="DM59" s="470"/>
      <c r="DN59" s="470"/>
      <c r="DO59" s="470"/>
      <c r="DP59" s="470"/>
      <c r="DQ59" s="470"/>
      <c r="DR59" s="470"/>
      <c r="DS59"/>
      <c r="DT59" s="470"/>
      <c r="DV59" s="470"/>
    </row>
    <row r="60" spans="1:126" s="471" customFormat="1" ht="15" customHeight="1" x14ac:dyDescent="0.25">
      <c r="A60" s="2320" t="s">
        <v>668</v>
      </c>
      <c r="B60" s="2320" t="s">
        <v>669</v>
      </c>
      <c r="C60" s="2140" t="s">
        <v>603</v>
      </c>
      <c r="D60" s="2140"/>
      <c r="E60" s="2140"/>
      <c r="F60" s="2355" t="s">
        <v>370</v>
      </c>
      <c r="G60" s="2140"/>
      <c r="H60" s="2140"/>
      <c r="I60" s="2140"/>
      <c r="J60" s="2140"/>
      <c r="K60" s="2140"/>
      <c r="L60" s="2140"/>
      <c r="M60" s="2140"/>
      <c r="N60" s="2140"/>
      <c r="O60" s="2140"/>
      <c r="P60" s="2140"/>
      <c r="Q60" s="2140"/>
      <c r="R60" s="2140"/>
      <c r="S60" s="2140"/>
      <c r="T60" s="2140"/>
      <c r="U60" s="2140"/>
      <c r="V60" s="2140"/>
      <c r="W60" s="2140"/>
      <c r="X60" s="2140"/>
      <c r="Y60" s="2140"/>
      <c r="Z60" s="2140"/>
      <c r="AA60" s="2140"/>
      <c r="AB60" s="2140"/>
      <c r="AC60" s="2140"/>
      <c r="AD60" s="2140"/>
      <c r="AE60" s="2140"/>
      <c r="AF60" s="2140"/>
      <c r="AG60" s="2140"/>
      <c r="AH60" s="2140"/>
      <c r="AI60" s="2140"/>
      <c r="AJ60" s="2140"/>
      <c r="AK60" s="2140"/>
      <c r="AL60" s="2140"/>
      <c r="AM60" s="2140"/>
      <c r="AN60" s="470"/>
      <c r="AO60" s="470"/>
      <c r="AP60" s="470"/>
      <c r="AQ60" s="470"/>
      <c r="AR60" s="470"/>
      <c r="AS60" s="470"/>
      <c r="AT60" s="470"/>
      <c r="AU60" s="470"/>
      <c r="AV60" s="470"/>
      <c r="AW60" s="470"/>
      <c r="AX60" s="470"/>
      <c r="CA60" s="470"/>
      <c r="CB60" s="470"/>
      <c r="CC60" s="470"/>
      <c r="CD60" s="470"/>
      <c r="CE60" s="470"/>
      <c r="CF60" s="470"/>
      <c r="CG60" s="470"/>
      <c r="CH60" s="470"/>
      <c r="CI60" s="470"/>
      <c r="CJ60" s="470"/>
      <c r="CK60" s="470"/>
      <c r="CL60" s="470"/>
      <c r="CM60" s="470"/>
      <c r="CN60" s="470"/>
      <c r="CO60" s="470"/>
      <c r="CP60" s="470"/>
      <c r="CQ60" s="470"/>
      <c r="CR60" s="470"/>
      <c r="CS60" s="470"/>
      <c r="CT60" s="470"/>
      <c r="CU60" s="470"/>
      <c r="CV60" s="470"/>
      <c r="CW60" s="470"/>
      <c r="CX60" s="470"/>
      <c r="CY60" s="470"/>
      <c r="DK60" s="470"/>
      <c r="DL60" s="470"/>
      <c r="DM60" s="470"/>
      <c r="DN60" s="470"/>
      <c r="DO60" s="470"/>
      <c r="DP60" s="470"/>
      <c r="DQ60" s="470"/>
      <c r="DR60" s="470"/>
      <c r="DS60"/>
      <c r="DT60" s="470"/>
      <c r="DV60" s="470"/>
    </row>
    <row r="61" spans="1:126" s="471" customFormat="1" ht="15" customHeight="1" x14ac:dyDescent="0.25">
      <c r="A61" s="2320"/>
      <c r="B61" s="2320"/>
      <c r="C61" s="2140"/>
      <c r="D61" s="2140"/>
      <c r="E61" s="2140"/>
      <c r="F61" s="2140" t="s">
        <v>394</v>
      </c>
      <c r="G61" s="2140"/>
      <c r="H61" s="2140" t="s">
        <v>395</v>
      </c>
      <c r="I61" s="2140"/>
      <c r="J61" s="2293" t="s">
        <v>314</v>
      </c>
      <c r="K61" s="2293"/>
      <c r="L61" s="2293" t="s">
        <v>57</v>
      </c>
      <c r="M61" s="2293"/>
      <c r="N61" s="2293" t="s">
        <v>58</v>
      </c>
      <c r="O61" s="2293"/>
      <c r="P61" s="2293" t="s">
        <v>59</v>
      </c>
      <c r="Q61" s="2293"/>
      <c r="R61" s="2293" t="s">
        <v>60</v>
      </c>
      <c r="S61" s="2293"/>
      <c r="T61" s="2293" t="s">
        <v>61</v>
      </c>
      <c r="U61" s="2293"/>
      <c r="V61" s="2293" t="s">
        <v>62</v>
      </c>
      <c r="W61" s="2293"/>
      <c r="X61" s="2293" t="s">
        <v>63</v>
      </c>
      <c r="Y61" s="2293"/>
      <c r="Z61" s="2293" t="s">
        <v>64</v>
      </c>
      <c r="AA61" s="2293"/>
      <c r="AB61" s="2293" t="s">
        <v>65</v>
      </c>
      <c r="AC61" s="2293"/>
      <c r="AD61" s="2293" t="s">
        <v>66</v>
      </c>
      <c r="AE61" s="2293"/>
      <c r="AF61" s="2358" t="s">
        <v>67</v>
      </c>
      <c r="AG61" s="2358"/>
      <c r="AH61" s="2358" t="s">
        <v>396</v>
      </c>
      <c r="AI61" s="2358"/>
      <c r="AJ61" s="2358" t="s">
        <v>397</v>
      </c>
      <c r="AK61" s="2358"/>
      <c r="AL61" s="2363" t="s">
        <v>398</v>
      </c>
      <c r="AM61" s="2363"/>
      <c r="AN61" s="470"/>
      <c r="AO61" s="470"/>
      <c r="AP61" s="470"/>
      <c r="AQ61" s="470"/>
      <c r="AR61" s="470"/>
      <c r="AS61" s="470"/>
      <c r="AT61" s="470"/>
      <c r="AU61" s="470"/>
      <c r="AV61" s="470"/>
      <c r="AW61" s="470"/>
      <c r="AX61" s="470"/>
      <c r="CA61" s="470"/>
      <c r="CB61" s="470"/>
      <c r="CC61" s="470"/>
      <c r="CD61" s="470"/>
      <c r="CE61" s="470"/>
      <c r="CF61" s="470"/>
      <c r="CG61" s="470"/>
      <c r="CH61" s="470"/>
      <c r="CI61" s="470"/>
      <c r="CJ61" s="470"/>
      <c r="CK61" s="470"/>
      <c r="CL61" s="470"/>
      <c r="CM61" s="470"/>
      <c r="CN61" s="470"/>
      <c r="CO61" s="470"/>
      <c r="CP61" s="470"/>
      <c r="CQ61" s="470"/>
      <c r="CR61" s="470"/>
      <c r="CS61" s="470"/>
      <c r="CT61" s="470"/>
      <c r="CU61" s="470"/>
      <c r="CV61" s="470"/>
      <c r="CW61" s="470"/>
      <c r="CX61" s="470"/>
      <c r="CY61" s="470"/>
      <c r="DK61" s="470"/>
      <c r="DL61" s="470"/>
      <c r="DM61" s="470"/>
      <c r="DN61" s="470"/>
      <c r="DO61" s="470"/>
      <c r="DP61" s="470"/>
      <c r="DQ61" s="470"/>
      <c r="DR61" s="470"/>
      <c r="DS61"/>
      <c r="DT61" s="470"/>
      <c r="DV61" s="470"/>
    </row>
    <row r="62" spans="1:126" s="471" customFormat="1" ht="15" customHeight="1" x14ac:dyDescent="0.25">
      <c r="A62" s="2320"/>
      <c r="B62" s="2320"/>
      <c r="C62" s="1236" t="s">
        <v>224</v>
      </c>
      <c r="D62" s="480" t="s">
        <v>86</v>
      </c>
      <c r="E62" s="1104" t="s">
        <v>225</v>
      </c>
      <c r="F62" s="1103" t="s">
        <v>86</v>
      </c>
      <c r="G62" s="1104" t="s">
        <v>225</v>
      </c>
      <c r="H62" s="1103" t="s">
        <v>86</v>
      </c>
      <c r="I62" s="1104" t="s">
        <v>225</v>
      </c>
      <c r="J62" s="1103" t="s">
        <v>86</v>
      </c>
      <c r="K62" s="1104" t="s">
        <v>225</v>
      </c>
      <c r="L62" s="1103" t="s">
        <v>86</v>
      </c>
      <c r="M62" s="1104" t="s">
        <v>225</v>
      </c>
      <c r="N62" s="1103" t="s">
        <v>86</v>
      </c>
      <c r="O62" s="1104" t="s">
        <v>225</v>
      </c>
      <c r="P62" s="1103" t="s">
        <v>86</v>
      </c>
      <c r="Q62" s="1104" t="s">
        <v>225</v>
      </c>
      <c r="R62" s="1103" t="s">
        <v>86</v>
      </c>
      <c r="S62" s="1104" t="s">
        <v>225</v>
      </c>
      <c r="T62" s="1103" t="s">
        <v>86</v>
      </c>
      <c r="U62" s="1104" t="s">
        <v>225</v>
      </c>
      <c r="V62" s="1103" t="s">
        <v>86</v>
      </c>
      <c r="W62" s="1104" t="s">
        <v>225</v>
      </c>
      <c r="X62" s="1103" t="s">
        <v>86</v>
      </c>
      <c r="Y62" s="1104" t="s">
        <v>225</v>
      </c>
      <c r="Z62" s="1103" t="s">
        <v>86</v>
      </c>
      <c r="AA62" s="1104" t="s">
        <v>225</v>
      </c>
      <c r="AB62" s="1103" t="s">
        <v>86</v>
      </c>
      <c r="AC62" s="1104" t="s">
        <v>225</v>
      </c>
      <c r="AD62" s="1103" t="s">
        <v>86</v>
      </c>
      <c r="AE62" s="1104" t="s">
        <v>225</v>
      </c>
      <c r="AF62" s="1103" t="s">
        <v>86</v>
      </c>
      <c r="AG62" s="1104" t="s">
        <v>225</v>
      </c>
      <c r="AH62" s="1103" t="s">
        <v>86</v>
      </c>
      <c r="AI62" s="1104" t="s">
        <v>225</v>
      </c>
      <c r="AJ62" s="1103" t="s">
        <v>86</v>
      </c>
      <c r="AK62" s="1104" t="s">
        <v>225</v>
      </c>
      <c r="AL62" s="1103" t="s">
        <v>86</v>
      </c>
      <c r="AM62" s="1104" t="s">
        <v>225</v>
      </c>
      <c r="AN62" s="470"/>
      <c r="AO62" s="470"/>
      <c r="AP62" s="470"/>
      <c r="AQ62" s="470"/>
      <c r="AR62" s="470"/>
      <c r="AS62" s="470"/>
      <c r="AT62" s="470"/>
      <c r="AU62" s="470"/>
      <c r="AV62" s="470"/>
      <c r="AW62" s="470"/>
      <c r="AX62" s="470"/>
      <c r="CA62" s="470"/>
      <c r="CB62" s="470"/>
      <c r="CC62" s="470"/>
      <c r="CD62" s="470"/>
      <c r="CE62" s="470"/>
      <c r="CF62" s="470"/>
      <c r="CG62" s="470"/>
      <c r="CH62" s="470"/>
      <c r="CI62" s="470"/>
      <c r="CJ62" s="470"/>
      <c r="CK62" s="470"/>
      <c r="CL62" s="470"/>
      <c r="CM62" s="470"/>
      <c r="CN62" s="470"/>
      <c r="CO62" s="470"/>
      <c r="CP62" s="470"/>
      <c r="CQ62" s="470"/>
      <c r="CR62" s="470"/>
      <c r="CS62" s="470"/>
      <c r="CT62" s="470"/>
      <c r="CU62" s="470"/>
      <c r="CV62" s="470"/>
      <c r="CW62" s="470"/>
      <c r="CX62" s="470"/>
      <c r="CY62" s="470"/>
      <c r="DK62" s="470"/>
      <c r="DL62" s="470"/>
      <c r="DM62" s="470"/>
      <c r="DN62" s="470"/>
      <c r="DO62" s="470"/>
      <c r="DP62" s="470"/>
      <c r="DQ62" s="470"/>
      <c r="DR62" s="470"/>
      <c r="DS62"/>
      <c r="DT62" s="470"/>
      <c r="DV62" s="470"/>
    </row>
    <row r="63" spans="1:126" ht="15" customHeight="1" x14ac:dyDescent="0.25">
      <c r="A63" s="1302" t="s">
        <v>670</v>
      </c>
      <c r="B63" s="1302" t="s">
        <v>618</v>
      </c>
      <c r="C63" s="1303">
        <f>SUM(D63:E63)</f>
        <v>0</v>
      </c>
      <c r="D63" s="1304">
        <f>+F63+H63+J63+L63+N63+P63+R63+T63+V63+X63+Z63+AB63+AD63+AF63+AH63+AJ63+AL63</f>
        <v>0</v>
      </c>
      <c r="E63" s="1305">
        <f>+G63+I63+K63+M63+O63+Q63+S63+U63+W63+Y63+AA63+AC63+AE63+AG63+AI63+AK63+AM63</f>
        <v>0</v>
      </c>
      <c r="F63" s="1659"/>
      <c r="G63" s="1660"/>
      <c r="H63" s="1659"/>
      <c r="I63" s="1660"/>
      <c r="J63" s="1659"/>
      <c r="K63" s="1660"/>
      <c r="L63" s="1659"/>
      <c r="M63" s="1660"/>
      <c r="N63" s="1659"/>
      <c r="O63" s="1660"/>
      <c r="P63" s="1659"/>
      <c r="Q63" s="1660"/>
      <c r="R63" s="1659"/>
      <c r="S63" s="1660"/>
      <c r="T63" s="1659"/>
      <c r="U63" s="1660"/>
      <c r="V63" s="1659"/>
      <c r="W63" s="1660"/>
      <c r="X63" s="1659"/>
      <c r="Y63" s="1660"/>
      <c r="Z63" s="1659"/>
      <c r="AA63" s="1660"/>
      <c r="AB63" s="1659"/>
      <c r="AC63" s="1660"/>
      <c r="AD63" s="1659"/>
      <c r="AE63" s="1660"/>
      <c r="AF63" s="1659"/>
      <c r="AG63" s="1660"/>
      <c r="AH63" s="1659"/>
      <c r="AI63" s="1660"/>
      <c r="AJ63" s="1659"/>
      <c r="AK63" s="1660"/>
      <c r="AL63" s="1659"/>
      <c r="AM63" s="1661"/>
      <c r="AN63" s="652"/>
      <c r="CA63" s="470"/>
      <c r="CT63" s="470"/>
      <c r="CU63" s="470"/>
      <c r="CV63" s="470"/>
      <c r="DM63" s="470"/>
      <c r="DN63" s="470"/>
      <c r="DO63" s="470"/>
      <c r="DP63"/>
      <c r="DQ63"/>
      <c r="DR63"/>
      <c r="DS63"/>
    </row>
    <row r="64" spans="1:126" s="1168" customFormat="1" ht="15" customHeight="1" x14ac:dyDescent="0.25">
      <c r="A64" s="1306" t="s">
        <v>671</v>
      </c>
      <c r="B64" s="1306" t="s">
        <v>618</v>
      </c>
      <c r="C64" s="1307">
        <f>SUM(D64:E64)</f>
        <v>0</v>
      </c>
      <c r="D64" s="1308">
        <f>+F64+H64+J64+L64+N64+P64+R64+T64+V64+X64+Z64+AB64+AD64+AF64+AH64+AJ64+AL64</f>
        <v>0</v>
      </c>
      <c r="E64" s="1309">
        <f>+G64+I64+K64+M64+O64+Q64+S64+U64+W64+Y64+AA64+AC64+AE64+AG64+AI64+AK64+AM64</f>
        <v>0</v>
      </c>
      <c r="F64" s="1662"/>
      <c r="G64" s="1663"/>
      <c r="H64" s="1662"/>
      <c r="I64" s="1663"/>
      <c r="J64" s="1662"/>
      <c r="K64" s="1663"/>
      <c r="L64" s="1662"/>
      <c r="M64" s="1663"/>
      <c r="N64" s="1662"/>
      <c r="O64" s="1663"/>
      <c r="P64" s="1662"/>
      <c r="Q64" s="1663"/>
      <c r="R64" s="1662"/>
      <c r="S64" s="1663"/>
      <c r="T64" s="1662"/>
      <c r="U64" s="1663"/>
      <c r="V64" s="1662"/>
      <c r="W64" s="1663"/>
      <c r="X64" s="1662"/>
      <c r="Y64" s="1663"/>
      <c r="Z64" s="1662"/>
      <c r="AA64" s="1663"/>
      <c r="AB64" s="1662"/>
      <c r="AC64" s="1663"/>
      <c r="AD64" s="1662"/>
      <c r="AE64" s="1663"/>
      <c r="AF64" s="1662"/>
      <c r="AG64" s="1663"/>
      <c r="AH64" s="1662"/>
      <c r="AI64" s="1663"/>
      <c r="AJ64" s="1662"/>
      <c r="AK64" s="1663"/>
      <c r="AL64" s="1662"/>
      <c r="AM64" s="1664"/>
      <c r="AN64" s="652"/>
      <c r="AO64" s="470"/>
      <c r="AP64" s="470"/>
      <c r="AQ64" s="470"/>
      <c r="AR64" s="470"/>
      <c r="AS64" s="470"/>
      <c r="AT64" s="470"/>
      <c r="AU64" s="470"/>
      <c r="AV64" s="470"/>
      <c r="AW64" s="470"/>
      <c r="AX64" s="470"/>
      <c r="CV64" s="470"/>
      <c r="CW64" s="470"/>
      <c r="CX64" s="470"/>
      <c r="DS64"/>
    </row>
    <row r="65" spans="1:124" s="1168" customFormat="1" ht="17.100000000000001" customHeight="1" x14ac:dyDescent="0.25">
      <c r="A65" s="1310" t="s">
        <v>672</v>
      </c>
      <c r="B65" s="1311"/>
      <c r="C65" s="470"/>
      <c r="D65" s="470"/>
      <c r="E65" s="470"/>
      <c r="F65" s="470"/>
      <c r="G65" s="470"/>
      <c r="H65" s="470"/>
      <c r="I65" s="470"/>
      <c r="J65" s="470"/>
      <c r="K65" s="470"/>
      <c r="L65" s="470"/>
      <c r="M65" s="470"/>
      <c r="N65" s="470"/>
      <c r="O65" s="1312"/>
      <c r="P65" s="1312"/>
      <c r="Q65" s="1312"/>
      <c r="R65" s="1312"/>
      <c r="S65" s="1312"/>
      <c r="T65" s="1312"/>
      <c r="U65" s="1312"/>
      <c r="V65" s="1312"/>
      <c r="W65" s="1312"/>
      <c r="X65" s="1312"/>
      <c r="Y65" s="1312"/>
      <c r="Z65" s="1312"/>
      <c r="AA65" s="1312"/>
      <c r="AB65" s="1312"/>
      <c r="AC65" s="1312"/>
      <c r="AD65" s="1312"/>
      <c r="AE65" s="1312"/>
      <c r="AF65" s="1312"/>
      <c r="AG65" s="1312"/>
      <c r="AH65" s="1312"/>
      <c r="AI65" s="1312"/>
      <c r="AJ65" s="1312"/>
      <c r="AK65" s="1312"/>
      <c r="AL65" s="1312"/>
      <c r="AM65" s="1312"/>
      <c r="AN65" s="1313"/>
      <c r="AO65" s="471"/>
      <c r="AP65" s="471"/>
      <c r="AQ65" s="471"/>
      <c r="AR65" s="471"/>
      <c r="AS65" s="471"/>
      <c r="AT65" s="471"/>
      <c r="AU65" s="471"/>
      <c r="AV65" s="471"/>
      <c r="AW65" s="471"/>
      <c r="AX65" s="471"/>
      <c r="AY65" s="470"/>
      <c r="AZ65" s="470"/>
      <c r="BA65" s="470"/>
      <c r="BB65" s="470"/>
      <c r="CA65" s="470"/>
      <c r="CB65" s="470"/>
      <c r="CC65" s="470"/>
      <c r="CD65" s="470"/>
      <c r="CE65" s="470"/>
      <c r="CF65" s="470"/>
      <c r="CG65" s="470"/>
      <c r="CH65" s="470"/>
      <c r="CI65" s="470"/>
      <c r="CJ65" s="470"/>
      <c r="CK65" s="470"/>
      <c r="CL65" s="470"/>
      <c r="CM65" s="470"/>
      <c r="CN65" s="470"/>
      <c r="CO65" s="470"/>
      <c r="CP65" s="470"/>
      <c r="CQ65" s="470"/>
      <c r="CR65" s="470"/>
      <c r="CS65" s="470"/>
      <c r="CT65" s="470"/>
      <c r="CU65" s="470"/>
      <c r="CV65" s="470"/>
      <c r="CW65" s="470"/>
      <c r="CX65" s="470"/>
      <c r="CY65" s="470"/>
      <c r="DK65" s="470"/>
      <c r="DL65" s="470"/>
      <c r="DM65" s="470"/>
      <c r="DN65" s="470"/>
      <c r="DO65" s="470"/>
      <c r="DS65"/>
    </row>
    <row r="66" spans="1:124" s="1168" customFormat="1" ht="15" customHeight="1" x14ac:dyDescent="0.25">
      <c r="A66" s="2299" t="s">
        <v>435</v>
      </c>
      <c r="B66" s="2300"/>
      <c r="C66" s="2324" t="s">
        <v>49</v>
      </c>
      <c r="D66" s="2325"/>
      <c r="E66" s="2326"/>
      <c r="F66" s="2295" t="s">
        <v>370</v>
      </c>
      <c r="G66" s="1842"/>
      <c r="H66" s="1842"/>
      <c r="I66" s="1842"/>
      <c r="J66" s="1842"/>
      <c r="K66" s="1842"/>
      <c r="L66" s="1842"/>
      <c r="M66" s="1842"/>
      <c r="N66" s="1842"/>
      <c r="O66" s="2296"/>
      <c r="P66" s="2359" t="s">
        <v>566</v>
      </c>
      <c r="Q66" s="2360"/>
      <c r="R66" s="1312"/>
      <c r="S66" s="1312"/>
      <c r="T66" s="1312"/>
      <c r="U66" s="1312"/>
      <c r="V66" s="1312"/>
      <c r="W66" s="1312"/>
      <c r="X66" s="1312"/>
      <c r="Y66" s="1312"/>
      <c r="Z66" s="1312"/>
      <c r="AA66" s="1312"/>
      <c r="AB66" s="1312"/>
      <c r="AC66" s="1312"/>
      <c r="AD66" s="1312"/>
      <c r="AE66" s="1312"/>
      <c r="AF66" s="1312"/>
      <c r="AG66" s="1312"/>
      <c r="AH66" s="1312"/>
      <c r="AI66" s="1312"/>
      <c r="AJ66" s="1312"/>
      <c r="AK66" s="1312"/>
      <c r="AL66" s="1312"/>
      <c r="AM66" s="1312"/>
      <c r="AN66" s="1313"/>
      <c r="AO66" s="471"/>
      <c r="AP66" s="471"/>
      <c r="AQ66" s="471"/>
      <c r="AR66" s="471"/>
      <c r="AS66" s="471"/>
      <c r="AT66" s="471"/>
      <c r="AU66" s="471"/>
      <c r="AV66" s="471"/>
      <c r="AW66" s="471"/>
      <c r="AX66" s="471"/>
      <c r="AY66" s="470"/>
      <c r="AZ66" s="470"/>
      <c r="BA66" s="470"/>
      <c r="BB66" s="470"/>
      <c r="CA66" s="470"/>
      <c r="CB66" s="470"/>
      <c r="CC66" s="470"/>
      <c r="CD66" s="470"/>
      <c r="CE66" s="470"/>
      <c r="CF66" s="470"/>
      <c r="CG66" s="470"/>
      <c r="CH66" s="470"/>
      <c r="CI66" s="470"/>
      <c r="CJ66" s="982"/>
      <c r="CK66" s="982"/>
      <c r="CL66" s="470"/>
      <c r="CM66" s="470"/>
      <c r="CN66" s="1019"/>
      <c r="CO66" s="470"/>
      <c r="CP66" s="470"/>
      <c r="CQ66" s="470"/>
      <c r="CR66" s="470"/>
      <c r="CS66" s="470"/>
      <c r="CT66" s="470"/>
      <c r="CU66" s="470"/>
      <c r="CV66" s="470"/>
      <c r="CW66" s="470"/>
      <c r="CX66" s="470"/>
      <c r="CY66" s="487"/>
      <c r="DK66" s="470"/>
      <c r="DL66" s="470"/>
      <c r="DM66" s="470"/>
      <c r="DN66" s="470"/>
      <c r="DO66" s="470"/>
      <c r="DS66"/>
    </row>
    <row r="67" spans="1:124" s="1168" customFormat="1" ht="15" customHeight="1" x14ac:dyDescent="0.25">
      <c r="A67" s="2301"/>
      <c r="B67" s="2302"/>
      <c r="C67" s="2327"/>
      <c r="D67" s="2328"/>
      <c r="E67" s="2329"/>
      <c r="F67" s="2140" t="s">
        <v>394</v>
      </c>
      <c r="G67" s="2140"/>
      <c r="H67" s="2140" t="s">
        <v>395</v>
      </c>
      <c r="I67" s="2140"/>
      <c r="J67" s="2293" t="s">
        <v>314</v>
      </c>
      <c r="K67" s="2293"/>
      <c r="L67" s="2293" t="s">
        <v>57</v>
      </c>
      <c r="M67" s="2293"/>
      <c r="N67" s="2293" t="s">
        <v>58</v>
      </c>
      <c r="O67" s="2293"/>
      <c r="P67" s="2361"/>
      <c r="Q67" s="2362"/>
      <c r="R67" s="1312"/>
      <c r="S67" s="1312"/>
      <c r="T67" s="1312"/>
      <c r="U67" s="1312"/>
      <c r="V67" s="1312"/>
      <c r="W67" s="1312"/>
      <c r="X67" s="1312"/>
      <c r="Y67" s="1312"/>
      <c r="Z67" s="1312"/>
      <c r="AA67" s="1312"/>
      <c r="AB67" s="1312"/>
      <c r="AC67" s="1312"/>
      <c r="AD67" s="1312"/>
      <c r="AE67" s="1312"/>
      <c r="AF67" s="1312"/>
      <c r="AG67" s="1312"/>
      <c r="AH67" s="1312"/>
      <c r="AI67" s="1312"/>
      <c r="AJ67" s="1312"/>
      <c r="AK67" s="1312"/>
      <c r="AL67" s="1312"/>
      <c r="AM67" s="1312"/>
      <c r="AN67" s="1313"/>
      <c r="AO67" s="471"/>
      <c r="AP67" s="471"/>
      <c r="AQ67" s="471"/>
      <c r="AR67" s="471"/>
      <c r="AS67" s="471"/>
      <c r="AT67" s="471"/>
      <c r="AU67" s="471"/>
      <c r="AV67" s="471"/>
      <c r="AW67" s="471"/>
      <c r="AX67" s="471"/>
      <c r="AY67" s="470"/>
      <c r="AZ67" s="470"/>
      <c r="BA67" s="470"/>
      <c r="BB67" s="470"/>
      <c r="CA67" s="470"/>
      <c r="CB67" s="470"/>
      <c r="CC67" s="487"/>
      <c r="CD67" s="487"/>
      <c r="CE67" s="982"/>
      <c r="CF67" s="982"/>
      <c r="CG67" s="470"/>
      <c r="CH67" s="470"/>
      <c r="CI67" s="470"/>
      <c r="CJ67" s="470"/>
      <c r="CK67" s="470"/>
      <c r="CL67" s="470"/>
      <c r="CM67" s="470"/>
      <c r="CN67" s="487"/>
      <c r="CO67" s="470"/>
      <c r="CP67" s="470"/>
      <c r="CQ67" s="470"/>
      <c r="CR67" s="470"/>
      <c r="CS67" s="982"/>
      <c r="CT67" s="982"/>
      <c r="CU67" s="470"/>
      <c r="CV67" s="470"/>
      <c r="CW67" s="470"/>
      <c r="CX67" s="470"/>
      <c r="CY67" s="487"/>
      <c r="DK67" s="470"/>
      <c r="DL67" s="470"/>
      <c r="DM67" s="470"/>
      <c r="DN67" s="470"/>
      <c r="DO67" s="982"/>
      <c r="DS67"/>
    </row>
    <row r="68" spans="1:124" s="472" customFormat="1" ht="15" customHeight="1" x14ac:dyDescent="0.25">
      <c r="A68" s="2303"/>
      <c r="B68" s="2304"/>
      <c r="C68" s="1236" t="s">
        <v>478</v>
      </c>
      <c r="D68" s="480" t="s">
        <v>86</v>
      </c>
      <c r="E68" s="1104" t="s">
        <v>225</v>
      </c>
      <c r="F68" s="1103" t="s">
        <v>86</v>
      </c>
      <c r="G68" s="1104" t="s">
        <v>225</v>
      </c>
      <c r="H68" s="1103" t="s">
        <v>86</v>
      </c>
      <c r="I68" s="1104" t="s">
        <v>225</v>
      </c>
      <c r="J68" s="1103" t="s">
        <v>86</v>
      </c>
      <c r="K68" s="1104" t="s">
        <v>225</v>
      </c>
      <c r="L68" s="1103" t="s">
        <v>86</v>
      </c>
      <c r="M68" s="1104" t="s">
        <v>225</v>
      </c>
      <c r="N68" s="1103" t="s">
        <v>86</v>
      </c>
      <c r="O68" s="1315" t="s">
        <v>225</v>
      </c>
      <c r="P68" s="1316" t="s">
        <v>86</v>
      </c>
      <c r="Q68" s="1314" t="s">
        <v>225</v>
      </c>
      <c r="R68" s="1312"/>
      <c r="S68" s="1312"/>
      <c r="T68" s="1312"/>
      <c r="U68" s="1312"/>
      <c r="V68" s="1312"/>
      <c r="W68" s="1312"/>
      <c r="X68" s="1312"/>
      <c r="Y68" s="1312"/>
      <c r="Z68" s="1312"/>
      <c r="AA68" s="1312"/>
      <c r="AB68" s="1312"/>
      <c r="AC68" s="1312"/>
      <c r="AD68" s="1312"/>
      <c r="AE68" s="1312"/>
      <c r="AF68" s="1312"/>
      <c r="AG68" s="1312"/>
      <c r="AH68" s="1312"/>
      <c r="AI68" s="1312"/>
      <c r="AJ68" s="1312"/>
      <c r="AK68" s="1312"/>
      <c r="AL68" s="1312"/>
      <c r="AM68" s="1312"/>
      <c r="AN68" s="1313"/>
      <c r="AO68" s="471"/>
      <c r="AP68" s="471"/>
      <c r="AQ68" s="471"/>
      <c r="AR68" s="471"/>
      <c r="AS68" s="471"/>
      <c r="AT68" s="471"/>
      <c r="AU68" s="471"/>
      <c r="AV68" s="471"/>
      <c r="AW68" s="471"/>
      <c r="AX68" s="471"/>
      <c r="AY68" s="787"/>
      <c r="AZ68" s="787"/>
      <c r="BA68" s="787"/>
      <c r="BB68" s="787"/>
      <c r="CA68" s="470"/>
      <c r="CB68" s="470"/>
      <c r="CC68" s="470"/>
      <c r="CD68" s="470"/>
      <c r="CE68" s="487"/>
      <c r="CF68" s="487"/>
      <c r="CG68" s="470"/>
      <c r="CH68" s="470"/>
      <c r="CI68" s="470"/>
      <c r="CJ68" s="470"/>
      <c r="CK68" s="470"/>
      <c r="CL68" s="470"/>
      <c r="CM68" s="470"/>
      <c r="CN68" s="470"/>
      <c r="CO68" s="470"/>
      <c r="CP68" s="470"/>
      <c r="CQ68" s="470"/>
      <c r="CR68" s="470"/>
      <c r="CS68" s="487"/>
      <c r="CT68" s="487"/>
      <c r="CU68" s="470"/>
      <c r="CV68" s="470"/>
      <c r="CW68" s="470"/>
      <c r="CX68" s="470"/>
      <c r="CY68" s="470"/>
      <c r="DK68" s="470"/>
      <c r="DL68" s="470"/>
      <c r="DM68" s="470"/>
      <c r="DN68" s="470"/>
      <c r="DO68" s="487"/>
      <c r="DS68"/>
    </row>
    <row r="69" spans="1:124" s="1168" customFormat="1" ht="15" customHeight="1" x14ac:dyDescent="0.25">
      <c r="A69" s="2330" t="s">
        <v>673</v>
      </c>
      <c r="B69" s="2331"/>
      <c r="C69" s="603">
        <f>SUM(D69:E69)</f>
        <v>0</v>
      </c>
      <c r="D69" s="1317">
        <f>+F69+H69+J69+L69+N69</f>
        <v>0</v>
      </c>
      <c r="E69" s="648">
        <f>+G69+I69+K69+M69+O69</f>
        <v>0</v>
      </c>
      <c r="F69" s="1665"/>
      <c r="G69" s="1666"/>
      <c r="H69" s="1665"/>
      <c r="I69" s="1666"/>
      <c r="J69" s="1665"/>
      <c r="K69" s="1666"/>
      <c r="L69" s="1665"/>
      <c r="M69" s="1666"/>
      <c r="N69" s="1665"/>
      <c r="O69" s="1667"/>
      <c r="P69" s="1666"/>
      <c r="Q69" s="1668"/>
      <c r="R69" s="1116" t="str">
        <f>CA69&amp;CB69</f>
        <v/>
      </c>
      <c r="S69" s="470"/>
      <c r="T69" s="470"/>
      <c r="U69"/>
      <c r="V69" s="470"/>
      <c r="W69" s="470"/>
      <c r="X69" s="470"/>
      <c r="Y69" s="470"/>
      <c r="Z69" s="470"/>
      <c r="AA69" s="470"/>
      <c r="AB69" s="470"/>
      <c r="AC69" s="470"/>
      <c r="AD69" s="470"/>
      <c r="AE69" s="470"/>
      <c r="AF69" s="470"/>
      <c r="AG69" s="470"/>
      <c r="AH69" s="470"/>
      <c r="AI69" s="470"/>
      <c r="AJ69" s="470"/>
      <c r="AK69" s="470"/>
      <c r="AL69" s="470"/>
      <c r="AM69" s="470"/>
      <c r="AN69" s="470"/>
      <c r="AO69" s="470"/>
      <c r="AP69" s="470"/>
      <c r="AQ69" s="470"/>
      <c r="AR69" s="470"/>
      <c r="AS69" s="470"/>
      <c r="AT69" s="470"/>
      <c r="AU69" s="470"/>
      <c r="AV69" s="470"/>
      <c r="AW69" s="470"/>
      <c r="AX69" s="470"/>
      <c r="AZ69" s="787"/>
      <c r="BA69" s="787"/>
      <c r="BB69" s="787"/>
      <c r="CA69" s="620" t="str">
        <f>IF(AND(D69&gt;0,OR(P69=""))," * No olvide digitar la variable Población Migrantes Hombres (Digite Cero si no tiene).",IF(P69&gt;D69," * La variable Población Migrantes Hombres no debe ser mayor al Total Hombres.",""))</f>
        <v/>
      </c>
      <c r="CB69" s="620" t="str">
        <f>IF(AND(E69&gt;0,OR(Q69=""))," * No olvide digitar la variable Población Migrantes Mujeres (Digite Cero si no tiene).",IF(Q69&gt;E69," * La variable Población Migrantes Mujeres no debe ser mayor al Total Mujeres.",""))</f>
        <v/>
      </c>
      <c r="CC69" s="470"/>
      <c r="CD69" s="470"/>
      <c r="CG69" s="470"/>
      <c r="CH69" s="470"/>
      <c r="CI69" s="470"/>
      <c r="CJ69" s="470"/>
      <c r="CK69" s="470"/>
      <c r="CL69" s="470"/>
      <c r="CM69" s="470"/>
      <c r="CN69" s="501">
        <f>IF(AND($D69&gt;0,OR(P69="")),1,IF(P69&gt;$D69,1,0))</f>
        <v>0</v>
      </c>
      <c r="CO69" s="501">
        <f>IF(AND($E69&gt;0,OR(Q69="")),1,IF(Q69&gt;$E69,1,0))</f>
        <v>0</v>
      </c>
      <c r="CP69" s="470"/>
      <c r="CQ69" s="470"/>
      <c r="CR69" s="470"/>
      <c r="CS69" s="470"/>
      <c r="CT69" s="470"/>
      <c r="CU69" s="470"/>
      <c r="CV69" s="470"/>
      <c r="CW69" s="470"/>
      <c r="CX69" s="470"/>
      <c r="CY69" s="470"/>
      <c r="DK69" s="470"/>
      <c r="DL69" s="470"/>
      <c r="DR69"/>
    </row>
    <row r="70" spans="1:124" s="1168" customFormat="1" ht="17.100000000000001" customHeight="1" x14ac:dyDescent="0.25">
      <c r="A70" s="1318" t="s">
        <v>674</v>
      </c>
      <c r="B70" s="1319"/>
      <c r="C70" s="773"/>
      <c r="D70" s="773"/>
      <c r="E70" s="773"/>
      <c r="F70" s="773"/>
      <c r="G70" s="773"/>
      <c r="H70" s="773"/>
      <c r="I70" s="773"/>
      <c r="J70" s="773"/>
      <c r="K70" s="773"/>
      <c r="L70" s="773"/>
      <c r="M70" s="773"/>
      <c r="N70" s="773"/>
      <c r="O70" s="773"/>
      <c r="P70" s="773"/>
      <c r="Q70" s="773"/>
      <c r="R70" s="1116"/>
      <c r="S70" s="470"/>
      <c r="T70" s="470"/>
      <c r="U70"/>
      <c r="V70" s="470"/>
      <c r="W70" s="470"/>
      <c r="X70" s="470"/>
      <c r="Y70" s="470"/>
      <c r="Z70" s="470"/>
      <c r="AA70" s="470"/>
      <c r="AB70" s="470"/>
      <c r="AC70" s="470"/>
      <c r="AD70" s="470"/>
      <c r="AE70" s="470"/>
      <c r="AF70" s="470"/>
      <c r="AG70" s="470"/>
      <c r="AH70" s="470"/>
      <c r="AI70" s="470"/>
      <c r="AJ70" s="470"/>
      <c r="AK70" s="470"/>
      <c r="AL70" s="470"/>
      <c r="AM70" s="470"/>
      <c r="AN70" s="470"/>
      <c r="AO70" s="470"/>
      <c r="AP70" s="470"/>
      <c r="AQ70" s="470"/>
      <c r="AR70" s="470"/>
      <c r="AS70" s="470"/>
      <c r="AT70" s="470"/>
      <c r="AU70" s="470"/>
      <c r="AV70" s="470"/>
      <c r="AW70" s="470"/>
      <c r="AX70" s="470"/>
      <c r="AZ70" s="787"/>
      <c r="BA70" s="787"/>
      <c r="BB70" s="787"/>
      <c r="CA70" s="470"/>
      <c r="CB70" s="470"/>
      <c r="CC70" s="470"/>
      <c r="CD70" s="470"/>
      <c r="CG70" s="470"/>
      <c r="CH70" s="470"/>
      <c r="CI70" s="470"/>
      <c r="CJ70" s="470"/>
      <c r="CK70" s="470"/>
      <c r="CL70" s="470"/>
      <c r="CM70" s="470"/>
      <c r="CN70" s="470"/>
      <c r="CO70" s="470"/>
      <c r="CP70" s="470"/>
      <c r="CQ70" s="470"/>
      <c r="CR70" s="470"/>
      <c r="CS70" s="470"/>
      <c r="CT70" s="470"/>
      <c r="CU70" s="470"/>
      <c r="CV70" s="470"/>
      <c r="CW70" s="470"/>
      <c r="CX70" s="470"/>
      <c r="CY70" s="470"/>
      <c r="DK70" s="470"/>
      <c r="DL70" s="470"/>
      <c r="DR70"/>
    </row>
    <row r="71" spans="1:124" s="1168" customFormat="1" ht="17.100000000000001" customHeight="1" x14ac:dyDescent="0.25">
      <c r="A71" s="2332" t="s">
        <v>675</v>
      </c>
      <c r="B71" s="2333"/>
      <c r="C71" s="2333"/>
      <c r="D71" s="2333"/>
      <c r="E71" s="2333"/>
      <c r="F71" s="2333"/>
      <c r="G71" s="2333"/>
      <c r="H71" s="2333"/>
      <c r="I71" s="2333"/>
      <c r="J71" s="2333"/>
      <c r="K71" s="2333"/>
      <c r="L71" s="2333"/>
      <c r="M71" s="2333"/>
      <c r="N71" s="2333"/>
      <c r="O71" s="2333"/>
      <c r="P71" s="470"/>
      <c r="Q71" s="470"/>
      <c r="X71" s="468"/>
      <c r="Y71" s="470"/>
      <c r="Z71" s="470"/>
      <c r="AA71" s="470"/>
      <c r="AB71" s="468"/>
      <c r="AC71" s="1265"/>
      <c r="AY71" s="787"/>
      <c r="AZ71" s="787"/>
      <c r="BA71" s="787"/>
      <c r="BB71" s="787"/>
      <c r="CA71" s="470"/>
      <c r="CB71" s="470"/>
      <c r="CC71" s="470"/>
      <c r="CD71" s="470"/>
      <c r="CE71" s="470"/>
      <c r="CF71" s="470"/>
      <c r="CG71" s="470"/>
      <c r="CH71" s="470"/>
      <c r="CI71" s="470"/>
      <c r="CJ71" s="470"/>
      <c r="CK71" s="470"/>
      <c r="CL71" s="470"/>
      <c r="CM71" s="470"/>
      <c r="CN71" s="470"/>
      <c r="CO71" s="470"/>
      <c r="CP71" s="470"/>
      <c r="CQ71" s="470"/>
      <c r="CR71" s="470"/>
      <c r="CS71" s="470"/>
      <c r="CT71" s="470"/>
      <c r="CU71" s="470"/>
      <c r="CV71" s="470"/>
      <c r="CW71" s="470"/>
      <c r="CX71" s="470"/>
      <c r="CY71" s="470"/>
      <c r="DK71" s="470"/>
      <c r="DL71" s="470"/>
      <c r="DM71" s="470"/>
      <c r="DN71" s="470"/>
      <c r="DR71"/>
    </row>
    <row r="72" spans="1:124" s="1168" customFormat="1" ht="15" customHeight="1" x14ac:dyDescent="0.25">
      <c r="A72" s="2140" t="s">
        <v>435</v>
      </c>
      <c r="B72" s="2140"/>
      <c r="C72" s="2140" t="s">
        <v>603</v>
      </c>
      <c r="D72" s="2140"/>
      <c r="E72" s="2140"/>
      <c r="F72" s="2355" t="s">
        <v>370</v>
      </c>
      <c r="G72" s="2140"/>
      <c r="H72" s="2140"/>
      <c r="I72" s="2140"/>
      <c r="J72" s="2140"/>
      <c r="K72" s="2140"/>
      <c r="L72" s="2140"/>
      <c r="M72" s="2140"/>
      <c r="N72" s="2140"/>
      <c r="O72" s="2140"/>
      <c r="P72" s="2140"/>
      <c r="Q72" s="2140"/>
      <c r="R72" s="2140"/>
      <c r="S72" s="2140"/>
      <c r="T72" s="2140"/>
      <c r="U72" s="2140"/>
      <c r="V72" s="2140"/>
      <c r="W72" s="2140"/>
      <c r="X72" s="2140"/>
      <c r="Y72" s="2140"/>
      <c r="Z72" s="2140"/>
      <c r="AA72" s="2140"/>
      <c r="AB72" s="2140"/>
      <c r="AC72" s="2140"/>
      <c r="AD72" s="2140"/>
      <c r="AE72" s="2140"/>
      <c r="AF72" s="2140"/>
      <c r="AG72" s="2140"/>
      <c r="AH72" s="2140"/>
      <c r="AI72" s="2140"/>
      <c r="AJ72" s="2140"/>
      <c r="AK72" s="2140"/>
      <c r="AL72" s="2140"/>
      <c r="AM72" s="2081"/>
      <c r="AN72" s="2376" t="s">
        <v>604</v>
      </c>
      <c r="AO72" s="2366" t="s">
        <v>605</v>
      </c>
      <c r="AP72" s="2366" t="s">
        <v>51</v>
      </c>
      <c r="AQ72" s="2366"/>
      <c r="AR72" s="2374" t="s">
        <v>52</v>
      </c>
      <c r="AS72" s="2360"/>
      <c r="AT72" s="2366" t="s">
        <v>899</v>
      </c>
      <c r="AU72" s="2366" t="s">
        <v>898</v>
      </c>
      <c r="AV72" s="2360" t="s">
        <v>606</v>
      </c>
      <c r="AW72" s="2364" t="s">
        <v>607</v>
      </c>
      <c r="AX72" s="2360"/>
      <c r="AY72" s="787"/>
      <c r="AZ72" s="787"/>
      <c r="BA72" s="787"/>
      <c r="BB72" s="787"/>
      <c r="CA72" s="470"/>
      <c r="CB72" s="470"/>
      <c r="CC72" s="470"/>
      <c r="CD72" s="470"/>
      <c r="CE72" s="470"/>
      <c r="CF72" s="470"/>
      <c r="CG72" s="470"/>
      <c r="CH72" s="470"/>
      <c r="CI72" s="470"/>
      <c r="CJ72" s="470"/>
      <c r="CK72" s="470"/>
      <c r="CL72" s="470"/>
      <c r="CM72" s="470"/>
      <c r="CN72" s="470"/>
      <c r="CO72" s="470"/>
      <c r="CP72" s="470"/>
      <c r="CQ72" s="470"/>
      <c r="CR72" s="470"/>
      <c r="CS72" s="470"/>
      <c r="CT72" s="470"/>
      <c r="CU72" s="470"/>
      <c r="CV72" s="470"/>
      <c r="CW72" s="470"/>
      <c r="CX72" s="470"/>
      <c r="CY72" s="470"/>
      <c r="DK72" s="470"/>
      <c r="DL72" s="470"/>
      <c r="DM72" s="470"/>
      <c r="DN72" s="470"/>
      <c r="DR72"/>
    </row>
    <row r="73" spans="1:124" s="1168" customFormat="1" ht="15" customHeight="1" x14ac:dyDescent="0.15">
      <c r="A73" s="2140"/>
      <c r="B73" s="2140"/>
      <c r="C73" s="2140"/>
      <c r="D73" s="2140"/>
      <c r="E73" s="2140"/>
      <c r="F73" s="2082" t="s">
        <v>394</v>
      </c>
      <c r="G73" s="2081"/>
      <c r="H73" s="2140" t="s">
        <v>395</v>
      </c>
      <c r="I73" s="2081"/>
      <c r="J73" s="1841" t="s">
        <v>314</v>
      </c>
      <c r="K73" s="1843"/>
      <c r="L73" s="1841" t="s">
        <v>57</v>
      </c>
      <c r="M73" s="1843"/>
      <c r="N73" s="1841" t="s">
        <v>58</v>
      </c>
      <c r="O73" s="1843"/>
      <c r="P73" s="1841" t="s">
        <v>59</v>
      </c>
      <c r="Q73" s="1843"/>
      <c r="R73" s="1841" t="s">
        <v>60</v>
      </c>
      <c r="S73" s="1843"/>
      <c r="T73" s="1841" t="s">
        <v>61</v>
      </c>
      <c r="U73" s="1843"/>
      <c r="V73" s="1841" t="s">
        <v>62</v>
      </c>
      <c r="W73" s="1843"/>
      <c r="X73" s="1841" t="s">
        <v>63</v>
      </c>
      <c r="Y73" s="1843"/>
      <c r="Z73" s="1841" t="s">
        <v>64</v>
      </c>
      <c r="AA73" s="1843"/>
      <c r="AB73" s="1841" t="s">
        <v>65</v>
      </c>
      <c r="AC73" s="1843"/>
      <c r="AD73" s="1841" t="s">
        <v>66</v>
      </c>
      <c r="AE73" s="1843"/>
      <c r="AF73" s="2083" t="s">
        <v>67</v>
      </c>
      <c r="AG73" s="2084"/>
      <c r="AH73" s="2083" t="s">
        <v>396</v>
      </c>
      <c r="AI73" s="2084"/>
      <c r="AJ73" s="2083" t="s">
        <v>397</v>
      </c>
      <c r="AK73" s="2084"/>
      <c r="AL73" s="2356" t="s">
        <v>398</v>
      </c>
      <c r="AM73" s="2357"/>
      <c r="AN73" s="2377"/>
      <c r="AO73" s="2367"/>
      <c r="AP73" s="2368"/>
      <c r="AQ73" s="2368"/>
      <c r="AR73" s="2375"/>
      <c r="AS73" s="2362"/>
      <c r="AT73" s="2367"/>
      <c r="AU73" s="2367"/>
      <c r="AV73" s="2373"/>
      <c r="AW73" s="2365"/>
      <c r="AX73" s="2362"/>
      <c r="AY73" s="787"/>
      <c r="AZ73" s="787"/>
      <c r="BA73" s="787"/>
      <c r="BB73" s="787"/>
      <c r="CA73" s="982"/>
      <c r="CB73" s="982"/>
      <c r="CC73" s="982"/>
      <c r="CD73" s="982"/>
      <c r="CE73" s="982"/>
      <c r="CF73" s="982"/>
      <c r="CG73" s="982"/>
      <c r="CH73" s="982"/>
      <c r="CI73" s="1320"/>
      <c r="CJ73" s="982"/>
      <c r="CK73" s="982"/>
      <c r="CL73" s="470"/>
      <c r="CM73" s="982"/>
      <c r="CN73" s="982"/>
      <c r="CO73" s="982"/>
      <c r="CP73" s="982"/>
      <c r="CQ73" s="982"/>
      <c r="CR73" s="982"/>
      <c r="CS73" s="982"/>
      <c r="CT73" s="982"/>
      <c r="CU73" s="982"/>
      <c r="CV73" s="982"/>
      <c r="CW73" s="982"/>
      <c r="CX73" s="982"/>
      <c r="CY73" s="470"/>
      <c r="DK73" s="982"/>
      <c r="DL73" s="982"/>
      <c r="DM73" s="982"/>
      <c r="DN73" s="982"/>
      <c r="DO73" s="982"/>
      <c r="DP73" s="982"/>
      <c r="DQ73" s="982"/>
      <c r="DR73" s="982"/>
      <c r="DS73" s="982"/>
      <c r="DT73" s="2371"/>
    </row>
    <row r="74" spans="1:124" s="1168" customFormat="1" ht="42" customHeight="1" x14ac:dyDescent="0.15">
      <c r="A74" s="2140"/>
      <c r="B74" s="2140"/>
      <c r="C74" s="1321" t="s">
        <v>224</v>
      </c>
      <c r="D74" s="1032" t="s">
        <v>86</v>
      </c>
      <c r="E74" s="1322" t="s">
        <v>225</v>
      </c>
      <c r="F74" s="1034" t="s">
        <v>86</v>
      </c>
      <c r="G74" s="1322" t="s">
        <v>225</v>
      </c>
      <c r="H74" s="1034" t="s">
        <v>86</v>
      </c>
      <c r="I74" s="1322" t="s">
        <v>225</v>
      </c>
      <c r="J74" s="1034" t="s">
        <v>86</v>
      </c>
      <c r="K74" s="1322" t="s">
        <v>225</v>
      </c>
      <c r="L74" s="1034" t="s">
        <v>86</v>
      </c>
      <c r="M74" s="1322" t="s">
        <v>225</v>
      </c>
      <c r="N74" s="1034" t="s">
        <v>86</v>
      </c>
      <c r="O74" s="1322" t="s">
        <v>225</v>
      </c>
      <c r="P74" s="1034" t="s">
        <v>86</v>
      </c>
      <c r="Q74" s="1322" t="s">
        <v>225</v>
      </c>
      <c r="R74" s="1034" t="s">
        <v>86</v>
      </c>
      <c r="S74" s="1322" t="s">
        <v>225</v>
      </c>
      <c r="T74" s="1034" t="s">
        <v>86</v>
      </c>
      <c r="U74" s="1322" t="s">
        <v>225</v>
      </c>
      <c r="V74" s="1034" t="s">
        <v>86</v>
      </c>
      <c r="W74" s="1322" t="s">
        <v>225</v>
      </c>
      <c r="X74" s="1034" t="s">
        <v>86</v>
      </c>
      <c r="Y74" s="1322" t="s">
        <v>225</v>
      </c>
      <c r="Z74" s="1034" t="s">
        <v>86</v>
      </c>
      <c r="AA74" s="1322" t="s">
        <v>225</v>
      </c>
      <c r="AB74" s="1034" t="s">
        <v>86</v>
      </c>
      <c r="AC74" s="1322" t="s">
        <v>225</v>
      </c>
      <c r="AD74" s="1034" t="s">
        <v>86</v>
      </c>
      <c r="AE74" s="1322" t="s">
        <v>225</v>
      </c>
      <c r="AF74" s="1323" t="s">
        <v>400</v>
      </c>
      <c r="AG74" s="1324" t="s">
        <v>225</v>
      </c>
      <c r="AH74" s="1323" t="s">
        <v>400</v>
      </c>
      <c r="AI74" s="1324" t="s">
        <v>225</v>
      </c>
      <c r="AJ74" s="1323" t="s">
        <v>400</v>
      </c>
      <c r="AK74" s="1324" t="s">
        <v>225</v>
      </c>
      <c r="AL74" s="1325" t="s">
        <v>86</v>
      </c>
      <c r="AM74" s="1326" t="s">
        <v>225</v>
      </c>
      <c r="AN74" s="2377"/>
      <c r="AO74" s="2367"/>
      <c r="AP74" s="1327" t="s">
        <v>86</v>
      </c>
      <c r="AQ74" s="1314" t="s">
        <v>225</v>
      </c>
      <c r="AR74" s="1316" t="s">
        <v>86</v>
      </c>
      <c r="AS74" s="1314" t="s">
        <v>225</v>
      </c>
      <c r="AT74" s="2368"/>
      <c r="AU74" s="2368"/>
      <c r="AV74" s="2362"/>
      <c r="AW74" s="1239" t="s">
        <v>615</v>
      </c>
      <c r="AX74" s="1239" t="s">
        <v>616</v>
      </c>
      <c r="AY74" s="787"/>
      <c r="AZ74" s="470"/>
      <c r="BA74" s="787"/>
      <c r="BB74" s="787"/>
      <c r="CA74" s="982"/>
      <c r="CB74" s="982"/>
      <c r="CC74" s="487"/>
      <c r="CD74" s="487"/>
      <c r="CE74" s="487"/>
      <c r="CF74" s="487"/>
      <c r="CG74" s="982"/>
      <c r="CH74" s="982"/>
      <c r="CI74" s="1320"/>
      <c r="CJ74" s="487"/>
      <c r="CK74" s="487"/>
      <c r="CL74" s="470"/>
      <c r="CM74" s="487"/>
      <c r="CN74" s="982"/>
      <c r="CO74" s="982"/>
      <c r="CP74" s="487"/>
      <c r="CQ74" s="487"/>
      <c r="CR74" s="487"/>
      <c r="CS74" s="487"/>
      <c r="CT74" s="982"/>
      <c r="CU74" s="982"/>
      <c r="CV74" s="982"/>
      <c r="CW74" s="487"/>
      <c r="CX74" s="487"/>
      <c r="CY74" s="470"/>
      <c r="DK74" s="487"/>
      <c r="DL74" s="487"/>
      <c r="DM74" s="487"/>
      <c r="DN74" s="487"/>
      <c r="DO74" s="487"/>
      <c r="DP74" s="487"/>
      <c r="DQ74" s="487"/>
      <c r="DR74" s="982"/>
      <c r="DS74" s="982"/>
      <c r="DT74" s="2371"/>
    </row>
    <row r="75" spans="1:124" s="1168" customFormat="1" ht="15" customHeight="1" x14ac:dyDescent="0.25">
      <c r="A75" s="2297" t="s">
        <v>676</v>
      </c>
      <c r="B75" s="2298"/>
      <c r="C75" s="1240">
        <f>SUM(D75:E75)</f>
        <v>0</v>
      </c>
      <c r="D75" s="1241">
        <f>+F75+H75+J75+L75+N75+P75+R75+T75+V75+X75+Z75+AB75+AD75+AF75+AH75+AJ75+AL75</f>
        <v>0</v>
      </c>
      <c r="E75" s="1242">
        <f>+G75+I75+K75+M75+O75+Q75+S75+U75+W75+Y75+AA75+AC75+AE75+AG75+AI75+AK75+AM75</f>
        <v>0</v>
      </c>
      <c r="F75" s="1602"/>
      <c r="G75" s="1603"/>
      <c r="H75" s="1602"/>
      <c r="I75" s="1604"/>
      <c r="J75" s="1602"/>
      <c r="K75" s="1603"/>
      <c r="L75" s="1602"/>
      <c r="M75" s="1604"/>
      <c r="N75" s="1602"/>
      <c r="O75" s="1603"/>
      <c r="P75" s="1602"/>
      <c r="Q75" s="1604"/>
      <c r="R75" s="1602"/>
      <c r="S75" s="1603"/>
      <c r="T75" s="1602"/>
      <c r="U75" s="1604"/>
      <c r="V75" s="1602"/>
      <c r="W75" s="1603"/>
      <c r="X75" s="1602"/>
      <c r="Y75" s="1604"/>
      <c r="Z75" s="1602"/>
      <c r="AA75" s="1603"/>
      <c r="AB75" s="1602"/>
      <c r="AC75" s="1604"/>
      <c r="AD75" s="1602"/>
      <c r="AE75" s="1603"/>
      <c r="AF75" s="1602"/>
      <c r="AG75" s="1604"/>
      <c r="AH75" s="1602"/>
      <c r="AI75" s="1603"/>
      <c r="AJ75" s="1602"/>
      <c r="AK75" s="1604"/>
      <c r="AL75" s="1602"/>
      <c r="AM75" s="1603"/>
      <c r="AN75" s="1683"/>
      <c r="AO75" s="1607"/>
      <c r="AP75" s="1686"/>
      <c r="AQ75" s="1604"/>
      <c r="AR75" s="1605"/>
      <c r="AS75" s="1604"/>
      <c r="AT75" s="1604"/>
      <c r="AU75" s="1604"/>
      <c r="AV75" s="1604"/>
      <c r="AW75" s="1604"/>
      <c r="AX75" s="1604"/>
      <c r="AY75" s="1116" t="str">
        <f>$CA75&amp;CB75&amp;CC75&amp;CD75&amp;CE75&amp;CF75&amp;CG75&amp;CH75&amp;CI75&amp;CJ75&amp;CK75</f>
        <v/>
      </c>
      <c r="AZ75" s="787"/>
      <c r="BA75" s="787"/>
      <c r="BB75" s="787"/>
      <c r="CA75" s="620" t="str">
        <f>IF(AND(E75&gt;0,OR(AN75=""))," * No olvide digitar la variable Gestantes. Digite Cero si no tiene.",IF(AN75&gt;E75," * La variable Gestantes no puede ser Mayor al Total Mujeres.",""))</f>
        <v/>
      </c>
      <c r="CB75" s="620" t="str">
        <f>IF(AND(E75&gt;0,OR(AO75=""))," * No olvide digitar la variable Madre de hijo menor de 5 años. Digite Cero si no tiene.",IF(AO75&gt;E75," * La variable Madre de hijo menor de 5 años no puede ser Mayor al Total Mujeres.",""))</f>
        <v/>
      </c>
      <c r="CC75" s="620" t="str">
        <f>IF(AND(D75&gt;0,OR(AP75=""))," * No olvide digitar la variable Pueblos Originarios Hombres. Digite Cero si no tiene.",IF(AP75&gt;D75," * La variable Pueblos Originarios Hombres no puede ser Mayor al Total Hombres.",""))</f>
        <v/>
      </c>
      <c r="CD75" s="620" t="str">
        <f>IF(AND(E75&gt;0,OR(AQ75=""))," * No olvide digitar la variable Pueblos Originarios Mujeres. Digite Cero si no tiene.",IF(AQ75&gt;E75," * La variable Pueblos Originarios Mujeres no puede ser Mayor al Total Mujeres.",""))</f>
        <v/>
      </c>
      <c r="CE75" s="620" t="str">
        <f>IF(AND($D75&gt;0,OR(AR75=""))," * No olvide digitar la variable Migrantes Hombres. Digite Cero si no tiene.",IF(AR75&gt;$D75," * La variable Migrantes Hombres no puede ser Mayor al Total Hombres.",""))</f>
        <v/>
      </c>
      <c r="CF75" s="620" t="str">
        <f>IF(AND($E75&gt;0,OR(AS75=""))," * No olvide digitar la variable Migrantes Mujeres. Digite Cero si no tiene.",IF(AS75&gt;$E75," * La variable Migrantes Mujeres no puede ser Mayor al Total Mujeres.",""))</f>
        <v/>
      </c>
      <c r="CG75" s="620" t="str">
        <f>IF(AND($C75&gt;0,OR(AT75=""))," * No olvide digitar la variable"&amp;AT$72&amp;" . Digite Cero si no tiene.",IF(AT75&gt;$C75," * La variable "&amp;AT$72&amp;" no puede ser Mayor al Total ambos sexos.",""))</f>
        <v/>
      </c>
      <c r="CH75" s="620" t="str">
        <f>IF(AND($C75&gt;0,OR(AU75=""))," * No olvide digitar la variable "&amp;AU$72&amp;". Digite Cero si no tiene.",IF(AU75&gt;$C75," * La variable "&amp;AU$72&amp;" no puede ser Mayor al Total ambos sexos.",""))</f>
        <v/>
      </c>
      <c r="CI75" s="620" t="str">
        <f>IF(AND(C75&gt;0,OR(AV75=""))," * No olvide digitar la variable Plan Cuidado Integral Elaborado. Digite Cero si no tiene.",IF($AV75&gt;$C75,"* La variable Plan Cuidado Integral Elaborado debe ser menor o igual al Total de Personas en control. ",""))</f>
        <v/>
      </c>
      <c r="CJ75" s="620" t="str">
        <f>IF(AND(E75&gt;0,OR(AW75=""))," * No olvide digitar la variable Trans Masculino. (Digite Cero si no tiene).",IF(AW75&gt;E75," * La variable Trans Masculino no debe ser mayor al Total Mujeres.",""))</f>
        <v/>
      </c>
      <c r="CK75" s="620" t="str">
        <f>IF(AND(D75&gt;0,OR(AX75=""))," * No olvide digitar la variable Trans Femenino. (Digite Cero si no tiene).",IF(AX75&gt;D75," * La variable Trans Femenino no debe ser mayor al Total Hombre.",""))</f>
        <v/>
      </c>
      <c r="CL75" s="470"/>
      <c r="CM75" s="470"/>
      <c r="CN75" s="501">
        <f>IF(AND($E75&gt;0,OR(AN75="")),1,IF(AN75&gt;$E75,1,0))</f>
        <v>0</v>
      </c>
      <c r="CO75" s="501">
        <f>IF(AND($E75&gt;0,OR(AO75="")),1,IF(AO75&gt;$E75,1,0))</f>
        <v>0</v>
      </c>
      <c r="CP75" s="501">
        <f>IF(AND($D75&gt;0,OR(AP75="")),1,IF(AP75&gt;$D75,1,0))</f>
        <v>0</v>
      </c>
      <c r="CQ75" s="501">
        <f>IF(AND($E75&gt;0,OR(AQ75="")),1,IF(AQ75&gt;$E75,1,0))</f>
        <v>0</v>
      </c>
      <c r="CR75" s="501">
        <f>IF(AND($D75&gt;0,OR(AR75="")),1,IF(AR75&gt;$D75,1,0))</f>
        <v>0</v>
      </c>
      <c r="CS75" s="501">
        <f>IF(AND($E75&gt;0,OR(AS75="")),1,IF(AS75&gt;$E75,1,0))</f>
        <v>0</v>
      </c>
      <c r="CT75" s="501">
        <f>IF(AND($C75&gt;0,OR(AT75="")),1,IF(AT75&gt;$C75,1,0))</f>
        <v>0</v>
      </c>
      <c r="CU75" s="501">
        <f>IF(AND($C75&gt;0,OR(AU75="")),1,IF(AU75&gt;$C75,1,0))</f>
        <v>0</v>
      </c>
      <c r="CV75" s="501">
        <f>IF(AND($C75&gt;0,OR(AV75="")),1,IF(AV75&gt;$C75,1,0))</f>
        <v>0</v>
      </c>
      <c r="CW75" s="501">
        <f>IF(AND(E75&gt;0,OR(AW75="")),1,IF(AW75&gt;$E75,1,0))</f>
        <v>0</v>
      </c>
      <c r="CX75" s="501">
        <f>IF(AND(D75&gt;0,OR(AX75="")),1,IF(AX75&gt;$D75,1,0))</f>
        <v>0</v>
      </c>
      <c r="CY75" s="470"/>
      <c r="DK75" s="470"/>
      <c r="DL75" s="470"/>
      <c r="DM75" s="470"/>
      <c r="DN75" s="470"/>
      <c r="DO75" s="470"/>
      <c r="DP75" s="470"/>
      <c r="DQ75" s="470"/>
      <c r="DR75" s="470"/>
      <c r="DS75" s="470"/>
      <c r="DT75" s="470"/>
    </row>
    <row r="76" spans="1:124" s="1168" customFormat="1" ht="15" customHeight="1" x14ac:dyDescent="0.25">
      <c r="A76" s="2297" t="s">
        <v>619</v>
      </c>
      <c r="B76" s="2298"/>
      <c r="C76" s="1288"/>
      <c r="D76" s="1328"/>
      <c r="E76" s="1329"/>
      <c r="F76" s="1113"/>
      <c r="G76" s="1114"/>
      <c r="H76" s="1113"/>
      <c r="I76" s="1114"/>
      <c r="J76" s="1113"/>
      <c r="K76" s="1114"/>
      <c r="L76" s="1113"/>
      <c r="M76" s="1114"/>
      <c r="N76" s="1113"/>
      <c r="O76" s="1114"/>
      <c r="P76" s="1113"/>
      <c r="Q76" s="1114"/>
      <c r="R76" s="1113"/>
      <c r="S76" s="1114"/>
      <c r="T76" s="1113"/>
      <c r="U76" s="1114"/>
      <c r="V76" s="1113"/>
      <c r="W76" s="1114"/>
      <c r="X76" s="1113"/>
      <c r="Y76" s="1114"/>
      <c r="Z76" s="1113"/>
      <c r="AA76" s="1114"/>
      <c r="AB76" s="1113"/>
      <c r="AC76" s="1114"/>
      <c r="AD76" s="1113"/>
      <c r="AE76" s="1114"/>
      <c r="AF76" s="1113"/>
      <c r="AG76" s="1114"/>
      <c r="AH76" s="1113"/>
      <c r="AI76" s="1114"/>
      <c r="AJ76" s="1113"/>
      <c r="AK76" s="1114"/>
      <c r="AL76" s="1113"/>
      <c r="AM76" s="1329"/>
      <c r="AN76" s="1330"/>
      <c r="AO76" s="1288"/>
      <c r="AP76" s="1113"/>
      <c r="AQ76" s="1198"/>
      <c r="AR76" s="1328"/>
      <c r="AS76" s="1114"/>
      <c r="AT76" s="1114"/>
      <c r="AU76" s="1114"/>
      <c r="AV76" s="1114"/>
      <c r="AW76" s="1114"/>
      <c r="AX76" s="1114"/>
      <c r="AY76" s="1116"/>
      <c r="AZ76" s="787"/>
      <c r="BA76" s="787"/>
      <c r="BB76" s="787"/>
      <c r="CA76" s="502"/>
      <c r="CB76" s="502"/>
      <c r="CC76" s="502"/>
      <c r="CD76" s="502"/>
      <c r="CE76" s="502"/>
      <c r="CF76" s="502"/>
      <c r="CG76" s="502"/>
      <c r="CH76" s="1246"/>
      <c r="CI76" s="1246"/>
      <c r="CJ76" s="502"/>
      <c r="CK76" s="502"/>
      <c r="CL76" s="470"/>
      <c r="CM76" s="470"/>
      <c r="CN76" s="502"/>
      <c r="CO76" s="502"/>
      <c r="CP76" s="502"/>
      <c r="CQ76" s="502"/>
      <c r="CR76" s="502"/>
      <c r="CS76" s="502"/>
      <c r="CT76" s="502"/>
      <c r="CU76" s="502"/>
      <c r="CV76" s="502"/>
      <c r="CW76" s="502"/>
      <c r="CX76" s="502"/>
      <c r="CY76" s="470"/>
      <c r="DK76" s="470"/>
      <c r="DL76" s="470"/>
      <c r="DM76" s="470"/>
      <c r="DN76" s="470"/>
      <c r="DO76" s="470"/>
      <c r="DP76" s="470"/>
      <c r="DQ76" s="470"/>
    </row>
    <row r="77" spans="1:124" s="1168" customFormat="1" ht="15" customHeight="1" x14ac:dyDescent="0.25">
      <c r="A77" s="2291" t="s">
        <v>677</v>
      </c>
      <c r="B77" s="1331" t="s">
        <v>621</v>
      </c>
      <c r="C77" s="1110">
        <f t="shared" ref="C77:C80" si="107">SUM(D77:E77)</f>
        <v>0</v>
      </c>
      <c r="D77" s="1111">
        <f t="shared" ref="D77:D80" si="108">+F77+H77+J77+L77+N77+P77+R77+T77+V77+X77+Z77+AB77+AD77+AF77+AH77+AJ77+AL77</f>
        <v>0</v>
      </c>
      <c r="E77" s="1262">
        <f t="shared" ref="E77:E80" si="109">+G77+I77+K77+M77+O77+Q77+S77+U77+W77+Y77+AA77+AC77+AE77+AG77+AI77+AK77+AM77</f>
        <v>0</v>
      </c>
      <c r="F77" s="1609"/>
      <c r="G77" s="1610"/>
      <c r="H77" s="1609"/>
      <c r="I77" s="1610"/>
      <c r="J77" s="1609"/>
      <c r="K77" s="1610"/>
      <c r="L77" s="1609"/>
      <c r="M77" s="1610"/>
      <c r="N77" s="1609"/>
      <c r="O77" s="1610"/>
      <c r="P77" s="1609"/>
      <c r="Q77" s="1610"/>
      <c r="R77" s="1609"/>
      <c r="S77" s="1610"/>
      <c r="T77" s="1609"/>
      <c r="U77" s="1610"/>
      <c r="V77" s="1609"/>
      <c r="W77" s="1610"/>
      <c r="X77" s="1609"/>
      <c r="Y77" s="1610"/>
      <c r="Z77" s="1609"/>
      <c r="AA77" s="1610"/>
      <c r="AB77" s="1609"/>
      <c r="AC77" s="1610"/>
      <c r="AD77" s="1609"/>
      <c r="AE77" s="1610"/>
      <c r="AF77" s="1609"/>
      <c r="AG77" s="1610"/>
      <c r="AH77" s="1609"/>
      <c r="AI77" s="1610"/>
      <c r="AJ77" s="1609"/>
      <c r="AK77" s="1610"/>
      <c r="AL77" s="1609"/>
      <c r="AM77" s="1678"/>
      <c r="AN77" s="1679"/>
      <c r="AO77" s="1613"/>
      <c r="AP77" s="1609"/>
      <c r="AQ77" s="1615"/>
      <c r="AR77" s="1614"/>
      <c r="AS77" s="1610"/>
      <c r="AT77" s="1610"/>
      <c r="AU77" s="1610"/>
      <c r="AV77" s="1610"/>
      <c r="AW77" s="1610"/>
      <c r="AX77" s="1610"/>
      <c r="AY77" s="1116" t="str">
        <f t="shared" ref="AY77:AY120" si="110">$CA77&amp;CB77&amp;CC77&amp;CD77&amp;CE77&amp;CF77&amp;CG77&amp;CH77&amp;CI77&amp;CJ77&amp;CK77</f>
        <v/>
      </c>
      <c r="AZ77" s="787"/>
      <c r="BA77" s="787"/>
      <c r="BB77" s="787"/>
      <c r="CA77" s="620" t="str">
        <f t="shared" ref="CA77:CA89" si="111">IF(AND(E77&gt;0,OR(AN77=""))," * No olvide digitar la variable Gestantes. Digite Cero si no tiene.",IF(AN77&gt;E77," * La variable Gestantes no puede ser Mayor al Total Mujeres.",""))</f>
        <v/>
      </c>
      <c r="CB77" s="620" t="str">
        <f t="shared" ref="CB77:CB96" si="112">IF(AND(E77&gt;0,OR(AO77=""))," * No olvide digitar la variable Madre de hijo menor de 5 años. Digite Cero si no tiene.",IF(AO77&gt;E77," * La variable Madre de hijo menor de 5 años no puede ser Mayor al Total Mujeres.",""))</f>
        <v/>
      </c>
      <c r="CC77" s="620" t="str">
        <f t="shared" ref="CC77:CC89" si="113">IF(AND(D77&gt;0,OR(AP77=""))," * No olvide digitar la variable Pueblos Originarios Hombres. Digite Cero si no tiene.",IF(AP77&gt;D77," * La variable Pueblos Originarios Hombres no puede ser Mayor al Total Hombres.",""))</f>
        <v/>
      </c>
      <c r="CD77" s="620" t="str">
        <f t="shared" ref="CD77:CD88" si="114">IF(AND(E77&gt;0,OR(AQ77=""))," * No olvide digitar la variable Pueblos Originarios Mujeres. Digite Cero si no tiene.",IF(AQ77&gt;E77," * La variable Pueblos Originarios Mujeres no puede ser Mayor al Total Mujeres.",""))</f>
        <v/>
      </c>
      <c r="CE77" s="620" t="str">
        <f t="shared" ref="CE77:CE89" si="115">IF(AND($D77&gt;0,OR(AR77=""))," * No olvide digitar la variable Migrantes Hombres. Digite Cero si no tiene.",IF(AR77&gt;$D77," * La variable Migrantes Hombres no puede ser Mayor al Total Hombres.",""))</f>
        <v/>
      </c>
      <c r="CF77" s="620" t="str">
        <f t="shared" ref="CF77:CF89" si="116">IF(AND($E77&gt;0,OR(AS77=""))," * No olvide digitar la variable Migrantes Mujeres. Digite Cero si no tiene.",IF(AS77&gt;$E77," * La variable Migrantes Mujeres no puede ser Mayor al Total Mujeres.",""))</f>
        <v/>
      </c>
      <c r="CG77" s="620" t="str">
        <f t="shared" ref="CG77:CG120" si="117">IF(AND($C77&gt;0,OR(AT77=""))," * No olvide digitar la variable"&amp;AT$72&amp;" . Digite Cero si no tiene.",IF(AT77&gt;$C77," * La variable "&amp;AT$72&amp;" no puede ser Mayor al Total ambos sexos.",""))</f>
        <v/>
      </c>
      <c r="CH77" s="620" t="str">
        <f t="shared" ref="CH77:CH120" si="118">IF(AND($C77&gt;0,OR(AU77=""))," * No olvide digitar la variable "&amp;AU$72&amp;". Digite Cero si no tiene.",IF(AU77&gt;$C77," * La variable "&amp;AU$72&amp;" no puede ser Mayor al Total ambos sexos.",""))</f>
        <v/>
      </c>
      <c r="CI77" s="620" t="str">
        <f t="shared" ref="CI77:CI89" si="119">IF(AND(C77&gt;0,OR(AV77=""))," * No olvide digitar la variable Plan Cuidado Integral Elaborado. Digite Cero si no tiene.",IF($AV77&gt;$C77,"* La variable Plan Cuidado Integral Elaborado debe ser menor o igual al Total de Personas en control. ",""))</f>
        <v/>
      </c>
      <c r="CJ77" s="620" t="str">
        <f>IF(AND(E77&gt;0,OR(AW77=""))," * No olvide digitar la variable Trans Masculino. (Digite Cero si no tiene).",IF(AW77&gt;E77," * La variable Trans Masculino no debe ser mayor al Total Mujeres.",""))</f>
        <v/>
      </c>
      <c r="CK77" s="620" t="str">
        <f t="shared" ref="CK77:CK89" si="120">IF(AND(D77&gt;0,OR(AX77=""))," * No olvide digitar la variable Trans Femenino. (Digite Cero si no tiene).",IF(AX77&gt;D77," * La variable Trans Femenino no debe ser mayor al Total Hombre.",""))</f>
        <v/>
      </c>
      <c r="CL77" s="470"/>
      <c r="CM77" s="470"/>
      <c r="CN77" s="501">
        <f t="shared" ref="CN77:CN89" si="121">IF(AND($E77&gt;0,OR(AN77="")),1,IF(AN77&gt;$E77,1,0))</f>
        <v>0</v>
      </c>
      <c r="CO77" s="501">
        <f t="shared" ref="CO77:CO96" si="122">IF(AND($E77&gt;0,OR(AO77="")),1,IF(AO77&gt;$E77,1,0))</f>
        <v>0</v>
      </c>
      <c r="CP77" s="501">
        <f t="shared" ref="CP77:CP89" si="123">IF(AND($D77&gt;0,OR(AP77="")),1,IF(AP77&gt;$D77,1,0))</f>
        <v>0</v>
      </c>
      <c r="CQ77" s="501">
        <f t="shared" ref="CQ77:CQ96" si="124">IF(AND($E77&gt;0,OR(AQ77="")),1,IF(AQ77&gt;$E77,1,0))</f>
        <v>0</v>
      </c>
      <c r="CR77" s="501">
        <f t="shared" ref="CR77:CR89" si="125">IF(AND($D77&gt;0,OR(AR77="")),1,IF(AR77&gt;$D77,1,0))</f>
        <v>0</v>
      </c>
      <c r="CS77" s="501">
        <f t="shared" ref="CS77:CS96" si="126">IF(AND($E77&gt;0,OR(AS77="")),1,IF(AS77&gt;$E77,1,0))</f>
        <v>0</v>
      </c>
      <c r="CT77" s="501">
        <f t="shared" ref="CT77:CT96" si="127">IF(AND($C77&gt;0,OR(AT77="")),1,IF(AT77&gt;$C77,1,0))</f>
        <v>0</v>
      </c>
      <c r="CU77" s="501">
        <f t="shared" ref="CU77:CU96" si="128">IF(AND($C77&gt;0,OR(AU77="")),1,IF(AU77&gt;$C77,1,0))</f>
        <v>0</v>
      </c>
      <c r="CV77" s="501">
        <f t="shared" ref="CV77:CV96" si="129">IF(AND($C77&gt;0,OR(AV77="")),1,IF(AV77&gt;$C77,1,0))</f>
        <v>0</v>
      </c>
      <c r="CW77" s="501">
        <f t="shared" ref="CW77:CW120" si="130">IF(AND(E77&gt;0,OR(AW77="")),1,IF(AW77&gt;$E77,1,0))</f>
        <v>0</v>
      </c>
      <c r="CX77" s="501">
        <f t="shared" ref="CX77:CX89" si="131">IF(AND(D77&gt;0,OR(AX77="")),1,IF(AX77&gt;$D77,1,0))</f>
        <v>0</v>
      </c>
      <c r="CY77" s="470"/>
      <c r="DK77" s="470"/>
      <c r="DL77" s="470"/>
      <c r="DM77" s="470"/>
      <c r="DN77" s="470"/>
      <c r="DO77" s="470"/>
      <c r="DP77" s="470"/>
      <c r="DQ77" s="470"/>
    </row>
    <row r="78" spans="1:124" s="1168" customFormat="1" ht="15" customHeight="1" x14ac:dyDescent="0.25">
      <c r="A78" s="2292"/>
      <c r="B78" s="1332" t="s">
        <v>622</v>
      </c>
      <c r="C78" s="1117">
        <f t="shared" si="107"/>
        <v>0</v>
      </c>
      <c r="D78" s="1136">
        <f t="shared" si="108"/>
        <v>0</v>
      </c>
      <c r="E78" s="1248">
        <f>+G78+I78+K78+M78+O78+Q78+S78+U78+W78+Y78+AA78+AC78+AE78+AG78+AI78+AK78+AM78</f>
        <v>0</v>
      </c>
      <c r="F78" s="1616"/>
      <c r="G78" s="1617"/>
      <c r="H78" s="1616"/>
      <c r="I78" s="1617"/>
      <c r="J78" s="1616"/>
      <c r="K78" s="1617"/>
      <c r="L78" s="1616"/>
      <c r="M78" s="1617"/>
      <c r="N78" s="1616"/>
      <c r="O78" s="1617"/>
      <c r="P78" s="1616"/>
      <c r="Q78" s="1617"/>
      <c r="R78" s="1616"/>
      <c r="S78" s="1617"/>
      <c r="T78" s="1616"/>
      <c r="U78" s="1617"/>
      <c r="V78" s="1616"/>
      <c r="W78" s="1617"/>
      <c r="X78" s="1616"/>
      <c r="Y78" s="1617"/>
      <c r="Z78" s="1616"/>
      <c r="AA78" s="1617"/>
      <c r="AB78" s="1616"/>
      <c r="AC78" s="1617"/>
      <c r="AD78" s="1616"/>
      <c r="AE78" s="1617"/>
      <c r="AF78" s="1616"/>
      <c r="AG78" s="1617"/>
      <c r="AH78" s="1616"/>
      <c r="AI78" s="1617"/>
      <c r="AJ78" s="1616"/>
      <c r="AK78" s="1617"/>
      <c r="AL78" s="1616"/>
      <c r="AM78" s="1684"/>
      <c r="AN78" s="1671"/>
      <c r="AO78" s="1620"/>
      <c r="AP78" s="1616"/>
      <c r="AQ78" s="1622"/>
      <c r="AR78" s="1621"/>
      <c r="AS78" s="1617"/>
      <c r="AT78" s="1617"/>
      <c r="AU78" s="1617"/>
      <c r="AV78" s="1617"/>
      <c r="AW78" s="1617"/>
      <c r="AX78" s="1617"/>
      <c r="AY78" s="1116" t="str">
        <f t="shared" si="110"/>
        <v/>
      </c>
      <c r="AZ78" s="787"/>
      <c r="BA78" s="787"/>
      <c r="BB78" s="787"/>
      <c r="CA78" s="620" t="str">
        <f t="shared" si="111"/>
        <v/>
      </c>
      <c r="CB78" s="620" t="str">
        <f t="shared" si="112"/>
        <v/>
      </c>
      <c r="CC78" s="620" t="str">
        <f t="shared" si="113"/>
        <v/>
      </c>
      <c r="CD78" s="620" t="str">
        <f t="shared" si="114"/>
        <v/>
      </c>
      <c r="CE78" s="620" t="str">
        <f t="shared" si="115"/>
        <v/>
      </c>
      <c r="CF78" s="620" t="str">
        <f t="shared" si="116"/>
        <v/>
      </c>
      <c r="CG78" s="620" t="str">
        <f t="shared" si="117"/>
        <v/>
      </c>
      <c r="CH78" s="620" t="str">
        <f t="shared" si="118"/>
        <v/>
      </c>
      <c r="CI78" s="620" t="str">
        <f t="shared" si="119"/>
        <v/>
      </c>
      <c r="CJ78" s="620" t="str">
        <f t="shared" ref="CJ78:CJ120" si="132">IF(AND(E78&gt;0,OR(AW78=""))," * No olvide digitar la variable Trans Masculino. (Digite Cero si no tiene).",IF(AW78&gt;E78," * La variable Trans Masculino no debe ser mayor al Total Mujeres.",""))</f>
        <v/>
      </c>
      <c r="CK78" s="620" t="str">
        <f t="shared" si="120"/>
        <v/>
      </c>
      <c r="CL78" s="470"/>
      <c r="CM78" s="470"/>
      <c r="CN78" s="501">
        <f t="shared" si="121"/>
        <v>0</v>
      </c>
      <c r="CO78" s="501">
        <f t="shared" si="122"/>
        <v>0</v>
      </c>
      <c r="CP78" s="501">
        <f t="shared" si="123"/>
        <v>0</v>
      </c>
      <c r="CQ78" s="501">
        <f t="shared" si="124"/>
        <v>0</v>
      </c>
      <c r="CR78" s="501">
        <f t="shared" si="125"/>
        <v>0</v>
      </c>
      <c r="CS78" s="501">
        <f t="shared" si="126"/>
        <v>0</v>
      </c>
      <c r="CT78" s="501">
        <f t="shared" si="127"/>
        <v>0</v>
      </c>
      <c r="CU78" s="501">
        <f t="shared" si="128"/>
        <v>0</v>
      </c>
      <c r="CV78" s="501">
        <f t="shared" si="129"/>
        <v>0</v>
      </c>
      <c r="CW78" s="501">
        <f t="shared" si="130"/>
        <v>0</v>
      </c>
      <c r="CX78" s="501">
        <f t="shared" si="131"/>
        <v>0</v>
      </c>
      <c r="CY78" s="470"/>
      <c r="DK78" s="470"/>
      <c r="DL78" s="470"/>
      <c r="DM78" s="470"/>
      <c r="DN78" s="470"/>
      <c r="DO78" s="470"/>
      <c r="DP78" s="470"/>
      <c r="DQ78" s="470"/>
    </row>
    <row r="79" spans="1:124" s="1168" customFormat="1" ht="15" customHeight="1" x14ac:dyDescent="0.25">
      <c r="A79" s="2291" t="s">
        <v>623</v>
      </c>
      <c r="B79" s="1331" t="s">
        <v>621</v>
      </c>
      <c r="C79" s="1110">
        <f t="shared" si="107"/>
        <v>0</v>
      </c>
      <c r="D79" s="1111">
        <f t="shared" si="108"/>
        <v>0</v>
      </c>
      <c r="E79" s="1262">
        <f t="shared" si="109"/>
        <v>0</v>
      </c>
      <c r="F79" s="1609"/>
      <c r="G79" s="1610"/>
      <c r="H79" s="1609"/>
      <c r="I79" s="1610"/>
      <c r="J79" s="1609"/>
      <c r="K79" s="1610"/>
      <c r="L79" s="1609"/>
      <c r="M79" s="1610"/>
      <c r="N79" s="1609"/>
      <c r="O79" s="1610"/>
      <c r="P79" s="1609"/>
      <c r="Q79" s="1610"/>
      <c r="R79" s="1609"/>
      <c r="S79" s="1610"/>
      <c r="T79" s="1609"/>
      <c r="U79" s="1610"/>
      <c r="V79" s="1609"/>
      <c r="W79" s="1610"/>
      <c r="X79" s="1609"/>
      <c r="Y79" s="1610"/>
      <c r="Z79" s="1609"/>
      <c r="AA79" s="1610"/>
      <c r="AB79" s="1609"/>
      <c r="AC79" s="1610"/>
      <c r="AD79" s="1609"/>
      <c r="AE79" s="1610"/>
      <c r="AF79" s="1609"/>
      <c r="AG79" s="1610"/>
      <c r="AH79" s="1609"/>
      <c r="AI79" s="1610"/>
      <c r="AJ79" s="1609"/>
      <c r="AK79" s="1610"/>
      <c r="AL79" s="1609"/>
      <c r="AM79" s="1678"/>
      <c r="AN79" s="1679"/>
      <c r="AO79" s="1613"/>
      <c r="AP79" s="1609"/>
      <c r="AQ79" s="1615"/>
      <c r="AR79" s="1614"/>
      <c r="AS79" s="1610"/>
      <c r="AT79" s="1610"/>
      <c r="AU79" s="1610"/>
      <c r="AV79" s="1610"/>
      <c r="AW79" s="1610"/>
      <c r="AX79" s="1610"/>
      <c r="AY79" s="1116" t="str">
        <f t="shared" si="110"/>
        <v/>
      </c>
      <c r="AZ79" s="787"/>
      <c r="BA79" s="787"/>
      <c r="BB79" s="787"/>
      <c r="CA79" s="620" t="str">
        <f t="shared" si="111"/>
        <v/>
      </c>
      <c r="CB79" s="620" t="str">
        <f t="shared" si="112"/>
        <v/>
      </c>
      <c r="CC79" s="620" t="str">
        <f t="shared" si="113"/>
        <v/>
      </c>
      <c r="CD79" s="620" t="str">
        <f t="shared" si="114"/>
        <v/>
      </c>
      <c r="CE79" s="620" t="str">
        <f t="shared" si="115"/>
        <v/>
      </c>
      <c r="CF79" s="620" t="str">
        <f t="shared" si="116"/>
        <v/>
      </c>
      <c r="CG79" s="620" t="str">
        <f t="shared" si="117"/>
        <v/>
      </c>
      <c r="CH79" s="620" t="str">
        <f t="shared" si="118"/>
        <v/>
      </c>
      <c r="CI79" s="620" t="str">
        <f t="shared" si="119"/>
        <v/>
      </c>
      <c r="CJ79" s="620" t="str">
        <f t="shared" si="132"/>
        <v/>
      </c>
      <c r="CK79" s="620" t="str">
        <f t="shared" si="120"/>
        <v/>
      </c>
      <c r="CL79" s="470"/>
      <c r="CM79" s="470"/>
      <c r="CN79" s="501">
        <f t="shared" si="121"/>
        <v>0</v>
      </c>
      <c r="CO79" s="501">
        <f t="shared" si="122"/>
        <v>0</v>
      </c>
      <c r="CP79" s="501">
        <f t="shared" si="123"/>
        <v>0</v>
      </c>
      <c r="CQ79" s="501">
        <f t="shared" si="124"/>
        <v>0</v>
      </c>
      <c r="CR79" s="501">
        <f t="shared" si="125"/>
        <v>0</v>
      </c>
      <c r="CS79" s="501">
        <f t="shared" si="126"/>
        <v>0</v>
      </c>
      <c r="CT79" s="501">
        <f t="shared" si="127"/>
        <v>0</v>
      </c>
      <c r="CU79" s="501">
        <f t="shared" si="128"/>
        <v>0</v>
      </c>
      <c r="CV79" s="501">
        <f t="shared" si="129"/>
        <v>0</v>
      </c>
      <c r="CW79" s="501">
        <f t="shared" si="130"/>
        <v>0</v>
      </c>
      <c r="CX79" s="501">
        <f t="shared" si="131"/>
        <v>0</v>
      </c>
      <c r="CY79" s="470"/>
      <c r="DK79" s="470"/>
      <c r="DL79" s="470"/>
      <c r="DM79" s="470"/>
      <c r="DN79" s="470"/>
      <c r="DO79" s="470"/>
      <c r="DP79" s="470"/>
      <c r="DQ79" s="470"/>
    </row>
    <row r="80" spans="1:124" s="1168" customFormat="1" ht="15" customHeight="1" x14ac:dyDescent="0.25">
      <c r="A80" s="2292"/>
      <c r="B80" s="1332" t="s">
        <v>622</v>
      </c>
      <c r="C80" s="1117">
        <f t="shared" si="107"/>
        <v>0</v>
      </c>
      <c r="D80" s="1136">
        <f t="shared" si="108"/>
        <v>0</v>
      </c>
      <c r="E80" s="1248">
        <f t="shared" si="109"/>
        <v>0</v>
      </c>
      <c r="F80" s="1616"/>
      <c r="G80" s="1617"/>
      <c r="H80" s="1616"/>
      <c r="I80" s="1617"/>
      <c r="J80" s="1616"/>
      <c r="K80" s="1617"/>
      <c r="L80" s="1616"/>
      <c r="M80" s="1617"/>
      <c r="N80" s="1616"/>
      <c r="O80" s="1617"/>
      <c r="P80" s="1616"/>
      <c r="Q80" s="1617"/>
      <c r="R80" s="1616"/>
      <c r="S80" s="1617"/>
      <c r="T80" s="1616"/>
      <c r="U80" s="1617"/>
      <c r="V80" s="1616"/>
      <c r="W80" s="1617"/>
      <c r="X80" s="1616"/>
      <c r="Y80" s="1617"/>
      <c r="Z80" s="1616"/>
      <c r="AA80" s="1617"/>
      <c r="AB80" s="1616"/>
      <c r="AC80" s="1617"/>
      <c r="AD80" s="1616"/>
      <c r="AE80" s="1617"/>
      <c r="AF80" s="1616"/>
      <c r="AG80" s="1617"/>
      <c r="AH80" s="1616"/>
      <c r="AI80" s="1617"/>
      <c r="AJ80" s="1616"/>
      <c r="AK80" s="1617"/>
      <c r="AL80" s="1616"/>
      <c r="AM80" s="1684"/>
      <c r="AN80" s="1671"/>
      <c r="AO80" s="1620"/>
      <c r="AP80" s="1616"/>
      <c r="AQ80" s="1622"/>
      <c r="AR80" s="1621"/>
      <c r="AS80" s="1617"/>
      <c r="AT80" s="1617"/>
      <c r="AU80" s="1617"/>
      <c r="AV80" s="1617"/>
      <c r="AW80" s="1617"/>
      <c r="AX80" s="1617"/>
      <c r="AY80" s="1116" t="str">
        <f t="shared" si="110"/>
        <v/>
      </c>
      <c r="AZ80" s="787"/>
      <c r="BA80" s="787"/>
      <c r="BB80" s="787"/>
      <c r="CA80" s="620" t="str">
        <f t="shared" si="111"/>
        <v/>
      </c>
      <c r="CB80" s="620" t="str">
        <f t="shared" si="112"/>
        <v/>
      </c>
      <c r="CC80" s="620" t="str">
        <f t="shared" si="113"/>
        <v/>
      </c>
      <c r="CD80" s="620" t="str">
        <f t="shared" si="114"/>
        <v/>
      </c>
      <c r="CE80" s="620" t="str">
        <f t="shared" si="115"/>
        <v/>
      </c>
      <c r="CF80" s="620" t="str">
        <f t="shared" si="116"/>
        <v/>
      </c>
      <c r="CG80" s="620" t="str">
        <f t="shared" si="117"/>
        <v/>
      </c>
      <c r="CH80" s="620" t="str">
        <f t="shared" si="118"/>
        <v/>
      </c>
      <c r="CI80" s="620" t="str">
        <f t="shared" si="119"/>
        <v/>
      </c>
      <c r="CJ80" s="620" t="str">
        <f t="shared" si="132"/>
        <v/>
      </c>
      <c r="CK80" s="620" t="str">
        <f t="shared" si="120"/>
        <v/>
      </c>
      <c r="CL80" s="470"/>
      <c r="CM80" s="470"/>
      <c r="CN80" s="501">
        <f t="shared" si="121"/>
        <v>0</v>
      </c>
      <c r="CO80" s="501">
        <f t="shared" si="122"/>
        <v>0</v>
      </c>
      <c r="CP80" s="501">
        <f t="shared" si="123"/>
        <v>0</v>
      </c>
      <c r="CQ80" s="501">
        <f t="shared" si="124"/>
        <v>0</v>
      </c>
      <c r="CR80" s="501">
        <f t="shared" si="125"/>
        <v>0</v>
      </c>
      <c r="CS80" s="501">
        <f t="shared" si="126"/>
        <v>0</v>
      </c>
      <c r="CT80" s="501">
        <f t="shared" si="127"/>
        <v>0</v>
      </c>
      <c r="CU80" s="501">
        <f t="shared" si="128"/>
        <v>0</v>
      </c>
      <c r="CV80" s="501">
        <f t="shared" si="129"/>
        <v>0</v>
      </c>
      <c r="CW80" s="501">
        <f t="shared" si="130"/>
        <v>0</v>
      </c>
      <c r="CX80" s="501">
        <f t="shared" si="131"/>
        <v>0</v>
      </c>
      <c r="CY80" s="470"/>
      <c r="DK80" s="470"/>
      <c r="DL80" s="470"/>
      <c r="DM80" s="470"/>
      <c r="DN80" s="470"/>
      <c r="DO80" s="470"/>
      <c r="DP80" s="470"/>
      <c r="DQ80" s="470"/>
    </row>
    <row r="81" spans="1:124" s="1168" customFormat="1" ht="15" customHeight="1" x14ac:dyDescent="0.25">
      <c r="A81" s="2291" t="s">
        <v>678</v>
      </c>
      <c r="B81" s="1331" t="s">
        <v>621</v>
      </c>
      <c r="C81" s="1110">
        <f t="shared" ref="C81:C89" si="133">SUM(D81:E81)</f>
        <v>0</v>
      </c>
      <c r="D81" s="1111">
        <f t="shared" ref="D81:D89" si="134">+F81+H81+J81+L81+N81+P81+R81+T81+V81+X81+Z81+AB81+AD81+AF81+AH81+AJ81+AL81</f>
        <v>0</v>
      </c>
      <c r="E81" s="1262">
        <f t="shared" ref="E81:E89" si="135">+G81+I81+K81+M81+O81+Q81+S81+U81+W81+Y81+AA81+AC81+AE81+AG81+AI81+AK81+AM81</f>
        <v>0</v>
      </c>
      <c r="F81" s="1609"/>
      <c r="G81" s="1610"/>
      <c r="H81" s="1609"/>
      <c r="I81" s="1610"/>
      <c r="J81" s="1609"/>
      <c r="K81" s="1610"/>
      <c r="L81" s="1609"/>
      <c r="M81" s="1610"/>
      <c r="N81" s="1609"/>
      <c r="O81" s="1610"/>
      <c r="P81" s="1609"/>
      <c r="Q81" s="1610"/>
      <c r="R81" s="1609"/>
      <c r="S81" s="1610"/>
      <c r="T81" s="1609"/>
      <c r="U81" s="1610"/>
      <c r="V81" s="1609"/>
      <c r="W81" s="1610"/>
      <c r="X81" s="1609"/>
      <c r="Y81" s="1610"/>
      <c r="Z81" s="1609"/>
      <c r="AA81" s="1610"/>
      <c r="AB81" s="1609"/>
      <c r="AC81" s="1610"/>
      <c r="AD81" s="1609"/>
      <c r="AE81" s="1610"/>
      <c r="AF81" s="1609"/>
      <c r="AG81" s="1610"/>
      <c r="AH81" s="1609"/>
      <c r="AI81" s="1610"/>
      <c r="AJ81" s="1609"/>
      <c r="AK81" s="1610"/>
      <c r="AL81" s="1609"/>
      <c r="AM81" s="1678"/>
      <c r="AN81" s="1679"/>
      <c r="AO81" s="1613"/>
      <c r="AP81" s="1609"/>
      <c r="AQ81" s="1615"/>
      <c r="AR81" s="1614"/>
      <c r="AS81" s="1610"/>
      <c r="AT81" s="1610"/>
      <c r="AU81" s="1610"/>
      <c r="AV81" s="1610"/>
      <c r="AW81" s="1610"/>
      <c r="AX81" s="1610"/>
      <c r="AY81" s="1116" t="str">
        <f t="shared" si="110"/>
        <v/>
      </c>
      <c r="AZ81" s="787"/>
      <c r="BA81" s="787"/>
      <c r="BB81" s="787"/>
      <c r="CA81" s="620" t="str">
        <f t="shared" si="111"/>
        <v/>
      </c>
      <c r="CB81" s="620" t="str">
        <f t="shared" si="112"/>
        <v/>
      </c>
      <c r="CC81" s="620" t="str">
        <f t="shared" si="113"/>
        <v/>
      </c>
      <c r="CD81" s="620" t="str">
        <f t="shared" si="114"/>
        <v/>
      </c>
      <c r="CE81" s="620" t="str">
        <f t="shared" si="115"/>
        <v/>
      </c>
      <c r="CF81" s="620" t="str">
        <f t="shared" si="116"/>
        <v/>
      </c>
      <c r="CG81" s="620" t="str">
        <f t="shared" si="117"/>
        <v/>
      </c>
      <c r="CH81" s="620" t="str">
        <f t="shared" si="118"/>
        <v/>
      </c>
      <c r="CI81" s="620" t="str">
        <f t="shared" si="119"/>
        <v/>
      </c>
      <c r="CJ81" s="620" t="str">
        <f t="shared" si="132"/>
        <v/>
      </c>
      <c r="CK81" s="620" t="str">
        <f t="shared" si="120"/>
        <v/>
      </c>
      <c r="CL81" s="470"/>
      <c r="CM81" s="470"/>
      <c r="CN81" s="501">
        <f t="shared" si="121"/>
        <v>0</v>
      </c>
      <c r="CO81" s="501">
        <f t="shared" si="122"/>
        <v>0</v>
      </c>
      <c r="CP81" s="501">
        <f t="shared" si="123"/>
        <v>0</v>
      </c>
      <c r="CQ81" s="501">
        <f t="shared" si="124"/>
        <v>0</v>
      </c>
      <c r="CR81" s="501">
        <f t="shared" si="125"/>
        <v>0</v>
      </c>
      <c r="CS81" s="501">
        <f t="shared" si="126"/>
        <v>0</v>
      </c>
      <c r="CT81" s="501">
        <f t="shared" si="127"/>
        <v>0</v>
      </c>
      <c r="CU81" s="501">
        <f t="shared" si="128"/>
        <v>0</v>
      </c>
      <c r="CV81" s="501">
        <f t="shared" si="129"/>
        <v>0</v>
      </c>
      <c r="CW81" s="501">
        <f t="shared" si="130"/>
        <v>0</v>
      </c>
      <c r="CX81" s="501">
        <f t="shared" si="131"/>
        <v>0</v>
      </c>
      <c r="CY81" s="470"/>
      <c r="DK81" s="470"/>
      <c r="DL81" s="470"/>
      <c r="DM81" s="470"/>
      <c r="DN81" s="470"/>
      <c r="DO81" s="470"/>
      <c r="DP81" s="470"/>
      <c r="DQ81" s="470"/>
      <c r="DR81" s="470"/>
      <c r="DS81" s="470"/>
      <c r="DT81" s="470"/>
    </row>
    <row r="82" spans="1:124" s="1168" customFormat="1" ht="15" customHeight="1" x14ac:dyDescent="0.25">
      <c r="A82" s="2292"/>
      <c r="B82" s="1332" t="s">
        <v>622</v>
      </c>
      <c r="C82" s="1139">
        <f t="shared" si="133"/>
        <v>0</v>
      </c>
      <c r="D82" s="1133">
        <f t="shared" si="134"/>
        <v>0</v>
      </c>
      <c r="E82" s="1251">
        <f t="shared" si="135"/>
        <v>0</v>
      </c>
      <c r="F82" s="1623"/>
      <c r="G82" s="1624"/>
      <c r="H82" s="1623"/>
      <c r="I82" s="1624"/>
      <c r="J82" s="1623"/>
      <c r="K82" s="1624"/>
      <c r="L82" s="1623"/>
      <c r="M82" s="1624"/>
      <c r="N82" s="1623"/>
      <c r="O82" s="1624"/>
      <c r="P82" s="1623"/>
      <c r="Q82" s="1624"/>
      <c r="R82" s="1623"/>
      <c r="S82" s="1624"/>
      <c r="T82" s="1623"/>
      <c r="U82" s="1624"/>
      <c r="V82" s="1623"/>
      <c r="W82" s="1624"/>
      <c r="X82" s="1623"/>
      <c r="Y82" s="1624"/>
      <c r="Z82" s="1623"/>
      <c r="AA82" s="1624"/>
      <c r="AB82" s="1623"/>
      <c r="AC82" s="1624"/>
      <c r="AD82" s="1623"/>
      <c r="AE82" s="1624"/>
      <c r="AF82" s="1623"/>
      <c r="AG82" s="1624"/>
      <c r="AH82" s="1623"/>
      <c r="AI82" s="1624"/>
      <c r="AJ82" s="1623"/>
      <c r="AK82" s="1624"/>
      <c r="AL82" s="1623"/>
      <c r="AM82" s="1681"/>
      <c r="AN82" s="1673"/>
      <c r="AO82" s="1627"/>
      <c r="AP82" s="1623"/>
      <c r="AQ82" s="1629"/>
      <c r="AR82" s="1628"/>
      <c r="AS82" s="1624"/>
      <c r="AT82" s="1624"/>
      <c r="AU82" s="1624"/>
      <c r="AV82" s="1624"/>
      <c r="AW82" s="1624"/>
      <c r="AX82" s="1624"/>
      <c r="AY82" s="1116" t="str">
        <f t="shared" si="110"/>
        <v/>
      </c>
      <c r="AZ82" s="1265"/>
      <c r="BA82" s="1265"/>
      <c r="BB82" s="1265"/>
      <c r="CA82" s="620" t="str">
        <f t="shared" si="111"/>
        <v/>
      </c>
      <c r="CB82" s="620" t="str">
        <f t="shared" si="112"/>
        <v/>
      </c>
      <c r="CC82" s="620" t="str">
        <f t="shared" si="113"/>
        <v/>
      </c>
      <c r="CD82" s="620" t="str">
        <f t="shared" si="114"/>
        <v/>
      </c>
      <c r="CE82" s="620" t="str">
        <f t="shared" si="115"/>
        <v/>
      </c>
      <c r="CF82" s="620" t="str">
        <f t="shared" si="116"/>
        <v/>
      </c>
      <c r="CG82" s="620" t="str">
        <f t="shared" si="117"/>
        <v/>
      </c>
      <c r="CH82" s="620" t="str">
        <f t="shared" si="118"/>
        <v/>
      </c>
      <c r="CI82" s="620" t="str">
        <f t="shared" si="119"/>
        <v/>
      </c>
      <c r="CJ82" s="620" t="str">
        <f t="shared" si="132"/>
        <v/>
      </c>
      <c r="CK82" s="620" t="str">
        <f t="shared" si="120"/>
        <v/>
      </c>
      <c r="CL82" s="470"/>
      <c r="CM82" s="470"/>
      <c r="CN82" s="501">
        <f t="shared" si="121"/>
        <v>0</v>
      </c>
      <c r="CO82" s="501">
        <f t="shared" si="122"/>
        <v>0</v>
      </c>
      <c r="CP82" s="501">
        <f t="shared" si="123"/>
        <v>0</v>
      </c>
      <c r="CQ82" s="501">
        <f t="shared" si="124"/>
        <v>0</v>
      </c>
      <c r="CR82" s="501">
        <f t="shared" si="125"/>
        <v>0</v>
      </c>
      <c r="CS82" s="501">
        <f t="shared" si="126"/>
        <v>0</v>
      </c>
      <c r="CT82" s="501">
        <f t="shared" si="127"/>
        <v>0</v>
      </c>
      <c r="CU82" s="501">
        <f t="shared" si="128"/>
        <v>0</v>
      </c>
      <c r="CV82" s="501">
        <f t="shared" si="129"/>
        <v>0</v>
      </c>
      <c r="CW82" s="501">
        <f t="shared" si="130"/>
        <v>0</v>
      </c>
      <c r="CX82" s="501">
        <f t="shared" si="131"/>
        <v>0</v>
      </c>
      <c r="DK82" s="470"/>
      <c r="DL82" s="470"/>
      <c r="DM82" s="470"/>
      <c r="DN82" s="470"/>
      <c r="DO82" s="470"/>
      <c r="DP82" s="470"/>
      <c r="DQ82" s="470"/>
      <c r="DR82" s="470"/>
      <c r="DS82" s="470"/>
      <c r="DT82" s="470"/>
    </row>
    <row r="83" spans="1:124" s="1168" customFormat="1" ht="15" customHeight="1" x14ac:dyDescent="0.25">
      <c r="A83" s="1333" t="s">
        <v>626</v>
      </c>
      <c r="B83" s="1334"/>
      <c r="C83" s="1335"/>
      <c r="D83" s="1336"/>
      <c r="E83" s="1337"/>
      <c r="F83" s="1255"/>
      <c r="G83" s="1256"/>
      <c r="H83" s="1255"/>
      <c r="I83" s="1256"/>
      <c r="J83" s="1255"/>
      <c r="K83" s="1256"/>
      <c r="L83" s="1255"/>
      <c r="M83" s="1256"/>
      <c r="N83" s="1255"/>
      <c r="O83" s="1256"/>
      <c r="P83" s="1255"/>
      <c r="Q83" s="1256"/>
      <c r="R83" s="1255"/>
      <c r="S83" s="1256"/>
      <c r="T83" s="1255"/>
      <c r="U83" s="1256"/>
      <c r="V83" s="1255"/>
      <c r="W83" s="1256"/>
      <c r="X83" s="1255"/>
      <c r="Y83" s="1256"/>
      <c r="Z83" s="1255"/>
      <c r="AA83" s="1256"/>
      <c r="AB83" s="1255"/>
      <c r="AC83" s="1256"/>
      <c r="AD83" s="1255"/>
      <c r="AE83" s="1256"/>
      <c r="AF83" s="1255"/>
      <c r="AG83" s="1256"/>
      <c r="AH83" s="1255"/>
      <c r="AI83" s="1256"/>
      <c r="AJ83" s="1255"/>
      <c r="AK83" s="1256"/>
      <c r="AL83" s="1255"/>
      <c r="AM83" s="1338"/>
      <c r="AN83" s="1339"/>
      <c r="AO83" s="1259"/>
      <c r="AP83" s="1255"/>
      <c r="AQ83" s="1261"/>
      <c r="AR83" s="1260"/>
      <c r="AS83" s="1256"/>
      <c r="AT83" s="1256"/>
      <c r="AU83" s="1256"/>
      <c r="AV83" s="1256"/>
      <c r="AW83" s="1256"/>
      <c r="AX83" s="1256"/>
      <c r="AY83" s="1116" t="str">
        <f t="shared" si="110"/>
        <v/>
      </c>
      <c r="AZ83" s="1265"/>
      <c r="BA83" s="1265"/>
      <c r="BB83" s="1265"/>
      <c r="CA83" s="620" t="str">
        <f t="shared" si="111"/>
        <v/>
      </c>
      <c r="CB83" s="620" t="str">
        <f t="shared" si="112"/>
        <v/>
      </c>
      <c r="CC83" s="620" t="str">
        <f t="shared" si="113"/>
        <v/>
      </c>
      <c r="CD83" s="620" t="str">
        <f t="shared" si="114"/>
        <v/>
      </c>
      <c r="CE83" s="620" t="str">
        <f t="shared" si="115"/>
        <v/>
      </c>
      <c r="CF83" s="620" t="str">
        <f t="shared" si="116"/>
        <v/>
      </c>
      <c r="CG83" s="620" t="str">
        <f t="shared" si="117"/>
        <v/>
      </c>
      <c r="CH83" s="620" t="str">
        <f t="shared" si="118"/>
        <v/>
      </c>
      <c r="CI83" s="620" t="str">
        <f t="shared" si="119"/>
        <v/>
      </c>
      <c r="CJ83" s="620" t="str">
        <f t="shared" si="132"/>
        <v/>
      </c>
      <c r="CK83" s="620" t="str">
        <f t="shared" si="120"/>
        <v/>
      </c>
      <c r="CL83" s="470"/>
      <c r="CM83" s="470"/>
      <c r="CN83" s="501">
        <f t="shared" si="121"/>
        <v>0</v>
      </c>
      <c r="CO83" s="501">
        <f t="shared" si="122"/>
        <v>0</v>
      </c>
      <c r="CP83" s="501">
        <f t="shared" si="123"/>
        <v>0</v>
      </c>
      <c r="CQ83" s="501">
        <f t="shared" si="124"/>
        <v>0</v>
      </c>
      <c r="CR83" s="501">
        <f t="shared" si="125"/>
        <v>0</v>
      </c>
      <c r="CS83" s="501">
        <f t="shared" si="126"/>
        <v>0</v>
      </c>
      <c r="CT83" s="501">
        <f t="shared" si="127"/>
        <v>0</v>
      </c>
      <c r="CU83" s="501">
        <f t="shared" si="128"/>
        <v>0</v>
      </c>
      <c r="CV83" s="501">
        <f t="shared" si="129"/>
        <v>0</v>
      </c>
      <c r="CW83" s="501">
        <f t="shared" si="130"/>
        <v>0</v>
      </c>
      <c r="CX83" s="501">
        <f t="shared" si="131"/>
        <v>0</v>
      </c>
      <c r="DK83" s="470"/>
      <c r="DL83" s="470"/>
      <c r="DM83" s="470"/>
      <c r="DN83" s="470"/>
      <c r="DO83" s="470"/>
      <c r="DP83" s="470"/>
      <c r="DQ83" s="470"/>
      <c r="DR83" s="470"/>
      <c r="DS83" s="470"/>
      <c r="DT83" s="470"/>
    </row>
    <row r="84" spans="1:124" s="1168" customFormat="1" ht="15" customHeight="1" x14ac:dyDescent="0.25">
      <c r="A84" s="1848" t="s">
        <v>627</v>
      </c>
      <c r="B84" s="1340" t="s">
        <v>628</v>
      </c>
      <c r="C84" s="1117">
        <f>SUM(D84:E84)</f>
        <v>0</v>
      </c>
      <c r="D84" s="1136">
        <f>+H84+J84+L84+N84+P84+R84+T84+V84+X84+Z84+AB84+AD84+AF84+AH84+AJ84+AL84</f>
        <v>0</v>
      </c>
      <c r="E84" s="1137">
        <f>+I84+K84+M84+O84+Q84+S84+U84+W84+Y84+AA84+AC84+AE84+AG84+AI84+AK84+AM84</f>
        <v>0</v>
      </c>
      <c r="F84" s="1120"/>
      <c r="G84" s="1121"/>
      <c r="H84" s="1616"/>
      <c r="I84" s="1617"/>
      <c r="J84" s="1616"/>
      <c r="K84" s="1617"/>
      <c r="L84" s="1616"/>
      <c r="M84" s="1617"/>
      <c r="N84" s="1616"/>
      <c r="O84" s="1617"/>
      <c r="P84" s="1616"/>
      <c r="Q84" s="1617"/>
      <c r="R84" s="1616"/>
      <c r="S84" s="1617"/>
      <c r="T84" s="1616"/>
      <c r="U84" s="1617"/>
      <c r="V84" s="1616"/>
      <c r="W84" s="1617"/>
      <c r="X84" s="1616"/>
      <c r="Y84" s="1617"/>
      <c r="Z84" s="1616"/>
      <c r="AA84" s="1617"/>
      <c r="AB84" s="1616"/>
      <c r="AC84" s="1617"/>
      <c r="AD84" s="1616"/>
      <c r="AE84" s="1617"/>
      <c r="AF84" s="1616"/>
      <c r="AG84" s="1617"/>
      <c r="AH84" s="1616"/>
      <c r="AI84" s="1617"/>
      <c r="AJ84" s="1616"/>
      <c r="AK84" s="1617"/>
      <c r="AL84" s="1616"/>
      <c r="AM84" s="1684"/>
      <c r="AN84" s="1671"/>
      <c r="AO84" s="1620"/>
      <c r="AP84" s="1616"/>
      <c r="AQ84" s="1622"/>
      <c r="AR84" s="1621"/>
      <c r="AS84" s="1617"/>
      <c r="AT84" s="1617"/>
      <c r="AU84" s="1617"/>
      <c r="AV84" s="1617"/>
      <c r="AW84" s="1617"/>
      <c r="AX84" s="1617"/>
      <c r="AY84" s="1116" t="str">
        <f t="shared" si="110"/>
        <v/>
      </c>
      <c r="AZ84" s="1265"/>
      <c r="BA84" s="1265"/>
      <c r="BB84" s="1265"/>
      <c r="CA84" s="620" t="str">
        <f t="shared" si="111"/>
        <v/>
      </c>
      <c r="CB84" s="620" t="str">
        <f t="shared" si="112"/>
        <v/>
      </c>
      <c r="CC84" s="620" t="str">
        <f t="shared" si="113"/>
        <v/>
      </c>
      <c r="CD84" s="620" t="str">
        <f t="shared" si="114"/>
        <v/>
      </c>
      <c r="CE84" s="620" t="str">
        <f t="shared" si="115"/>
        <v/>
      </c>
      <c r="CF84" s="620" t="str">
        <f t="shared" si="116"/>
        <v/>
      </c>
      <c r="CG84" s="620" t="str">
        <f t="shared" si="117"/>
        <v/>
      </c>
      <c r="CH84" s="620" t="str">
        <f t="shared" si="118"/>
        <v/>
      </c>
      <c r="CI84" s="620" t="str">
        <f t="shared" si="119"/>
        <v/>
      </c>
      <c r="CJ84" s="620" t="str">
        <f t="shared" si="132"/>
        <v/>
      </c>
      <c r="CK84" s="620" t="str">
        <f t="shared" si="120"/>
        <v/>
      </c>
      <c r="CL84" s="470"/>
      <c r="CM84" s="470"/>
      <c r="CN84" s="501">
        <f t="shared" si="121"/>
        <v>0</v>
      </c>
      <c r="CO84" s="501">
        <f t="shared" si="122"/>
        <v>0</v>
      </c>
      <c r="CP84" s="501">
        <f t="shared" si="123"/>
        <v>0</v>
      </c>
      <c r="CQ84" s="501">
        <f t="shared" si="124"/>
        <v>0</v>
      </c>
      <c r="CR84" s="501">
        <f t="shared" si="125"/>
        <v>0</v>
      </c>
      <c r="CS84" s="501">
        <f t="shared" si="126"/>
        <v>0</v>
      </c>
      <c r="CT84" s="501">
        <f t="shared" si="127"/>
        <v>0</v>
      </c>
      <c r="CU84" s="501">
        <f t="shared" si="128"/>
        <v>0</v>
      </c>
      <c r="CV84" s="501">
        <f t="shared" si="129"/>
        <v>0</v>
      </c>
      <c r="CW84" s="501">
        <f t="shared" si="130"/>
        <v>0</v>
      </c>
      <c r="CX84" s="501">
        <f t="shared" si="131"/>
        <v>0</v>
      </c>
      <c r="DK84" s="470"/>
      <c r="DL84" s="470"/>
      <c r="DM84" s="470"/>
      <c r="DN84" s="470"/>
      <c r="DO84" s="470"/>
      <c r="DP84" s="470"/>
      <c r="DQ84" s="470"/>
      <c r="DR84" s="470"/>
      <c r="DS84" s="470"/>
      <c r="DT84" s="470"/>
    </row>
    <row r="85" spans="1:124" s="1168" customFormat="1" ht="15" customHeight="1" x14ac:dyDescent="0.25">
      <c r="A85" s="1849"/>
      <c r="B85" s="1341" t="s">
        <v>629</v>
      </c>
      <c r="C85" s="1126">
        <f>SUM(D85:E85)</f>
        <v>0</v>
      </c>
      <c r="D85" s="1199">
        <f>+H85+J85+L85+N85+P85+R85+T85+V85+X85+Z85+AB85+AD85+AF85+AH85+AJ85+AL85</f>
        <v>0</v>
      </c>
      <c r="E85" s="1298">
        <f>+I85+K85+M85+O85+Q85+S85+U85+W85+Y85+AA85+AC85+AE85+AG85+AI85+AK85+AM85</f>
        <v>0</v>
      </c>
      <c r="F85" s="1129"/>
      <c r="G85" s="1130"/>
      <c r="H85" s="1657"/>
      <c r="I85" s="1656"/>
      <c r="J85" s="1657"/>
      <c r="K85" s="1656"/>
      <c r="L85" s="1657"/>
      <c r="M85" s="1656"/>
      <c r="N85" s="1657"/>
      <c r="O85" s="1656"/>
      <c r="P85" s="1657"/>
      <c r="Q85" s="1656"/>
      <c r="R85" s="1657"/>
      <c r="S85" s="1656"/>
      <c r="T85" s="1657"/>
      <c r="U85" s="1656"/>
      <c r="V85" s="1657"/>
      <c r="W85" s="1656"/>
      <c r="X85" s="1657"/>
      <c r="Y85" s="1656"/>
      <c r="Z85" s="1657"/>
      <c r="AA85" s="1656"/>
      <c r="AB85" s="1657"/>
      <c r="AC85" s="1656"/>
      <c r="AD85" s="1657"/>
      <c r="AE85" s="1656"/>
      <c r="AF85" s="1657"/>
      <c r="AG85" s="1656"/>
      <c r="AH85" s="1657"/>
      <c r="AI85" s="1656"/>
      <c r="AJ85" s="1657"/>
      <c r="AK85" s="1656"/>
      <c r="AL85" s="1657"/>
      <c r="AM85" s="1685"/>
      <c r="AN85" s="1674"/>
      <c r="AO85" s="1675"/>
      <c r="AP85" s="1657"/>
      <c r="AQ85" s="1652"/>
      <c r="AR85" s="1655"/>
      <c r="AS85" s="1656"/>
      <c r="AT85" s="1656"/>
      <c r="AU85" s="1656"/>
      <c r="AV85" s="1656"/>
      <c r="AW85" s="1656"/>
      <c r="AX85" s="1656"/>
      <c r="AY85" s="1116" t="str">
        <f t="shared" si="110"/>
        <v/>
      </c>
      <c r="AZ85" s="1265"/>
      <c r="BA85" s="1265"/>
      <c r="BB85" s="1265"/>
      <c r="CA85" s="620" t="str">
        <f t="shared" si="111"/>
        <v/>
      </c>
      <c r="CB85" s="620" t="str">
        <f t="shared" si="112"/>
        <v/>
      </c>
      <c r="CC85" s="620" t="str">
        <f t="shared" si="113"/>
        <v/>
      </c>
      <c r="CD85" s="620" t="str">
        <f t="shared" si="114"/>
        <v/>
      </c>
      <c r="CE85" s="620" t="str">
        <f t="shared" si="115"/>
        <v/>
      </c>
      <c r="CF85" s="620" t="str">
        <f t="shared" si="116"/>
        <v/>
      </c>
      <c r="CG85" s="620" t="str">
        <f t="shared" si="117"/>
        <v/>
      </c>
      <c r="CH85" s="620" t="str">
        <f t="shared" si="118"/>
        <v/>
      </c>
      <c r="CI85" s="620" t="str">
        <f t="shared" si="119"/>
        <v/>
      </c>
      <c r="CJ85" s="620" t="str">
        <f t="shared" si="132"/>
        <v/>
      </c>
      <c r="CK85" s="620" t="str">
        <f t="shared" si="120"/>
        <v/>
      </c>
      <c r="CL85" s="470"/>
      <c r="CM85" s="470"/>
      <c r="CN85" s="501">
        <f t="shared" si="121"/>
        <v>0</v>
      </c>
      <c r="CO85" s="501">
        <f t="shared" si="122"/>
        <v>0</v>
      </c>
      <c r="CP85" s="501">
        <f t="shared" si="123"/>
        <v>0</v>
      </c>
      <c r="CQ85" s="501">
        <f t="shared" si="124"/>
        <v>0</v>
      </c>
      <c r="CR85" s="501">
        <f t="shared" si="125"/>
        <v>0</v>
      </c>
      <c r="CS85" s="501">
        <f t="shared" si="126"/>
        <v>0</v>
      </c>
      <c r="CT85" s="501">
        <f t="shared" si="127"/>
        <v>0</v>
      </c>
      <c r="CU85" s="501">
        <f t="shared" si="128"/>
        <v>0</v>
      </c>
      <c r="CV85" s="501">
        <f t="shared" si="129"/>
        <v>0</v>
      </c>
      <c r="CW85" s="501">
        <f t="shared" si="130"/>
        <v>0</v>
      </c>
      <c r="CX85" s="501">
        <f t="shared" si="131"/>
        <v>0</v>
      </c>
      <c r="DK85" s="470"/>
      <c r="DL85" s="470"/>
      <c r="DM85" s="470"/>
      <c r="DN85" s="470"/>
      <c r="DO85" s="470"/>
      <c r="DP85" s="470"/>
      <c r="DQ85" s="470"/>
      <c r="DR85" s="470"/>
      <c r="DS85" s="470"/>
      <c r="DT85" s="470"/>
    </row>
    <row r="86" spans="1:124" s="1168" customFormat="1" ht="15" customHeight="1" x14ac:dyDescent="0.25">
      <c r="A86" s="2337" t="s">
        <v>630</v>
      </c>
      <c r="B86" s="2338"/>
      <c r="C86" s="1240">
        <f t="shared" si="133"/>
        <v>0</v>
      </c>
      <c r="D86" s="1241">
        <f t="shared" si="134"/>
        <v>0</v>
      </c>
      <c r="E86" s="1242">
        <f t="shared" si="135"/>
        <v>0</v>
      </c>
      <c r="F86" s="1602"/>
      <c r="G86" s="1604"/>
      <c r="H86" s="1602"/>
      <c r="I86" s="1604"/>
      <c r="J86" s="1602"/>
      <c r="K86" s="1604"/>
      <c r="L86" s="1602"/>
      <c r="M86" s="1604"/>
      <c r="N86" s="1602"/>
      <c r="O86" s="1604"/>
      <c r="P86" s="1602"/>
      <c r="Q86" s="1604"/>
      <c r="R86" s="1602"/>
      <c r="S86" s="1604"/>
      <c r="T86" s="1602"/>
      <c r="U86" s="1604"/>
      <c r="V86" s="1602"/>
      <c r="W86" s="1604"/>
      <c r="X86" s="1602"/>
      <c r="Y86" s="1604"/>
      <c r="Z86" s="1602"/>
      <c r="AA86" s="1604"/>
      <c r="AB86" s="1602"/>
      <c r="AC86" s="1604"/>
      <c r="AD86" s="1602"/>
      <c r="AE86" s="1604"/>
      <c r="AF86" s="1602"/>
      <c r="AG86" s="1604"/>
      <c r="AH86" s="1602"/>
      <c r="AI86" s="1604"/>
      <c r="AJ86" s="1602"/>
      <c r="AK86" s="1604"/>
      <c r="AL86" s="1602"/>
      <c r="AM86" s="1603"/>
      <c r="AN86" s="1683"/>
      <c r="AO86" s="1607"/>
      <c r="AP86" s="1602"/>
      <c r="AQ86" s="1608"/>
      <c r="AR86" s="1605"/>
      <c r="AS86" s="1604"/>
      <c r="AT86" s="1604"/>
      <c r="AU86" s="1604"/>
      <c r="AV86" s="1604"/>
      <c r="AW86" s="1604"/>
      <c r="AX86" s="1604"/>
      <c r="AY86" s="1116" t="str">
        <f t="shared" si="110"/>
        <v/>
      </c>
      <c r="AZ86" s="1265"/>
      <c r="BA86" s="1265"/>
      <c r="BB86" s="1265"/>
      <c r="CA86" s="620" t="str">
        <f t="shared" si="111"/>
        <v/>
      </c>
      <c r="CB86" s="620" t="str">
        <f t="shared" si="112"/>
        <v/>
      </c>
      <c r="CC86" s="620" t="str">
        <f t="shared" si="113"/>
        <v/>
      </c>
      <c r="CD86" s="620" t="str">
        <f t="shared" si="114"/>
        <v/>
      </c>
      <c r="CE86" s="620" t="str">
        <f t="shared" si="115"/>
        <v/>
      </c>
      <c r="CF86" s="620" t="str">
        <f t="shared" si="116"/>
        <v/>
      </c>
      <c r="CG86" s="620" t="str">
        <f t="shared" si="117"/>
        <v/>
      </c>
      <c r="CH86" s="620" t="str">
        <f t="shared" si="118"/>
        <v/>
      </c>
      <c r="CI86" s="620" t="str">
        <f t="shared" si="119"/>
        <v/>
      </c>
      <c r="CJ86" s="620" t="str">
        <f t="shared" si="132"/>
        <v/>
      </c>
      <c r="CK86" s="620" t="str">
        <f t="shared" si="120"/>
        <v/>
      </c>
      <c r="CL86" s="470"/>
      <c r="CM86" s="470"/>
      <c r="CN86" s="501">
        <f t="shared" si="121"/>
        <v>0</v>
      </c>
      <c r="CO86" s="501">
        <f t="shared" si="122"/>
        <v>0</v>
      </c>
      <c r="CP86" s="501">
        <f t="shared" si="123"/>
        <v>0</v>
      </c>
      <c r="CQ86" s="501">
        <f t="shared" si="124"/>
        <v>0</v>
      </c>
      <c r="CR86" s="501">
        <f t="shared" si="125"/>
        <v>0</v>
      </c>
      <c r="CS86" s="501">
        <f t="shared" si="126"/>
        <v>0</v>
      </c>
      <c r="CT86" s="501">
        <f t="shared" si="127"/>
        <v>0</v>
      </c>
      <c r="CU86" s="501">
        <f t="shared" si="128"/>
        <v>0</v>
      </c>
      <c r="CV86" s="501">
        <f t="shared" si="129"/>
        <v>0</v>
      </c>
      <c r="CW86" s="501">
        <f t="shared" si="130"/>
        <v>0</v>
      </c>
      <c r="CX86" s="501">
        <f t="shared" si="131"/>
        <v>0</v>
      </c>
      <c r="DK86" s="470"/>
      <c r="DL86" s="470"/>
      <c r="DM86" s="470"/>
      <c r="DN86" s="470"/>
      <c r="DO86" s="470"/>
      <c r="DP86" s="470"/>
      <c r="DQ86" s="470"/>
      <c r="DR86" s="470"/>
      <c r="DS86" s="470"/>
      <c r="DT86" s="470"/>
    </row>
    <row r="87" spans="1:124" s="1168" customFormat="1" ht="15" customHeight="1" x14ac:dyDescent="0.25">
      <c r="A87" s="2339" t="s">
        <v>679</v>
      </c>
      <c r="B87" s="1331" t="s">
        <v>680</v>
      </c>
      <c r="C87" s="1117">
        <f>SUM(D87:E87)</f>
        <v>0</v>
      </c>
      <c r="D87" s="1136">
        <f t="shared" si="134"/>
        <v>0</v>
      </c>
      <c r="E87" s="1248">
        <f t="shared" si="135"/>
        <v>0</v>
      </c>
      <c r="F87" s="1616"/>
      <c r="G87" s="1617"/>
      <c r="H87" s="1616"/>
      <c r="I87" s="1617"/>
      <c r="J87" s="1616"/>
      <c r="K87" s="1617"/>
      <c r="L87" s="1616"/>
      <c r="M87" s="1617"/>
      <c r="N87" s="1616"/>
      <c r="O87" s="1617"/>
      <c r="P87" s="1616"/>
      <c r="Q87" s="1617"/>
      <c r="R87" s="1616"/>
      <c r="S87" s="1617"/>
      <c r="T87" s="1616"/>
      <c r="U87" s="1617"/>
      <c r="V87" s="1616"/>
      <c r="W87" s="1617"/>
      <c r="X87" s="1616"/>
      <c r="Y87" s="1617"/>
      <c r="Z87" s="1616"/>
      <c r="AA87" s="1617"/>
      <c r="AB87" s="1616"/>
      <c r="AC87" s="1617"/>
      <c r="AD87" s="1616"/>
      <c r="AE87" s="1617"/>
      <c r="AF87" s="1616"/>
      <c r="AG87" s="1617"/>
      <c r="AH87" s="1616"/>
      <c r="AI87" s="1617"/>
      <c r="AJ87" s="1616"/>
      <c r="AK87" s="1617"/>
      <c r="AL87" s="1616"/>
      <c r="AM87" s="1684"/>
      <c r="AN87" s="1671"/>
      <c r="AO87" s="1620"/>
      <c r="AP87" s="1616"/>
      <c r="AQ87" s="1622"/>
      <c r="AR87" s="1621"/>
      <c r="AS87" s="1617"/>
      <c r="AT87" s="1617"/>
      <c r="AU87" s="1617"/>
      <c r="AV87" s="1617"/>
      <c r="AW87" s="1617"/>
      <c r="AX87" s="1617"/>
      <c r="AY87" s="1116" t="str">
        <f t="shared" si="110"/>
        <v/>
      </c>
      <c r="AZ87" s="1265"/>
      <c r="BA87" s="1265"/>
      <c r="BB87" s="1265"/>
      <c r="CA87" s="620" t="str">
        <f t="shared" si="111"/>
        <v/>
      </c>
      <c r="CB87" s="620" t="str">
        <f t="shared" si="112"/>
        <v/>
      </c>
      <c r="CC87" s="620" t="str">
        <f t="shared" si="113"/>
        <v/>
      </c>
      <c r="CD87" s="620" t="str">
        <f t="shared" si="114"/>
        <v/>
      </c>
      <c r="CE87" s="620" t="str">
        <f t="shared" si="115"/>
        <v/>
      </c>
      <c r="CF87" s="620" t="str">
        <f t="shared" si="116"/>
        <v/>
      </c>
      <c r="CG87" s="620" t="str">
        <f t="shared" si="117"/>
        <v/>
      </c>
      <c r="CH87" s="620" t="str">
        <f t="shared" si="118"/>
        <v/>
      </c>
      <c r="CI87" s="620" t="str">
        <f t="shared" si="119"/>
        <v/>
      </c>
      <c r="CJ87" s="620" t="str">
        <f t="shared" si="132"/>
        <v/>
      </c>
      <c r="CK87" s="620" t="str">
        <f t="shared" si="120"/>
        <v/>
      </c>
      <c r="CL87" s="470"/>
      <c r="CM87" s="470"/>
      <c r="CN87" s="501">
        <f t="shared" si="121"/>
        <v>0</v>
      </c>
      <c r="CO87" s="501">
        <f t="shared" si="122"/>
        <v>0</v>
      </c>
      <c r="CP87" s="501">
        <f t="shared" si="123"/>
        <v>0</v>
      </c>
      <c r="CQ87" s="501">
        <f t="shared" si="124"/>
        <v>0</v>
      </c>
      <c r="CR87" s="501">
        <f t="shared" si="125"/>
        <v>0</v>
      </c>
      <c r="CS87" s="501">
        <f t="shared" si="126"/>
        <v>0</v>
      </c>
      <c r="CT87" s="501">
        <f t="shared" si="127"/>
        <v>0</v>
      </c>
      <c r="CU87" s="501">
        <f t="shared" si="128"/>
        <v>0</v>
      </c>
      <c r="CV87" s="501">
        <f t="shared" si="129"/>
        <v>0</v>
      </c>
      <c r="CW87" s="501">
        <f t="shared" si="130"/>
        <v>0</v>
      </c>
      <c r="CX87" s="501">
        <f t="shared" si="131"/>
        <v>0</v>
      </c>
      <c r="DK87" s="470"/>
      <c r="DL87" s="470"/>
      <c r="DM87" s="470"/>
      <c r="DN87" s="470"/>
      <c r="DO87" s="470"/>
      <c r="DP87" s="470"/>
      <c r="DQ87" s="470"/>
      <c r="DR87" s="470"/>
      <c r="DS87" s="470"/>
      <c r="DT87" s="470"/>
    </row>
    <row r="88" spans="1:124" s="1168" customFormat="1" ht="15" customHeight="1" x14ac:dyDescent="0.25">
      <c r="A88" s="2339"/>
      <c r="B88" s="1342" t="s">
        <v>681</v>
      </c>
      <c r="C88" s="1117">
        <f t="shared" si="133"/>
        <v>0</v>
      </c>
      <c r="D88" s="1136">
        <f t="shared" si="134"/>
        <v>0</v>
      </c>
      <c r="E88" s="1248">
        <f t="shared" si="135"/>
        <v>0</v>
      </c>
      <c r="F88" s="1638"/>
      <c r="G88" s="1639"/>
      <c r="H88" s="1638"/>
      <c r="I88" s="1639"/>
      <c r="J88" s="1638"/>
      <c r="K88" s="1639"/>
      <c r="L88" s="1638"/>
      <c r="M88" s="1639"/>
      <c r="N88" s="1638"/>
      <c r="O88" s="1639"/>
      <c r="P88" s="1638"/>
      <c r="Q88" s="1639"/>
      <c r="R88" s="1638"/>
      <c r="S88" s="1639"/>
      <c r="T88" s="1638"/>
      <c r="U88" s="1639"/>
      <c r="V88" s="1638"/>
      <c r="W88" s="1639"/>
      <c r="X88" s="1638"/>
      <c r="Y88" s="1639"/>
      <c r="Z88" s="1638"/>
      <c r="AA88" s="1639"/>
      <c r="AB88" s="1638"/>
      <c r="AC88" s="1639"/>
      <c r="AD88" s="1638"/>
      <c r="AE88" s="1639"/>
      <c r="AF88" s="1638"/>
      <c r="AG88" s="1639"/>
      <c r="AH88" s="1638"/>
      <c r="AI88" s="1639"/>
      <c r="AJ88" s="1638"/>
      <c r="AK88" s="1639"/>
      <c r="AL88" s="1638"/>
      <c r="AM88" s="1680"/>
      <c r="AN88" s="1672"/>
      <c r="AO88" s="1642"/>
      <c r="AP88" s="1638"/>
      <c r="AQ88" s="1644"/>
      <c r="AR88" s="1643"/>
      <c r="AS88" s="1639"/>
      <c r="AT88" s="1639"/>
      <c r="AU88" s="1639"/>
      <c r="AV88" s="1639"/>
      <c r="AW88" s="1639"/>
      <c r="AX88" s="1639"/>
      <c r="AY88" s="1116" t="str">
        <f t="shared" si="110"/>
        <v/>
      </c>
      <c r="AZ88" s="1265"/>
      <c r="BA88" s="1265"/>
      <c r="BB88" s="1265"/>
      <c r="CA88" s="620" t="str">
        <f t="shared" si="111"/>
        <v/>
      </c>
      <c r="CB88" s="620" t="str">
        <f t="shared" si="112"/>
        <v/>
      </c>
      <c r="CC88" s="620" t="str">
        <f t="shared" si="113"/>
        <v/>
      </c>
      <c r="CD88" s="620" t="str">
        <f t="shared" si="114"/>
        <v/>
      </c>
      <c r="CE88" s="620" t="str">
        <f t="shared" si="115"/>
        <v/>
      </c>
      <c r="CF88" s="620" t="str">
        <f t="shared" si="116"/>
        <v/>
      </c>
      <c r="CG88" s="620" t="str">
        <f t="shared" si="117"/>
        <v/>
      </c>
      <c r="CH88" s="620" t="str">
        <f t="shared" si="118"/>
        <v/>
      </c>
      <c r="CI88" s="620" t="str">
        <f t="shared" si="119"/>
        <v/>
      </c>
      <c r="CJ88" s="620" t="str">
        <f t="shared" si="132"/>
        <v/>
      </c>
      <c r="CK88" s="620" t="str">
        <f t="shared" si="120"/>
        <v/>
      </c>
      <c r="CL88" s="470"/>
      <c r="CM88" s="470"/>
      <c r="CN88" s="501">
        <f t="shared" si="121"/>
        <v>0</v>
      </c>
      <c r="CO88" s="501">
        <f t="shared" si="122"/>
        <v>0</v>
      </c>
      <c r="CP88" s="501">
        <f t="shared" si="123"/>
        <v>0</v>
      </c>
      <c r="CQ88" s="501">
        <f t="shared" si="124"/>
        <v>0</v>
      </c>
      <c r="CR88" s="501">
        <f t="shared" si="125"/>
        <v>0</v>
      </c>
      <c r="CS88" s="501">
        <f t="shared" si="126"/>
        <v>0</v>
      </c>
      <c r="CT88" s="501">
        <f t="shared" si="127"/>
        <v>0</v>
      </c>
      <c r="CU88" s="501">
        <f t="shared" si="128"/>
        <v>0</v>
      </c>
      <c r="CV88" s="501">
        <f t="shared" si="129"/>
        <v>0</v>
      </c>
      <c r="CW88" s="501">
        <f t="shared" si="130"/>
        <v>0</v>
      </c>
      <c r="CX88" s="501">
        <f t="shared" si="131"/>
        <v>0</v>
      </c>
      <c r="DK88" s="470"/>
      <c r="DL88" s="470"/>
      <c r="DM88" s="470"/>
      <c r="DN88" s="470"/>
      <c r="DO88" s="470"/>
      <c r="DP88" s="470"/>
      <c r="DQ88" s="470"/>
      <c r="DR88" s="470"/>
      <c r="DS88" s="470"/>
      <c r="DT88" s="470"/>
    </row>
    <row r="89" spans="1:124" s="1168" customFormat="1" ht="15" customHeight="1" x14ac:dyDescent="0.25">
      <c r="A89" s="2339"/>
      <c r="B89" s="1342" t="s">
        <v>682</v>
      </c>
      <c r="C89" s="1117">
        <f t="shared" si="133"/>
        <v>0</v>
      </c>
      <c r="D89" s="1136">
        <f t="shared" si="134"/>
        <v>0</v>
      </c>
      <c r="E89" s="1248">
        <f t="shared" si="135"/>
        <v>0</v>
      </c>
      <c r="F89" s="1638"/>
      <c r="G89" s="1639"/>
      <c r="H89" s="1638"/>
      <c r="I89" s="1639"/>
      <c r="J89" s="1638"/>
      <c r="K89" s="1639"/>
      <c r="L89" s="1638"/>
      <c r="M89" s="1639"/>
      <c r="N89" s="1638"/>
      <c r="O89" s="1639"/>
      <c r="P89" s="1638"/>
      <c r="Q89" s="1639"/>
      <c r="R89" s="1638"/>
      <c r="S89" s="1639"/>
      <c r="T89" s="1638"/>
      <c r="U89" s="1639"/>
      <c r="V89" s="1638"/>
      <c r="W89" s="1639"/>
      <c r="X89" s="1638"/>
      <c r="Y89" s="1639"/>
      <c r="Z89" s="1638"/>
      <c r="AA89" s="1639"/>
      <c r="AB89" s="1638"/>
      <c r="AC89" s="1639"/>
      <c r="AD89" s="1638"/>
      <c r="AE89" s="1639"/>
      <c r="AF89" s="1638"/>
      <c r="AG89" s="1639"/>
      <c r="AH89" s="1638"/>
      <c r="AI89" s="1639"/>
      <c r="AJ89" s="1638"/>
      <c r="AK89" s="1639"/>
      <c r="AL89" s="1638"/>
      <c r="AM89" s="1680"/>
      <c r="AN89" s="1672"/>
      <c r="AO89" s="1642"/>
      <c r="AP89" s="1638"/>
      <c r="AQ89" s="1644"/>
      <c r="AR89" s="1643"/>
      <c r="AS89" s="1639"/>
      <c r="AT89" s="1639"/>
      <c r="AU89" s="1639"/>
      <c r="AV89" s="1639"/>
      <c r="AW89" s="1639"/>
      <c r="AX89" s="1639"/>
      <c r="AY89" s="1116" t="str">
        <f t="shared" si="110"/>
        <v/>
      </c>
      <c r="AZ89" s="1265"/>
      <c r="BA89" s="1265"/>
      <c r="BB89" s="1265"/>
      <c r="CA89" s="620" t="str">
        <f t="shared" si="111"/>
        <v/>
      </c>
      <c r="CB89" s="620" t="str">
        <f t="shared" si="112"/>
        <v/>
      </c>
      <c r="CC89" s="620" t="str">
        <f t="shared" si="113"/>
        <v/>
      </c>
      <c r="CD89" s="620" t="str">
        <f>IF(AND(E89&gt;0,OR(AQ89=""))," * No olvide digitar la variable Pueblos Originarios Mujeres. Digite Cero si no tiene.",IF(AQ89&gt;E89," * La variable Pueblos Originarios Mujeres no puede ser Mayor al Total Mujeres.",""))</f>
        <v/>
      </c>
      <c r="CE89" s="620" t="str">
        <f t="shared" si="115"/>
        <v/>
      </c>
      <c r="CF89" s="620" t="str">
        <f t="shared" si="116"/>
        <v/>
      </c>
      <c r="CG89" s="620" t="str">
        <f t="shared" si="117"/>
        <v/>
      </c>
      <c r="CH89" s="620" t="str">
        <f t="shared" si="118"/>
        <v/>
      </c>
      <c r="CI89" s="620" t="str">
        <f t="shared" si="119"/>
        <v/>
      </c>
      <c r="CJ89" s="620" t="str">
        <f t="shared" si="132"/>
        <v/>
      </c>
      <c r="CK89" s="620" t="str">
        <f t="shared" si="120"/>
        <v/>
      </c>
      <c r="CL89" s="470"/>
      <c r="CM89" s="470"/>
      <c r="CN89" s="501">
        <f t="shared" si="121"/>
        <v>0</v>
      </c>
      <c r="CO89" s="501">
        <f t="shared" si="122"/>
        <v>0</v>
      </c>
      <c r="CP89" s="501">
        <f t="shared" si="123"/>
        <v>0</v>
      </c>
      <c r="CQ89" s="501">
        <f t="shared" si="124"/>
        <v>0</v>
      </c>
      <c r="CR89" s="501">
        <f t="shared" si="125"/>
        <v>0</v>
      </c>
      <c r="CS89" s="501">
        <f t="shared" si="126"/>
        <v>0</v>
      </c>
      <c r="CT89" s="501">
        <f t="shared" si="127"/>
        <v>0</v>
      </c>
      <c r="CU89" s="501">
        <f t="shared" si="128"/>
        <v>0</v>
      </c>
      <c r="CV89" s="501">
        <f t="shared" si="129"/>
        <v>0</v>
      </c>
      <c r="CW89" s="501">
        <f t="shared" si="130"/>
        <v>0</v>
      </c>
      <c r="CX89" s="501">
        <f t="shared" si="131"/>
        <v>0</v>
      </c>
      <c r="DK89" s="470"/>
      <c r="DL89" s="470"/>
      <c r="DM89" s="470"/>
      <c r="DN89" s="470"/>
      <c r="DO89" s="470"/>
      <c r="DP89" s="470"/>
      <c r="DQ89" s="470"/>
      <c r="DR89" s="470"/>
      <c r="DS89" s="470"/>
      <c r="DT89" s="470"/>
    </row>
    <row r="90" spans="1:124" s="1168" customFormat="1" ht="15" customHeight="1" x14ac:dyDescent="0.25">
      <c r="A90" s="2339"/>
      <c r="B90" s="1343" t="s">
        <v>635</v>
      </c>
      <c r="C90" s="1117">
        <f>SUM(D90:E90)</f>
        <v>0</v>
      </c>
      <c r="D90" s="1147"/>
      <c r="E90" s="1267">
        <f>K90+M90+O90+Q90+S90+U90+W90+Y90+AA90+AC90</f>
        <v>0</v>
      </c>
      <c r="F90" s="1122"/>
      <c r="G90" s="1123"/>
      <c r="H90" s="1122"/>
      <c r="I90" s="1123"/>
      <c r="J90" s="1122"/>
      <c r="K90" s="1639"/>
      <c r="L90" s="1122"/>
      <c r="M90" s="1639"/>
      <c r="N90" s="1122"/>
      <c r="O90" s="1639"/>
      <c r="P90" s="1122"/>
      <c r="Q90" s="1639"/>
      <c r="R90" s="1122"/>
      <c r="S90" s="1639"/>
      <c r="T90" s="1122"/>
      <c r="U90" s="1639"/>
      <c r="V90" s="1122"/>
      <c r="W90" s="1639"/>
      <c r="X90" s="1122"/>
      <c r="Y90" s="1639"/>
      <c r="Z90" s="1122"/>
      <c r="AA90" s="1639"/>
      <c r="AB90" s="1122"/>
      <c r="AC90" s="1639"/>
      <c r="AD90" s="1122"/>
      <c r="AE90" s="1123"/>
      <c r="AF90" s="1122"/>
      <c r="AG90" s="1123"/>
      <c r="AH90" s="1122"/>
      <c r="AI90" s="1123"/>
      <c r="AJ90" s="1122"/>
      <c r="AK90" s="1123"/>
      <c r="AL90" s="1122"/>
      <c r="AM90" s="1344"/>
      <c r="AN90" s="1345"/>
      <c r="AO90" s="1642"/>
      <c r="AP90" s="1122"/>
      <c r="AQ90" s="1644"/>
      <c r="AR90" s="1147"/>
      <c r="AS90" s="1639"/>
      <c r="AT90" s="1639"/>
      <c r="AU90" s="1639"/>
      <c r="AV90" s="1639"/>
      <c r="AW90" s="1639"/>
      <c r="AX90" s="1639"/>
      <c r="AY90" s="1116" t="str">
        <f t="shared" si="110"/>
        <v/>
      </c>
      <c r="AZ90" s="1265"/>
      <c r="BA90" s="1265"/>
      <c r="BB90" s="1265"/>
      <c r="CA90" s="502"/>
      <c r="CB90" s="620" t="str">
        <f t="shared" si="112"/>
        <v/>
      </c>
      <c r="CC90" s="502"/>
      <c r="CD90" s="620" t="str">
        <f>IF(AND(E90&gt;0,OR(AQ90=""))," * No olvide digitar la variable Pueblos Originarios Mujeres. Digite Cero si no tiene.",IF(AQ90&gt;E90," * La variable Pueblos Originarios Mujeres no puede ser Mayor al Total Mujeres.",""))</f>
        <v/>
      </c>
      <c r="CE90" s="502"/>
      <c r="CF90" s="620" t="str">
        <f>IF(AND($E90&gt;0,OR(AS90=""))," * No olvide digitar la variable Migrantes Mujeres. Digite Cero si no tiene.",IF(AS90&gt;$E90," * La variable Migrantes Mujeres no puede ser Mayor al Total Mujeres.",""))</f>
        <v/>
      </c>
      <c r="CG90" s="620" t="str">
        <f t="shared" si="117"/>
        <v/>
      </c>
      <c r="CH90" s="620" t="str">
        <f t="shared" si="118"/>
        <v/>
      </c>
      <c r="CI90" s="620" t="str">
        <f>IF(AND(C90&gt;0,OR(AV90=""))," * No olvide digitar la variable Plan Cuidado Integral Elaborado. Digite Cero si no tiene.",IF($AV90&gt;$C90,"* La variable Plan Cuidado Integral Elaborado debe ser menor o igual al Total de Personas en control. ",""))</f>
        <v/>
      </c>
      <c r="CJ90" s="620" t="str">
        <f t="shared" si="132"/>
        <v/>
      </c>
      <c r="CK90" s="502"/>
      <c r="CL90" s="470"/>
      <c r="CM90" s="470"/>
      <c r="CN90" s="502"/>
      <c r="CO90" s="501">
        <f t="shared" si="122"/>
        <v>0</v>
      </c>
      <c r="CP90" s="502"/>
      <c r="CQ90" s="501">
        <f t="shared" si="124"/>
        <v>0</v>
      </c>
      <c r="CR90" s="502"/>
      <c r="CS90" s="501">
        <f t="shared" si="126"/>
        <v>0</v>
      </c>
      <c r="CT90" s="501">
        <f t="shared" si="127"/>
        <v>0</v>
      </c>
      <c r="CU90" s="501">
        <f t="shared" si="128"/>
        <v>0</v>
      </c>
      <c r="CV90" s="501">
        <f t="shared" si="129"/>
        <v>0</v>
      </c>
      <c r="CW90" s="501">
        <f t="shared" si="130"/>
        <v>0</v>
      </c>
      <c r="CX90" s="502"/>
      <c r="DK90" s="470"/>
      <c r="DL90" s="470"/>
      <c r="DM90" s="470"/>
      <c r="DN90" s="470"/>
      <c r="DO90" s="470"/>
      <c r="DP90" s="470"/>
      <c r="DQ90" s="470"/>
      <c r="DR90" s="470"/>
      <c r="DS90" s="470"/>
      <c r="DT90" s="470"/>
    </row>
    <row r="91" spans="1:124" s="1168" customFormat="1" ht="15" customHeight="1" x14ac:dyDescent="0.25">
      <c r="A91" s="2339"/>
      <c r="B91" s="1332" t="s">
        <v>636</v>
      </c>
      <c r="C91" s="1139">
        <f t="shared" ref="C91:C105" si="136">SUM(D91:E91)</f>
        <v>0</v>
      </c>
      <c r="D91" s="1133">
        <f t="shared" ref="D91:E98" si="137">+F91+H91+J91+L91+N91+P91+R91+T91+V91+X91+Z91+AB91+AD91+AF91+AH91+AJ91+AL91</f>
        <v>0</v>
      </c>
      <c r="E91" s="1251">
        <f t="shared" si="137"/>
        <v>0</v>
      </c>
      <c r="F91" s="1646"/>
      <c r="G91" s="1645"/>
      <c r="H91" s="1646"/>
      <c r="I91" s="1645"/>
      <c r="J91" s="1646"/>
      <c r="K91" s="1645"/>
      <c r="L91" s="1646"/>
      <c r="M91" s="1645"/>
      <c r="N91" s="1646"/>
      <c r="O91" s="1645"/>
      <c r="P91" s="1646"/>
      <c r="Q91" s="1645"/>
      <c r="R91" s="1646"/>
      <c r="S91" s="1645"/>
      <c r="T91" s="1646"/>
      <c r="U91" s="1645"/>
      <c r="V91" s="1646"/>
      <c r="W91" s="1645"/>
      <c r="X91" s="1646"/>
      <c r="Y91" s="1645"/>
      <c r="Z91" s="1646"/>
      <c r="AA91" s="1645"/>
      <c r="AB91" s="1646"/>
      <c r="AC91" s="1645"/>
      <c r="AD91" s="1646"/>
      <c r="AE91" s="1645"/>
      <c r="AF91" s="1646"/>
      <c r="AG91" s="1645"/>
      <c r="AH91" s="1646"/>
      <c r="AI91" s="1645"/>
      <c r="AJ91" s="1646"/>
      <c r="AK91" s="1645"/>
      <c r="AL91" s="1646"/>
      <c r="AM91" s="1676"/>
      <c r="AN91" s="1677"/>
      <c r="AO91" s="1649"/>
      <c r="AP91" s="1646"/>
      <c r="AQ91" s="1651"/>
      <c r="AR91" s="1650"/>
      <c r="AS91" s="1645"/>
      <c r="AT91" s="1645"/>
      <c r="AU91" s="1645"/>
      <c r="AV91" s="1645"/>
      <c r="AW91" s="1645"/>
      <c r="AX91" s="1645"/>
      <c r="AY91" s="1116" t="str">
        <f t="shared" si="110"/>
        <v/>
      </c>
      <c r="AZ91" s="1265"/>
      <c r="BA91" s="1265"/>
      <c r="BB91" s="1265"/>
      <c r="CA91" s="620" t="str">
        <f t="shared" ref="CA91:CA105" si="138">IF(AND(E91&gt;0,OR(AN91=""))," * No olvide digitar la variable Gestantes. Digite Cero si no tiene.",IF(AN91&gt;E91," * La variable Gestantes no puede ser Mayor al Total Mujeres.",""))</f>
        <v/>
      </c>
      <c r="CB91" s="620" t="str">
        <f t="shared" si="112"/>
        <v/>
      </c>
      <c r="CC91" s="620" t="str">
        <f t="shared" ref="CC91:CC105" si="139">IF(AND(D91&gt;0,OR(AP91=""))," * No olvide digitar la variable Pueblos Originarios Hombres. Digite Cero si no tiene.",IF(AP91&gt;D91," * La variable Pueblos Originarios Hombres no puede ser Mayor al Total Hombres.",""))</f>
        <v/>
      </c>
      <c r="CD91" s="620" t="str">
        <f t="shared" ref="CD91:CD120" si="140">IF(AND(E91&gt;0,OR(AQ91=""))," * No olvide digitar la variable Pueblos Originarios Mujeres. Digite Cero si no tiene.",IF(AQ91&gt;E91," * La variable Pueblos Originarios Mujeres no puede ser Mayor al Total Mujeres.",""))</f>
        <v/>
      </c>
      <c r="CE91" s="620" t="str">
        <f t="shared" ref="CE91:CE120" si="141">IF(AND($D91&gt;0,OR(AR91=""))," * No olvide digitar la variable Migrantes Hombres. Digite Cero si no tiene.",IF(AR91&gt;$D91," * La variable Migrantes Hombres no puede ser Mayor al Total Hombres.",""))</f>
        <v/>
      </c>
      <c r="CF91" s="620" t="str">
        <f t="shared" ref="CF91:CF120" si="142">IF(AND($E91&gt;0,OR(AS91=""))," * No olvide digitar la variable Migrantes Mujeres. Digite Cero si no tiene.",IF(AS91&gt;$E91," * La variable Migrantes Mujeres no puede ser Mayor al Total Mujeres.",""))</f>
        <v/>
      </c>
      <c r="CG91" s="620" t="str">
        <f t="shared" si="117"/>
        <v/>
      </c>
      <c r="CH91" s="620" t="str">
        <f t="shared" si="118"/>
        <v/>
      </c>
      <c r="CI91" s="620" t="str">
        <f t="shared" ref="CI91:CI120" si="143">IF(AND(C91&gt;0,OR(AV91=""))," * No olvide digitar la variable Plan Cuidado Integral Elaborado. Digite Cero si no tiene.",IF($AV91&gt;$C91,"* La variable Plan Cuidado Integral Elaborado debe ser menor o igual al Total de Personas en control. ",""))</f>
        <v/>
      </c>
      <c r="CJ91" s="620" t="str">
        <f t="shared" si="132"/>
        <v/>
      </c>
      <c r="CK91" s="620" t="str">
        <f t="shared" ref="CK91:CK120" si="144">IF(AND(D91&gt;0,OR(AX91=""))," * No olvide digitar la variable Trans Femenino. (Digite Cero si no tiene).",IF(AX91&gt;D91," * La variable Trans Femenino no debe ser mayor al Total Hombre.",""))</f>
        <v/>
      </c>
      <c r="CL91" s="470"/>
      <c r="CM91" s="470"/>
      <c r="CN91" s="501">
        <f t="shared" ref="CN91:CN105" si="145">IF(AND($E91&gt;0,OR(AN91="")),1,IF(AN91&gt;$E91,1,0))</f>
        <v>0</v>
      </c>
      <c r="CO91" s="501">
        <f t="shared" si="122"/>
        <v>0</v>
      </c>
      <c r="CP91" s="501">
        <f t="shared" ref="CP91:CP97" si="146">IF(AND($D91&gt;0,OR(AP91="")),1,IF(AP91&gt;$D91,1,0))</f>
        <v>0</v>
      </c>
      <c r="CQ91" s="501">
        <f t="shared" si="124"/>
        <v>0</v>
      </c>
      <c r="CR91" s="501">
        <f t="shared" ref="CR91:CR96" si="147">IF(AND($D91&gt;0,OR(AR91="")),1,IF(AR91&gt;$D91,1,0))</f>
        <v>0</v>
      </c>
      <c r="CS91" s="501">
        <f t="shared" si="126"/>
        <v>0</v>
      </c>
      <c r="CT91" s="501">
        <f t="shared" si="127"/>
        <v>0</v>
      </c>
      <c r="CU91" s="501">
        <f t="shared" si="128"/>
        <v>0</v>
      </c>
      <c r="CV91" s="501">
        <f t="shared" si="129"/>
        <v>0</v>
      </c>
      <c r="CW91" s="501">
        <f t="shared" si="130"/>
        <v>0</v>
      </c>
      <c r="CX91" s="501">
        <f t="shared" ref="CX91:CX120" si="148">IF(AND(D91&gt;0,OR(AX91="")),1,IF(AX91&gt;$D91,1,0))</f>
        <v>0</v>
      </c>
      <c r="DK91" s="470"/>
      <c r="DL91" s="470"/>
      <c r="DM91" s="470"/>
      <c r="DN91" s="470"/>
      <c r="DO91" s="470"/>
      <c r="DP91" s="470"/>
      <c r="DQ91" s="470"/>
      <c r="DR91" s="470"/>
      <c r="DS91" s="470"/>
      <c r="DT91" s="470"/>
    </row>
    <row r="92" spans="1:124" s="1168" customFormat="1" ht="15" customHeight="1" x14ac:dyDescent="0.25">
      <c r="A92" s="2339" t="s">
        <v>683</v>
      </c>
      <c r="B92" s="1346" t="s">
        <v>638</v>
      </c>
      <c r="C92" s="1110">
        <f t="shared" si="136"/>
        <v>0</v>
      </c>
      <c r="D92" s="1111">
        <f t="shared" si="137"/>
        <v>0</v>
      </c>
      <c r="E92" s="1262">
        <f t="shared" si="137"/>
        <v>0</v>
      </c>
      <c r="F92" s="1609"/>
      <c r="G92" s="1610"/>
      <c r="H92" s="1609"/>
      <c r="I92" s="1610"/>
      <c r="J92" s="1609"/>
      <c r="K92" s="1610"/>
      <c r="L92" s="1609"/>
      <c r="M92" s="1610"/>
      <c r="N92" s="1609"/>
      <c r="O92" s="1610"/>
      <c r="P92" s="1609"/>
      <c r="Q92" s="1610"/>
      <c r="R92" s="1609"/>
      <c r="S92" s="1610"/>
      <c r="T92" s="1609"/>
      <c r="U92" s="1610"/>
      <c r="V92" s="1609"/>
      <c r="W92" s="1610"/>
      <c r="X92" s="1609"/>
      <c r="Y92" s="1610"/>
      <c r="Z92" s="1609"/>
      <c r="AA92" s="1610"/>
      <c r="AB92" s="1609"/>
      <c r="AC92" s="1610"/>
      <c r="AD92" s="1609"/>
      <c r="AE92" s="1610"/>
      <c r="AF92" s="1609"/>
      <c r="AG92" s="1610"/>
      <c r="AH92" s="1609"/>
      <c r="AI92" s="1610"/>
      <c r="AJ92" s="1609"/>
      <c r="AK92" s="1610"/>
      <c r="AL92" s="1609"/>
      <c r="AM92" s="1678"/>
      <c r="AN92" s="1679"/>
      <c r="AO92" s="1613"/>
      <c r="AP92" s="1609"/>
      <c r="AQ92" s="1615"/>
      <c r="AR92" s="1614"/>
      <c r="AS92" s="1610"/>
      <c r="AT92" s="1610"/>
      <c r="AU92" s="1610"/>
      <c r="AV92" s="1610"/>
      <c r="AW92" s="1610"/>
      <c r="AX92" s="1610"/>
      <c r="AY92" s="1116" t="str">
        <f t="shared" si="110"/>
        <v/>
      </c>
      <c r="AZ92" s="1265"/>
      <c r="BA92" s="1265"/>
      <c r="BB92" s="1265"/>
      <c r="CA92" s="620" t="str">
        <f t="shared" si="138"/>
        <v/>
      </c>
      <c r="CB92" s="620" t="str">
        <f t="shared" si="112"/>
        <v/>
      </c>
      <c r="CC92" s="620" t="str">
        <f t="shared" si="139"/>
        <v/>
      </c>
      <c r="CD92" s="620" t="str">
        <f t="shared" si="140"/>
        <v/>
      </c>
      <c r="CE92" s="620" t="str">
        <f t="shared" si="141"/>
        <v/>
      </c>
      <c r="CF92" s="620" t="str">
        <f t="shared" si="142"/>
        <v/>
      </c>
      <c r="CG92" s="620" t="str">
        <f t="shared" si="117"/>
        <v/>
      </c>
      <c r="CH92" s="620" t="str">
        <f t="shared" si="118"/>
        <v/>
      </c>
      <c r="CI92" s="620" t="str">
        <f t="shared" si="143"/>
        <v/>
      </c>
      <c r="CJ92" s="620" t="str">
        <f t="shared" si="132"/>
        <v/>
      </c>
      <c r="CK92" s="620" t="str">
        <f t="shared" si="144"/>
        <v/>
      </c>
      <c r="CL92" s="470"/>
      <c r="CM92" s="470"/>
      <c r="CN92" s="501">
        <f t="shared" si="145"/>
        <v>0</v>
      </c>
      <c r="CO92" s="501">
        <f t="shared" si="122"/>
        <v>0</v>
      </c>
      <c r="CP92" s="501">
        <f t="shared" si="146"/>
        <v>0</v>
      </c>
      <c r="CQ92" s="501">
        <f t="shared" si="124"/>
        <v>0</v>
      </c>
      <c r="CR92" s="501">
        <f t="shared" si="147"/>
        <v>0</v>
      </c>
      <c r="CS92" s="501">
        <f t="shared" si="126"/>
        <v>0</v>
      </c>
      <c r="CT92" s="501">
        <f t="shared" si="127"/>
        <v>0</v>
      </c>
      <c r="CU92" s="501">
        <f t="shared" si="128"/>
        <v>0</v>
      </c>
      <c r="CV92" s="501">
        <f t="shared" si="129"/>
        <v>0</v>
      </c>
      <c r="CW92" s="501">
        <f t="shared" si="130"/>
        <v>0</v>
      </c>
      <c r="CX92" s="501">
        <f t="shared" si="148"/>
        <v>0</v>
      </c>
      <c r="DK92" s="470"/>
      <c r="DL92" s="470"/>
      <c r="DM92" s="470"/>
      <c r="DN92" s="470"/>
      <c r="DO92" s="470"/>
      <c r="DP92" s="470"/>
      <c r="DQ92" s="470"/>
      <c r="DR92" s="470"/>
      <c r="DS92" s="470"/>
      <c r="DT92" s="470"/>
    </row>
    <row r="93" spans="1:124" s="1168" customFormat="1" ht="15" customHeight="1" x14ac:dyDescent="0.25">
      <c r="A93" s="2339"/>
      <c r="B93" s="1281" t="s">
        <v>639</v>
      </c>
      <c r="C93" s="1144">
        <f t="shared" si="136"/>
        <v>0</v>
      </c>
      <c r="D93" s="1118">
        <f t="shared" si="137"/>
        <v>0</v>
      </c>
      <c r="E93" s="1267">
        <f t="shared" si="137"/>
        <v>0</v>
      </c>
      <c r="F93" s="1638"/>
      <c r="G93" s="1639"/>
      <c r="H93" s="1638"/>
      <c r="I93" s="1639"/>
      <c r="J93" s="1638"/>
      <c r="K93" s="1639"/>
      <c r="L93" s="1638"/>
      <c r="M93" s="1639"/>
      <c r="N93" s="1638"/>
      <c r="O93" s="1639"/>
      <c r="P93" s="1638"/>
      <c r="Q93" s="1639"/>
      <c r="R93" s="1638"/>
      <c r="S93" s="1639"/>
      <c r="T93" s="1638"/>
      <c r="U93" s="1639"/>
      <c r="V93" s="1638"/>
      <c r="W93" s="1639"/>
      <c r="X93" s="1638"/>
      <c r="Y93" s="1639"/>
      <c r="Z93" s="1638"/>
      <c r="AA93" s="1639"/>
      <c r="AB93" s="1638"/>
      <c r="AC93" s="1639"/>
      <c r="AD93" s="1638"/>
      <c r="AE93" s="1639"/>
      <c r="AF93" s="1638"/>
      <c r="AG93" s="1639"/>
      <c r="AH93" s="1638"/>
      <c r="AI93" s="1639"/>
      <c r="AJ93" s="1638"/>
      <c r="AK93" s="1639"/>
      <c r="AL93" s="1638"/>
      <c r="AM93" s="1680"/>
      <c r="AN93" s="1672"/>
      <c r="AO93" s="1642"/>
      <c r="AP93" s="1638"/>
      <c r="AQ93" s="1644"/>
      <c r="AR93" s="1643"/>
      <c r="AS93" s="1639"/>
      <c r="AT93" s="1639"/>
      <c r="AU93" s="1639"/>
      <c r="AV93" s="1639"/>
      <c r="AW93" s="1639"/>
      <c r="AX93" s="1639"/>
      <c r="AY93" s="1116" t="str">
        <f t="shared" si="110"/>
        <v/>
      </c>
      <c r="AZ93" s="1265"/>
      <c r="BA93" s="1265"/>
      <c r="BB93" s="1265"/>
      <c r="CA93" s="620" t="str">
        <f t="shared" si="138"/>
        <v/>
      </c>
      <c r="CB93" s="620" t="str">
        <f t="shared" si="112"/>
        <v/>
      </c>
      <c r="CC93" s="620" t="str">
        <f t="shared" si="139"/>
        <v/>
      </c>
      <c r="CD93" s="620" t="str">
        <f t="shared" si="140"/>
        <v/>
      </c>
      <c r="CE93" s="620" t="str">
        <f t="shared" si="141"/>
        <v/>
      </c>
      <c r="CF93" s="620" t="str">
        <f t="shared" si="142"/>
        <v/>
      </c>
      <c r="CG93" s="620" t="str">
        <f t="shared" si="117"/>
        <v/>
      </c>
      <c r="CH93" s="620" t="str">
        <f t="shared" si="118"/>
        <v/>
      </c>
      <c r="CI93" s="620" t="str">
        <f t="shared" si="143"/>
        <v/>
      </c>
      <c r="CJ93" s="620" t="str">
        <f t="shared" si="132"/>
        <v/>
      </c>
      <c r="CK93" s="620" t="str">
        <f t="shared" si="144"/>
        <v/>
      </c>
      <c r="CL93" s="470"/>
      <c r="CM93" s="470"/>
      <c r="CN93" s="501">
        <f t="shared" si="145"/>
        <v>0</v>
      </c>
      <c r="CO93" s="501">
        <f t="shared" si="122"/>
        <v>0</v>
      </c>
      <c r="CP93" s="501">
        <f t="shared" si="146"/>
        <v>0</v>
      </c>
      <c r="CQ93" s="501">
        <f t="shared" si="124"/>
        <v>0</v>
      </c>
      <c r="CR93" s="501">
        <f t="shared" si="147"/>
        <v>0</v>
      </c>
      <c r="CS93" s="501">
        <f t="shared" si="126"/>
        <v>0</v>
      </c>
      <c r="CT93" s="501">
        <f t="shared" si="127"/>
        <v>0</v>
      </c>
      <c r="CU93" s="501">
        <f t="shared" si="128"/>
        <v>0</v>
      </c>
      <c r="CV93" s="501">
        <f t="shared" si="129"/>
        <v>0</v>
      </c>
      <c r="CW93" s="501">
        <f t="shared" si="130"/>
        <v>0</v>
      </c>
      <c r="CX93" s="501">
        <f t="shared" si="148"/>
        <v>0</v>
      </c>
      <c r="DK93" s="470"/>
      <c r="DL93" s="470"/>
      <c r="DM93" s="470"/>
      <c r="DN93" s="470"/>
      <c r="DO93" s="470"/>
      <c r="DP93" s="470"/>
      <c r="DQ93" s="470"/>
      <c r="DR93" s="470"/>
      <c r="DS93" s="470"/>
      <c r="DT93" s="470"/>
    </row>
    <row r="94" spans="1:124" s="1168" customFormat="1" ht="15" customHeight="1" x14ac:dyDescent="0.25">
      <c r="A94" s="2339"/>
      <c r="B94" s="1347" t="s">
        <v>640</v>
      </c>
      <c r="C94" s="1270">
        <f t="shared" si="136"/>
        <v>0</v>
      </c>
      <c r="D94" s="1127">
        <f>+F94+H94+J94+L94+N94+P94+R94+T94+V94+X94+Z94+AB94+AD94+AF94+AH94+AJ94+AL94</f>
        <v>0</v>
      </c>
      <c r="E94" s="1271">
        <f t="shared" si="137"/>
        <v>0</v>
      </c>
      <c r="F94" s="1646"/>
      <c r="G94" s="1645"/>
      <c r="H94" s="1646"/>
      <c r="I94" s="1645"/>
      <c r="J94" s="1646"/>
      <c r="K94" s="1645"/>
      <c r="L94" s="1646"/>
      <c r="M94" s="1645"/>
      <c r="N94" s="1646"/>
      <c r="O94" s="1645"/>
      <c r="P94" s="1646"/>
      <c r="Q94" s="1645"/>
      <c r="R94" s="1646"/>
      <c r="S94" s="1645"/>
      <c r="T94" s="1646"/>
      <c r="U94" s="1645"/>
      <c r="V94" s="1646"/>
      <c r="W94" s="1645"/>
      <c r="X94" s="1646"/>
      <c r="Y94" s="1645"/>
      <c r="Z94" s="1646"/>
      <c r="AA94" s="1645"/>
      <c r="AB94" s="1646"/>
      <c r="AC94" s="1645"/>
      <c r="AD94" s="1646"/>
      <c r="AE94" s="1645"/>
      <c r="AF94" s="1646"/>
      <c r="AG94" s="1645"/>
      <c r="AH94" s="1646"/>
      <c r="AI94" s="1645"/>
      <c r="AJ94" s="1646"/>
      <c r="AK94" s="1645"/>
      <c r="AL94" s="1646"/>
      <c r="AM94" s="1676"/>
      <c r="AN94" s="1677"/>
      <c r="AO94" s="1649"/>
      <c r="AP94" s="1646"/>
      <c r="AQ94" s="1651"/>
      <c r="AR94" s="1650"/>
      <c r="AS94" s="1645"/>
      <c r="AT94" s="1645"/>
      <c r="AU94" s="1645"/>
      <c r="AV94" s="1645"/>
      <c r="AW94" s="1645"/>
      <c r="AX94" s="1645"/>
      <c r="AY94" s="1116" t="str">
        <f t="shared" si="110"/>
        <v/>
      </c>
      <c r="AZ94" s="1265"/>
      <c r="BA94" s="1265"/>
      <c r="BB94" s="1265"/>
      <c r="CA94" s="620" t="str">
        <f t="shared" si="138"/>
        <v/>
      </c>
      <c r="CB94" s="620" t="str">
        <f t="shared" si="112"/>
        <v/>
      </c>
      <c r="CC94" s="620" t="str">
        <f t="shared" si="139"/>
        <v/>
      </c>
      <c r="CD94" s="620" t="str">
        <f t="shared" si="140"/>
        <v/>
      </c>
      <c r="CE94" s="620" t="str">
        <f t="shared" si="141"/>
        <v/>
      </c>
      <c r="CF94" s="620" t="str">
        <f t="shared" si="142"/>
        <v/>
      </c>
      <c r="CG94" s="620" t="str">
        <f t="shared" si="117"/>
        <v/>
      </c>
      <c r="CH94" s="620" t="str">
        <f t="shared" si="118"/>
        <v/>
      </c>
      <c r="CI94" s="620" t="str">
        <f t="shared" si="143"/>
        <v/>
      </c>
      <c r="CJ94" s="620" t="str">
        <f t="shared" si="132"/>
        <v/>
      </c>
      <c r="CK94" s="620" t="str">
        <f t="shared" si="144"/>
        <v/>
      </c>
      <c r="CL94" s="470"/>
      <c r="CM94" s="470"/>
      <c r="CN94" s="501">
        <f t="shared" si="145"/>
        <v>0</v>
      </c>
      <c r="CO94" s="501">
        <f t="shared" si="122"/>
        <v>0</v>
      </c>
      <c r="CP94" s="501">
        <f t="shared" si="146"/>
        <v>0</v>
      </c>
      <c r="CQ94" s="501">
        <f t="shared" si="124"/>
        <v>0</v>
      </c>
      <c r="CR94" s="501">
        <f t="shared" si="147"/>
        <v>0</v>
      </c>
      <c r="CS94" s="501">
        <f t="shared" si="126"/>
        <v>0</v>
      </c>
      <c r="CT94" s="501">
        <f t="shared" si="127"/>
        <v>0</v>
      </c>
      <c r="CU94" s="501">
        <f t="shared" si="128"/>
        <v>0</v>
      </c>
      <c r="CV94" s="501">
        <f t="shared" si="129"/>
        <v>0</v>
      </c>
      <c r="CW94" s="501">
        <f t="shared" si="130"/>
        <v>0</v>
      </c>
      <c r="CX94" s="501">
        <f t="shared" si="148"/>
        <v>0</v>
      </c>
      <c r="DK94" s="470"/>
      <c r="DL94" s="470"/>
      <c r="DM94" s="470"/>
      <c r="DN94" s="470"/>
      <c r="DO94" s="470"/>
      <c r="DP94" s="470"/>
      <c r="DQ94" s="470"/>
      <c r="DR94" s="470"/>
      <c r="DS94" s="470"/>
      <c r="DT94" s="470"/>
    </row>
    <row r="95" spans="1:124" s="1168" customFormat="1" ht="15" customHeight="1" x14ac:dyDescent="0.25">
      <c r="A95" s="2339"/>
      <c r="B95" s="1347" t="s">
        <v>641</v>
      </c>
      <c r="C95" s="1270">
        <f t="shared" si="136"/>
        <v>0</v>
      </c>
      <c r="D95" s="1127">
        <f t="shared" si="137"/>
        <v>0</v>
      </c>
      <c r="E95" s="1271">
        <f t="shared" si="137"/>
        <v>0</v>
      </c>
      <c r="F95" s="1646"/>
      <c r="G95" s="1645"/>
      <c r="H95" s="1646"/>
      <c r="I95" s="1645"/>
      <c r="J95" s="1646"/>
      <c r="K95" s="1645"/>
      <c r="L95" s="1646"/>
      <c r="M95" s="1645"/>
      <c r="N95" s="1646"/>
      <c r="O95" s="1645"/>
      <c r="P95" s="1646"/>
      <c r="Q95" s="1645"/>
      <c r="R95" s="1646"/>
      <c r="S95" s="1645"/>
      <c r="T95" s="1646"/>
      <c r="U95" s="1645"/>
      <c r="V95" s="1646"/>
      <c r="W95" s="1645"/>
      <c r="X95" s="1646"/>
      <c r="Y95" s="1645"/>
      <c r="Z95" s="1646"/>
      <c r="AA95" s="1645"/>
      <c r="AB95" s="1646"/>
      <c r="AC95" s="1645"/>
      <c r="AD95" s="1646"/>
      <c r="AE95" s="1645"/>
      <c r="AF95" s="1646"/>
      <c r="AG95" s="1645"/>
      <c r="AH95" s="1646"/>
      <c r="AI95" s="1645"/>
      <c r="AJ95" s="1646"/>
      <c r="AK95" s="1645"/>
      <c r="AL95" s="1646"/>
      <c r="AM95" s="1676"/>
      <c r="AN95" s="1677"/>
      <c r="AO95" s="1649"/>
      <c r="AP95" s="1646"/>
      <c r="AQ95" s="1651"/>
      <c r="AR95" s="1650"/>
      <c r="AS95" s="1645"/>
      <c r="AT95" s="1645"/>
      <c r="AU95" s="1645"/>
      <c r="AV95" s="1645"/>
      <c r="AW95" s="1645"/>
      <c r="AX95" s="1645"/>
      <c r="AY95" s="1116" t="str">
        <f t="shared" si="110"/>
        <v/>
      </c>
      <c r="AZ95" s="1265"/>
      <c r="BA95" s="1265"/>
      <c r="BB95" s="1265"/>
      <c r="CA95" s="620" t="str">
        <f t="shared" si="138"/>
        <v/>
      </c>
      <c r="CB95" s="620" t="str">
        <f t="shared" si="112"/>
        <v/>
      </c>
      <c r="CC95" s="620" t="str">
        <f t="shared" si="139"/>
        <v/>
      </c>
      <c r="CD95" s="620" t="str">
        <f t="shared" si="140"/>
        <v/>
      </c>
      <c r="CE95" s="620" t="str">
        <f t="shared" si="141"/>
        <v/>
      </c>
      <c r="CF95" s="620" t="str">
        <f t="shared" si="142"/>
        <v/>
      </c>
      <c r="CG95" s="620" t="str">
        <f t="shared" si="117"/>
        <v/>
      </c>
      <c r="CH95" s="620" t="str">
        <f t="shared" si="118"/>
        <v/>
      </c>
      <c r="CI95" s="620" t="str">
        <f t="shared" si="143"/>
        <v/>
      </c>
      <c r="CJ95" s="620" t="str">
        <f t="shared" si="132"/>
        <v/>
      </c>
      <c r="CK95" s="620" t="str">
        <f t="shared" si="144"/>
        <v/>
      </c>
      <c r="CL95" s="470"/>
      <c r="CM95" s="470"/>
      <c r="CN95" s="501">
        <f t="shared" si="145"/>
        <v>0</v>
      </c>
      <c r="CO95" s="501">
        <f t="shared" si="122"/>
        <v>0</v>
      </c>
      <c r="CP95" s="501">
        <f t="shared" si="146"/>
        <v>0</v>
      </c>
      <c r="CQ95" s="501">
        <f t="shared" si="124"/>
        <v>0</v>
      </c>
      <c r="CR95" s="501">
        <f t="shared" si="147"/>
        <v>0</v>
      </c>
      <c r="CS95" s="501">
        <f t="shared" si="126"/>
        <v>0</v>
      </c>
      <c r="CT95" s="501">
        <f t="shared" si="127"/>
        <v>0</v>
      </c>
      <c r="CU95" s="501">
        <f t="shared" si="128"/>
        <v>0</v>
      </c>
      <c r="CV95" s="501">
        <f t="shared" si="129"/>
        <v>0</v>
      </c>
      <c r="CW95" s="501">
        <f t="shared" si="130"/>
        <v>0</v>
      </c>
      <c r="CX95" s="501">
        <f t="shared" si="148"/>
        <v>0</v>
      </c>
      <c r="DK95" s="470"/>
      <c r="DL95" s="470"/>
      <c r="DM95" s="470"/>
      <c r="DN95" s="470"/>
      <c r="DO95" s="470"/>
      <c r="DP95" s="470"/>
      <c r="DQ95" s="470"/>
      <c r="DR95" s="470"/>
      <c r="DS95" s="470"/>
      <c r="DT95" s="470"/>
    </row>
    <row r="96" spans="1:124" s="1168" customFormat="1" ht="15" customHeight="1" x14ac:dyDescent="0.25">
      <c r="A96" s="2339"/>
      <c r="B96" s="1348" t="s">
        <v>642</v>
      </c>
      <c r="C96" s="1270">
        <f t="shared" si="136"/>
        <v>0</v>
      </c>
      <c r="D96" s="1127">
        <f t="shared" si="137"/>
        <v>0</v>
      </c>
      <c r="E96" s="1271">
        <f t="shared" si="137"/>
        <v>0</v>
      </c>
      <c r="F96" s="1623"/>
      <c r="G96" s="1624"/>
      <c r="H96" s="1623"/>
      <c r="I96" s="1624"/>
      <c r="J96" s="1623"/>
      <c r="K96" s="1624"/>
      <c r="L96" s="1623"/>
      <c r="M96" s="1624"/>
      <c r="N96" s="1623"/>
      <c r="O96" s="1624"/>
      <c r="P96" s="1623"/>
      <c r="Q96" s="1624"/>
      <c r="R96" s="1623"/>
      <c r="S96" s="1624"/>
      <c r="T96" s="1623"/>
      <c r="U96" s="1624"/>
      <c r="V96" s="1623"/>
      <c r="W96" s="1624"/>
      <c r="X96" s="1623"/>
      <c r="Y96" s="1624"/>
      <c r="Z96" s="1623"/>
      <c r="AA96" s="1624"/>
      <c r="AB96" s="1623"/>
      <c r="AC96" s="1624"/>
      <c r="AD96" s="1623"/>
      <c r="AE96" s="1624"/>
      <c r="AF96" s="1623"/>
      <c r="AG96" s="1624"/>
      <c r="AH96" s="1623"/>
      <c r="AI96" s="1624"/>
      <c r="AJ96" s="1623"/>
      <c r="AK96" s="1624"/>
      <c r="AL96" s="1623"/>
      <c r="AM96" s="1681"/>
      <c r="AN96" s="1673"/>
      <c r="AO96" s="1627"/>
      <c r="AP96" s="1623"/>
      <c r="AQ96" s="1629"/>
      <c r="AR96" s="1628"/>
      <c r="AS96" s="1624"/>
      <c r="AT96" s="1624"/>
      <c r="AU96" s="1624"/>
      <c r="AV96" s="1624"/>
      <c r="AW96" s="1624"/>
      <c r="AX96" s="1624"/>
      <c r="AY96" s="1116" t="str">
        <f t="shared" si="110"/>
        <v/>
      </c>
      <c r="AZ96" s="1265"/>
      <c r="BA96" s="1265"/>
      <c r="BB96" s="1265"/>
      <c r="CA96" s="620" t="str">
        <f t="shared" si="138"/>
        <v/>
      </c>
      <c r="CB96" s="620" t="str">
        <f t="shared" si="112"/>
        <v/>
      </c>
      <c r="CC96" s="620" t="str">
        <f t="shared" si="139"/>
        <v/>
      </c>
      <c r="CD96" s="620" t="str">
        <f t="shared" si="140"/>
        <v/>
      </c>
      <c r="CE96" s="620" t="str">
        <f t="shared" si="141"/>
        <v/>
      </c>
      <c r="CF96" s="620" t="str">
        <f t="shared" si="142"/>
        <v/>
      </c>
      <c r="CG96" s="620" t="str">
        <f t="shared" si="117"/>
        <v/>
      </c>
      <c r="CH96" s="620" t="str">
        <f t="shared" si="118"/>
        <v/>
      </c>
      <c r="CI96" s="620" t="str">
        <f t="shared" si="143"/>
        <v/>
      </c>
      <c r="CJ96" s="620" t="str">
        <f t="shared" si="132"/>
        <v/>
      </c>
      <c r="CK96" s="620" t="str">
        <f t="shared" si="144"/>
        <v/>
      </c>
      <c r="CL96" s="470"/>
      <c r="CM96" s="470"/>
      <c r="CN96" s="501">
        <f t="shared" si="145"/>
        <v>0</v>
      </c>
      <c r="CO96" s="501">
        <f t="shared" si="122"/>
        <v>0</v>
      </c>
      <c r="CP96" s="501">
        <f t="shared" si="146"/>
        <v>0</v>
      </c>
      <c r="CQ96" s="501">
        <f t="shared" si="124"/>
        <v>0</v>
      </c>
      <c r="CR96" s="501">
        <f t="shared" si="147"/>
        <v>0</v>
      </c>
      <c r="CS96" s="501">
        <f t="shared" si="126"/>
        <v>0</v>
      </c>
      <c r="CT96" s="501">
        <f t="shared" si="127"/>
        <v>0</v>
      </c>
      <c r="CU96" s="501">
        <f t="shared" si="128"/>
        <v>0</v>
      </c>
      <c r="CV96" s="501">
        <f t="shared" si="129"/>
        <v>0</v>
      </c>
      <c r="CW96" s="501">
        <f t="shared" si="130"/>
        <v>0</v>
      </c>
      <c r="CX96" s="501">
        <f t="shared" si="148"/>
        <v>0</v>
      </c>
      <c r="DK96" s="470"/>
      <c r="DL96" s="470"/>
      <c r="DM96" s="470"/>
      <c r="DN96" s="470"/>
      <c r="DO96" s="470"/>
      <c r="DP96" s="470"/>
      <c r="DQ96" s="470"/>
      <c r="DR96" s="470"/>
      <c r="DS96" s="470"/>
      <c r="DT96" s="470"/>
    </row>
    <row r="97" spans="1:124" s="1168" customFormat="1" ht="15" customHeight="1" x14ac:dyDescent="0.25">
      <c r="A97" s="2334" t="s">
        <v>643</v>
      </c>
      <c r="B97" s="1349" t="s">
        <v>644</v>
      </c>
      <c r="C97" s="1110">
        <f t="shared" si="136"/>
        <v>0</v>
      </c>
      <c r="D97" s="1111">
        <f t="shared" si="137"/>
        <v>0</v>
      </c>
      <c r="E97" s="1262">
        <f t="shared" si="137"/>
        <v>0</v>
      </c>
      <c r="F97" s="1616"/>
      <c r="G97" s="1617"/>
      <c r="H97" s="1616"/>
      <c r="I97" s="1617"/>
      <c r="J97" s="1609"/>
      <c r="K97" s="1610"/>
      <c r="L97" s="1609"/>
      <c r="M97" s="1610"/>
      <c r="N97" s="1609"/>
      <c r="O97" s="1610"/>
      <c r="P97" s="1609"/>
      <c r="Q97" s="1610"/>
      <c r="R97" s="1609"/>
      <c r="S97" s="1610"/>
      <c r="T97" s="1609"/>
      <c r="U97" s="1610"/>
      <c r="V97" s="1609"/>
      <c r="W97" s="1610"/>
      <c r="X97" s="1609"/>
      <c r="Y97" s="1610"/>
      <c r="Z97" s="1609"/>
      <c r="AA97" s="1610"/>
      <c r="AB97" s="1609"/>
      <c r="AC97" s="1610"/>
      <c r="AD97" s="1609"/>
      <c r="AE97" s="1610"/>
      <c r="AF97" s="1609"/>
      <c r="AG97" s="1610"/>
      <c r="AH97" s="1609"/>
      <c r="AI97" s="1610"/>
      <c r="AJ97" s="1609"/>
      <c r="AK97" s="1610"/>
      <c r="AL97" s="1616"/>
      <c r="AM97" s="1682"/>
      <c r="AN97" s="1679"/>
      <c r="AO97" s="1350"/>
      <c r="AP97" s="1616"/>
      <c r="AQ97" s="1622"/>
      <c r="AR97" s="1609"/>
      <c r="AS97" s="1622"/>
      <c r="AT97" s="1620"/>
      <c r="AU97" s="1620"/>
      <c r="AV97" s="1620"/>
      <c r="AW97" s="1620"/>
      <c r="AX97" s="1620"/>
      <c r="AY97" s="1116" t="str">
        <f t="shared" si="110"/>
        <v/>
      </c>
      <c r="AZ97" s="1265"/>
      <c r="BA97" s="1265"/>
      <c r="BB97" s="1265"/>
      <c r="CA97" s="620" t="str">
        <f t="shared" si="138"/>
        <v/>
      </c>
      <c r="CB97" s="502"/>
      <c r="CC97" s="620" t="str">
        <f t="shared" si="139"/>
        <v/>
      </c>
      <c r="CD97" s="620" t="str">
        <f t="shared" si="140"/>
        <v/>
      </c>
      <c r="CE97" s="620" t="str">
        <f t="shared" si="141"/>
        <v/>
      </c>
      <c r="CF97" s="620" t="str">
        <f t="shared" si="142"/>
        <v/>
      </c>
      <c r="CG97" s="620" t="str">
        <f t="shared" si="117"/>
        <v/>
      </c>
      <c r="CH97" s="620" t="str">
        <f t="shared" si="118"/>
        <v/>
      </c>
      <c r="CI97" s="620" t="str">
        <f t="shared" si="143"/>
        <v/>
      </c>
      <c r="CJ97" s="620" t="str">
        <f t="shared" si="132"/>
        <v/>
      </c>
      <c r="CK97" s="620" t="str">
        <f t="shared" si="144"/>
        <v/>
      </c>
      <c r="CL97" s="470"/>
      <c r="CM97" s="470"/>
      <c r="CN97" s="501">
        <f t="shared" si="145"/>
        <v>0</v>
      </c>
      <c r="CO97" s="502"/>
      <c r="CP97" s="501">
        <f t="shared" si="146"/>
        <v>0</v>
      </c>
      <c r="CQ97" s="501">
        <f t="shared" ref="CQ97:CQ100" si="149">IF(AND($E97&gt;0,OR(AQ97="")),1,IF(AQ97&gt;$E97,1,0))</f>
        <v>0</v>
      </c>
      <c r="CR97" s="501">
        <f t="shared" ref="CR97:CR100" si="150">IF(AND($D97&gt;0,OR(AR97="")),1,IF(AR97&gt;$D97,1,0))</f>
        <v>0</v>
      </c>
      <c r="CS97" s="501">
        <f t="shared" ref="CS97:CS100" si="151">IF(AND($E97&gt;0,OR(AS97="")),1,IF(AS97&gt;$E97,1,0))</f>
        <v>0</v>
      </c>
      <c r="CT97" s="501">
        <f t="shared" ref="CT97:CT100" si="152">IF(AND($C97&gt;0,OR(AT97="")),1,IF(AT97&gt;$C97,1,0))</f>
        <v>0</v>
      </c>
      <c r="CU97" s="501">
        <f t="shared" ref="CU97:CU100" si="153">IF(AND($C97&gt;0,OR(AU97="")),1,IF(AU97&gt;$C97,1,0))</f>
        <v>0</v>
      </c>
      <c r="CV97" s="501">
        <f t="shared" ref="CV97:CV100" si="154">IF(AND($C97&gt;0,OR(AV97="")),1,IF(AV97&gt;$C97,1,0))</f>
        <v>0</v>
      </c>
      <c r="CW97" s="501">
        <f t="shared" si="130"/>
        <v>0</v>
      </c>
      <c r="CX97" s="501">
        <f t="shared" si="148"/>
        <v>0</v>
      </c>
      <c r="DK97" s="470"/>
      <c r="DL97" s="470"/>
      <c r="DM97" s="470"/>
      <c r="DN97" s="470"/>
      <c r="DO97" s="470"/>
      <c r="DP97" s="470"/>
      <c r="DQ97" s="470"/>
      <c r="DR97" s="470"/>
      <c r="DS97" s="470"/>
      <c r="DT97" s="470"/>
    </row>
    <row r="98" spans="1:124" s="1168" customFormat="1" ht="15" customHeight="1" x14ac:dyDescent="0.25">
      <c r="A98" s="2335"/>
      <c r="B98" s="1351" t="s">
        <v>645</v>
      </c>
      <c r="C98" s="1144">
        <f t="shared" si="136"/>
        <v>0</v>
      </c>
      <c r="D98" s="1118">
        <f t="shared" si="137"/>
        <v>0</v>
      </c>
      <c r="E98" s="1267">
        <f t="shared" si="137"/>
        <v>0</v>
      </c>
      <c r="F98" s="1616"/>
      <c r="G98" s="1617"/>
      <c r="H98" s="1616"/>
      <c r="I98" s="1617"/>
      <c r="J98" s="1638"/>
      <c r="K98" s="1639"/>
      <c r="L98" s="1638"/>
      <c r="M98" s="1639"/>
      <c r="N98" s="1638"/>
      <c r="O98" s="1639"/>
      <c r="P98" s="1638"/>
      <c r="Q98" s="1639"/>
      <c r="R98" s="1638"/>
      <c r="S98" s="1639"/>
      <c r="T98" s="1616"/>
      <c r="U98" s="1617"/>
      <c r="V98" s="1657"/>
      <c r="W98" s="1656"/>
      <c r="X98" s="1616"/>
      <c r="Y98" s="1617"/>
      <c r="Z98" s="1616"/>
      <c r="AA98" s="1617"/>
      <c r="AB98" s="1616"/>
      <c r="AC98" s="1617"/>
      <c r="AD98" s="1616"/>
      <c r="AE98" s="1617"/>
      <c r="AF98" s="1616"/>
      <c r="AG98" s="1617"/>
      <c r="AH98" s="1616"/>
      <c r="AI98" s="1617"/>
      <c r="AJ98" s="1616"/>
      <c r="AK98" s="1617"/>
      <c r="AL98" s="1616"/>
      <c r="AM98" s="1682"/>
      <c r="AN98" s="1671"/>
      <c r="AO98" s="1273"/>
      <c r="AP98" s="1616"/>
      <c r="AQ98" s="1622"/>
      <c r="AR98" s="1616"/>
      <c r="AS98" s="1622"/>
      <c r="AT98" s="1620"/>
      <c r="AU98" s="1620"/>
      <c r="AV98" s="1620"/>
      <c r="AW98" s="1620"/>
      <c r="AX98" s="1620"/>
      <c r="AY98" s="1116" t="str">
        <f t="shared" si="110"/>
        <v/>
      </c>
      <c r="AZ98" s="1265"/>
      <c r="BA98" s="1265"/>
      <c r="BB98" s="1265"/>
      <c r="CA98" s="620" t="str">
        <f t="shared" si="138"/>
        <v/>
      </c>
      <c r="CB98" s="502"/>
      <c r="CC98" s="620" t="str">
        <f t="shared" si="139"/>
        <v/>
      </c>
      <c r="CD98" s="620" t="str">
        <f t="shared" si="140"/>
        <v/>
      </c>
      <c r="CE98" s="620" t="str">
        <f t="shared" si="141"/>
        <v/>
      </c>
      <c r="CF98" s="620" t="str">
        <f t="shared" si="142"/>
        <v/>
      </c>
      <c r="CG98" s="620" t="str">
        <f t="shared" si="117"/>
        <v/>
      </c>
      <c r="CH98" s="620" t="str">
        <f t="shared" si="118"/>
        <v/>
      </c>
      <c r="CI98" s="620" t="str">
        <f t="shared" si="143"/>
        <v/>
      </c>
      <c r="CJ98" s="620" t="str">
        <f t="shared" si="132"/>
        <v/>
      </c>
      <c r="CK98" s="620" t="str">
        <f t="shared" si="144"/>
        <v/>
      </c>
      <c r="CL98" s="470"/>
      <c r="CM98" s="470"/>
      <c r="CN98" s="501">
        <f t="shared" si="145"/>
        <v>0</v>
      </c>
      <c r="CO98" s="502"/>
      <c r="CP98" s="501">
        <f t="shared" ref="CP98:CP100" si="155">IF(AND($D98&gt;0,OR(AP98="")),1,IF(AP98&gt;$D98,1,0))</f>
        <v>0</v>
      </c>
      <c r="CQ98" s="501">
        <f t="shared" si="149"/>
        <v>0</v>
      </c>
      <c r="CR98" s="501">
        <f t="shared" si="150"/>
        <v>0</v>
      </c>
      <c r="CS98" s="501">
        <f t="shared" si="151"/>
        <v>0</v>
      </c>
      <c r="CT98" s="501">
        <f t="shared" si="152"/>
        <v>0</v>
      </c>
      <c r="CU98" s="501">
        <f t="shared" si="153"/>
        <v>0</v>
      </c>
      <c r="CV98" s="501">
        <f t="shared" si="154"/>
        <v>0</v>
      </c>
      <c r="CW98" s="501">
        <f t="shared" si="130"/>
        <v>0</v>
      </c>
      <c r="CX98" s="501">
        <f t="shared" si="148"/>
        <v>0</v>
      </c>
      <c r="DK98" s="470"/>
      <c r="DL98" s="470"/>
      <c r="DM98" s="470"/>
      <c r="DN98" s="470"/>
      <c r="DO98" s="470"/>
      <c r="DP98" s="470"/>
      <c r="DQ98" s="470"/>
      <c r="DR98" s="470"/>
      <c r="DS98" s="470"/>
      <c r="DT98" s="470"/>
    </row>
    <row r="99" spans="1:124" s="1168" customFormat="1" ht="15" customHeight="1" x14ac:dyDescent="0.25">
      <c r="A99" s="2335"/>
      <c r="B99" s="1351" t="s">
        <v>646</v>
      </c>
      <c r="C99" s="1144">
        <f t="shared" si="136"/>
        <v>0</v>
      </c>
      <c r="D99" s="1118">
        <f>+F99+H99+J99</f>
        <v>0</v>
      </c>
      <c r="E99" s="1267">
        <f>+G99+I99+K99</f>
        <v>0</v>
      </c>
      <c r="F99" s="1616"/>
      <c r="G99" s="1617"/>
      <c r="H99" s="1616"/>
      <c r="I99" s="1617"/>
      <c r="J99" s="1616"/>
      <c r="K99" s="1639"/>
      <c r="L99" s="1122"/>
      <c r="M99" s="1123"/>
      <c r="N99" s="1122"/>
      <c r="O99" s="1123"/>
      <c r="P99" s="1122"/>
      <c r="Q99" s="1123"/>
      <c r="R99" s="1122"/>
      <c r="S99" s="1123"/>
      <c r="T99" s="1122"/>
      <c r="U99" s="1123"/>
      <c r="V99" s="1120"/>
      <c r="W99" s="1121"/>
      <c r="X99" s="1122"/>
      <c r="Y99" s="1123"/>
      <c r="Z99" s="1122"/>
      <c r="AA99" s="1123"/>
      <c r="AB99" s="1122"/>
      <c r="AC99" s="1123"/>
      <c r="AD99" s="1122"/>
      <c r="AE99" s="1123"/>
      <c r="AF99" s="1122"/>
      <c r="AG99" s="1123"/>
      <c r="AH99" s="1122"/>
      <c r="AI99" s="1123"/>
      <c r="AJ99" s="1122"/>
      <c r="AK99" s="1123"/>
      <c r="AL99" s="1122"/>
      <c r="AM99" s="1344"/>
      <c r="AN99" s="1671"/>
      <c r="AO99" s="1273"/>
      <c r="AP99" s="1638"/>
      <c r="AQ99" s="1622"/>
      <c r="AR99" s="1616"/>
      <c r="AS99" s="1622"/>
      <c r="AT99" s="1620"/>
      <c r="AU99" s="1620"/>
      <c r="AV99" s="1620"/>
      <c r="AW99" s="1620"/>
      <c r="AX99" s="1620"/>
      <c r="AY99" s="1116" t="str">
        <f t="shared" si="110"/>
        <v/>
      </c>
      <c r="AZ99" s="1265"/>
      <c r="BA99" s="1265"/>
      <c r="BB99" s="1265"/>
      <c r="CA99" s="620" t="str">
        <f t="shared" si="138"/>
        <v/>
      </c>
      <c r="CB99" s="502"/>
      <c r="CC99" s="620" t="str">
        <f t="shared" si="139"/>
        <v/>
      </c>
      <c r="CD99" s="620" t="str">
        <f t="shared" si="140"/>
        <v/>
      </c>
      <c r="CE99" s="620" t="str">
        <f t="shared" si="141"/>
        <v/>
      </c>
      <c r="CF99" s="620" t="str">
        <f t="shared" si="142"/>
        <v/>
      </c>
      <c r="CG99" s="620" t="str">
        <f t="shared" si="117"/>
        <v/>
      </c>
      <c r="CH99" s="620" t="str">
        <f t="shared" si="118"/>
        <v/>
      </c>
      <c r="CI99" s="620" t="str">
        <f t="shared" si="143"/>
        <v/>
      </c>
      <c r="CJ99" s="620" t="str">
        <f t="shared" si="132"/>
        <v/>
      </c>
      <c r="CK99" s="620" t="str">
        <f t="shared" si="144"/>
        <v/>
      </c>
      <c r="CL99" s="470"/>
      <c r="CM99" s="470"/>
      <c r="CN99" s="501">
        <f t="shared" si="145"/>
        <v>0</v>
      </c>
      <c r="CO99" s="502"/>
      <c r="CP99" s="501">
        <f t="shared" si="155"/>
        <v>0</v>
      </c>
      <c r="CQ99" s="501">
        <f t="shared" si="149"/>
        <v>0</v>
      </c>
      <c r="CR99" s="501">
        <f t="shared" si="150"/>
        <v>0</v>
      </c>
      <c r="CS99" s="501">
        <f t="shared" si="151"/>
        <v>0</v>
      </c>
      <c r="CT99" s="501">
        <f t="shared" si="152"/>
        <v>0</v>
      </c>
      <c r="CU99" s="501">
        <f t="shared" si="153"/>
        <v>0</v>
      </c>
      <c r="CV99" s="501">
        <f t="shared" si="154"/>
        <v>0</v>
      </c>
      <c r="CW99" s="501">
        <f t="shared" si="130"/>
        <v>0</v>
      </c>
      <c r="CX99" s="501">
        <f t="shared" si="148"/>
        <v>0</v>
      </c>
      <c r="DK99" s="470"/>
      <c r="DL99" s="470"/>
      <c r="DM99" s="470"/>
      <c r="DN99" s="470"/>
      <c r="DO99" s="470"/>
      <c r="DP99" s="470"/>
      <c r="DQ99" s="470"/>
      <c r="DR99" s="470"/>
      <c r="DS99" s="470"/>
      <c r="DT99" s="470"/>
    </row>
    <row r="100" spans="1:124" s="1168" customFormat="1" ht="21.75" customHeight="1" x14ac:dyDescent="0.25">
      <c r="A100" s="2336"/>
      <c r="B100" s="1351" t="s">
        <v>647</v>
      </c>
      <c r="C100" s="1139">
        <f>SUM(D100:E100)</f>
        <v>0</v>
      </c>
      <c r="D100" s="1133">
        <f>+F100+H100+J100+L100+N100</f>
        <v>0</v>
      </c>
      <c r="E100" s="1251">
        <f>+G100+I100+K100+M100+O100</f>
        <v>0</v>
      </c>
      <c r="F100" s="1623"/>
      <c r="G100" s="1624"/>
      <c r="H100" s="1623"/>
      <c r="I100" s="1624"/>
      <c r="J100" s="1623"/>
      <c r="K100" s="1624"/>
      <c r="L100" s="1623"/>
      <c r="M100" s="1624"/>
      <c r="N100" s="1623"/>
      <c r="O100" s="1624"/>
      <c r="P100" s="1140"/>
      <c r="Q100" s="1141"/>
      <c r="R100" s="1140"/>
      <c r="S100" s="1141"/>
      <c r="T100" s="1140"/>
      <c r="U100" s="1141"/>
      <c r="V100" s="1140"/>
      <c r="W100" s="1141"/>
      <c r="X100" s="1140"/>
      <c r="Y100" s="1141"/>
      <c r="Z100" s="1140"/>
      <c r="AA100" s="1141"/>
      <c r="AB100" s="1140"/>
      <c r="AC100" s="1141"/>
      <c r="AD100" s="1140"/>
      <c r="AE100" s="1141"/>
      <c r="AF100" s="1140"/>
      <c r="AG100" s="1141"/>
      <c r="AH100" s="1140"/>
      <c r="AI100" s="1141"/>
      <c r="AJ100" s="1140"/>
      <c r="AK100" s="1141"/>
      <c r="AL100" s="1140"/>
      <c r="AM100" s="1352"/>
      <c r="AN100" s="1673"/>
      <c r="AO100" s="1275"/>
      <c r="AP100" s="1616"/>
      <c r="AQ100" s="1622"/>
      <c r="AR100" s="1616"/>
      <c r="AS100" s="1622"/>
      <c r="AT100" s="1620"/>
      <c r="AU100" s="1620"/>
      <c r="AV100" s="1620"/>
      <c r="AW100" s="1620"/>
      <c r="AX100" s="1620"/>
      <c r="AY100" s="1116" t="str">
        <f t="shared" si="110"/>
        <v/>
      </c>
      <c r="AZ100" s="1265"/>
      <c r="BA100" s="1265"/>
      <c r="BB100" s="1265"/>
      <c r="CA100" s="620" t="str">
        <f t="shared" si="138"/>
        <v/>
      </c>
      <c r="CB100" s="502"/>
      <c r="CC100" s="620" t="str">
        <f t="shared" si="139"/>
        <v/>
      </c>
      <c r="CD100" s="620" t="str">
        <f t="shared" si="140"/>
        <v/>
      </c>
      <c r="CE100" s="620" t="str">
        <f t="shared" si="141"/>
        <v/>
      </c>
      <c r="CF100" s="620" t="str">
        <f t="shared" si="142"/>
        <v/>
      </c>
      <c r="CG100" s="620" t="str">
        <f t="shared" si="117"/>
        <v/>
      </c>
      <c r="CH100" s="620" t="str">
        <f t="shared" si="118"/>
        <v/>
      </c>
      <c r="CI100" s="620" t="str">
        <f t="shared" si="143"/>
        <v/>
      </c>
      <c r="CJ100" s="620" t="str">
        <f t="shared" si="132"/>
        <v/>
      </c>
      <c r="CK100" s="620" t="str">
        <f t="shared" si="144"/>
        <v/>
      </c>
      <c r="CL100" s="470"/>
      <c r="CM100" s="470"/>
      <c r="CN100" s="501">
        <f t="shared" si="145"/>
        <v>0</v>
      </c>
      <c r="CO100" s="502"/>
      <c r="CP100" s="501">
        <f t="shared" si="155"/>
        <v>0</v>
      </c>
      <c r="CQ100" s="501">
        <f t="shared" si="149"/>
        <v>0</v>
      </c>
      <c r="CR100" s="501">
        <f t="shared" si="150"/>
        <v>0</v>
      </c>
      <c r="CS100" s="501">
        <f t="shared" si="151"/>
        <v>0</v>
      </c>
      <c r="CT100" s="501">
        <f t="shared" si="152"/>
        <v>0</v>
      </c>
      <c r="CU100" s="501">
        <f t="shared" si="153"/>
        <v>0</v>
      </c>
      <c r="CV100" s="501">
        <f t="shared" si="154"/>
        <v>0</v>
      </c>
      <c r="CW100" s="501">
        <f t="shared" si="130"/>
        <v>0</v>
      </c>
      <c r="CX100" s="501">
        <f t="shared" si="148"/>
        <v>0</v>
      </c>
      <c r="DK100" s="470"/>
      <c r="DL100" s="470"/>
      <c r="DM100" s="470"/>
      <c r="DN100" s="470"/>
      <c r="DO100" s="470"/>
      <c r="DP100" s="470"/>
      <c r="DQ100" s="470"/>
      <c r="DR100" s="470"/>
      <c r="DS100" s="470"/>
      <c r="DT100" s="470"/>
    </row>
    <row r="101" spans="1:124" s="1168" customFormat="1" ht="15" customHeight="1" x14ac:dyDescent="0.25">
      <c r="A101" s="2340" t="s">
        <v>648</v>
      </c>
      <c r="B101" s="1349" t="s">
        <v>684</v>
      </c>
      <c r="C101" s="1276">
        <f t="shared" si="136"/>
        <v>0</v>
      </c>
      <c r="D101" s="1277">
        <f t="shared" ref="D101:E105" si="156">SUM(F101+H101+J101+L101+N101+P101+R101+T101+V101+X101+Z101+AB101+AD101+AF101+AH101+AJ101+AL101)</f>
        <v>0</v>
      </c>
      <c r="E101" s="1278">
        <f t="shared" si="156"/>
        <v>0</v>
      </c>
      <c r="F101" s="1616"/>
      <c r="G101" s="1617"/>
      <c r="H101" s="1616"/>
      <c r="I101" s="1617"/>
      <c r="J101" s="1616"/>
      <c r="K101" s="1617"/>
      <c r="L101" s="1616"/>
      <c r="M101" s="1617"/>
      <c r="N101" s="1616"/>
      <c r="O101" s="1621"/>
      <c r="P101" s="1616"/>
      <c r="Q101" s="1621"/>
      <c r="R101" s="1616"/>
      <c r="S101" s="1621"/>
      <c r="T101" s="1616"/>
      <c r="U101" s="1621"/>
      <c r="V101" s="1616"/>
      <c r="W101" s="1621"/>
      <c r="X101" s="1616"/>
      <c r="Y101" s="1621"/>
      <c r="Z101" s="1616"/>
      <c r="AA101" s="1621"/>
      <c r="AB101" s="1616"/>
      <c r="AC101" s="1621"/>
      <c r="AD101" s="1616"/>
      <c r="AE101" s="1621"/>
      <c r="AF101" s="1616"/>
      <c r="AG101" s="1621"/>
      <c r="AH101" s="1616"/>
      <c r="AI101" s="1621"/>
      <c r="AJ101" s="1616"/>
      <c r="AK101" s="1621"/>
      <c r="AL101" s="1616"/>
      <c r="AM101" s="1618"/>
      <c r="AN101" s="1671"/>
      <c r="AO101" s="1620"/>
      <c r="AP101" s="1616"/>
      <c r="AQ101" s="1622"/>
      <c r="AR101" s="1621"/>
      <c r="AS101" s="1617"/>
      <c r="AT101" s="1617"/>
      <c r="AU101" s="1617"/>
      <c r="AV101" s="1617"/>
      <c r="AW101" s="1617"/>
      <c r="AX101" s="1617"/>
      <c r="AY101" s="1116" t="str">
        <f t="shared" si="110"/>
        <v/>
      </c>
      <c r="AZ101" s="1265"/>
      <c r="BA101" s="1265"/>
      <c r="BB101" s="1265"/>
      <c r="CA101" s="620" t="str">
        <f t="shared" si="138"/>
        <v/>
      </c>
      <c r="CB101" s="620" t="str">
        <f t="shared" ref="CB101:CB105" si="157">IF(AND(E101&gt;0,OR(AO101=""))," * No olvide digitar la variable Madre de hijo menor de 5 años. Digite Cero si no tiene.",IF(AO101&gt;E101," * La variable Madre de hijo menor de 5 años no puede ser Mayor al Total Mujeres.",""))</f>
        <v/>
      </c>
      <c r="CC101" s="620" t="str">
        <f t="shared" si="139"/>
        <v/>
      </c>
      <c r="CD101" s="620" t="str">
        <f t="shared" si="140"/>
        <v/>
      </c>
      <c r="CE101" s="620" t="str">
        <f t="shared" si="141"/>
        <v/>
      </c>
      <c r="CF101" s="620" t="str">
        <f t="shared" si="142"/>
        <v/>
      </c>
      <c r="CG101" s="620" t="str">
        <f t="shared" si="117"/>
        <v/>
      </c>
      <c r="CH101" s="620" t="str">
        <f t="shared" si="118"/>
        <v/>
      </c>
      <c r="CI101" s="620" t="str">
        <f t="shared" si="143"/>
        <v/>
      </c>
      <c r="CJ101" s="620" t="str">
        <f t="shared" si="132"/>
        <v/>
      </c>
      <c r="CK101" s="620" t="str">
        <f t="shared" si="144"/>
        <v/>
      </c>
      <c r="CL101" s="470"/>
      <c r="CM101" s="470"/>
      <c r="CN101" s="501">
        <f t="shared" si="145"/>
        <v>0</v>
      </c>
      <c r="CO101" s="501">
        <f t="shared" ref="CO101:CO105" si="158">IF(AND($E101&gt;0,OR(AO101="")),1,IF(AO101&gt;$E101,1,0))</f>
        <v>0</v>
      </c>
      <c r="CP101" s="501">
        <f>IF(AND($D101&gt;0,OR(AP101="")),1,IF(AP101&gt;$D101,1,0))</f>
        <v>0</v>
      </c>
      <c r="CQ101" s="501">
        <f>IF(AND($E101&gt;0,OR(AQ101="")),1,IF(AQ101&gt;$E101,1,0))</f>
        <v>0</v>
      </c>
      <c r="CR101" s="501">
        <f>IF(AND($D101&gt;0,OR(AR101="")),1,IF(AR101&gt;$D101,1,0))</f>
        <v>0</v>
      </c>
      <c r="CS101" s="501">
        <f>IF(AND($E101&gt;0,OR(AS101="")),1,IF(AS101&gt;$E101,1,0))</f>
        <v>0</v>
      </c>
      <c r="CT101" s="501">
        <f t="shared" ref="CT101:CV102" si="159">IF(AND($C101&gt;0,OR(AT101="")),1,IF(AT101&gt;$C101,1,0))</f>
        <v>0</v>
      </c>
      <c r="CU101" s="501">
        <f t="shared" si="159"/>
        <v>0</v>
      </c>
      <c r="CV101" s="501">
        <f t="shared" si="159"/>
        <v>0</v>
      </c>
      <c r="CW101" s="501">
        <f t="shared" si="130"/>
        <v>0</v>
      </c>
      <c r="CX101" s="501">
        <f t="shared" si="148"/>
        <v>0</v>
      </c>
      <c r="CY101" s="470"/>
      <c r="DK101" s="470"/>
      <c r="DL101" s="470"/>
      <c r="DM101" s="470"/>
      <c r="DN101" s="470"/>
      <c r="DO101" s="470"/>
      <c r="DP101" s="470"/>
      <c r="DQ101" s="470"/>
      <c r="DR101" s="470"/>
      <c r="DS101" s="470"/>
      <c r="DT101" s="470"/>
    </row>
    <row r="102" spans="1:124" s="1168" customFormat="1" ht="15" customHeight="1" x14ac:dyDescent="0.25">
      <c r="A102" s="2070"/>
      <c r="B102" s="1353" t="s">
        <v>685</v>
      </c>
      <c r="C102" s="1279">
        <f t="shared" si="136"/>
        <v>0</v>
      </c>
      <c r="D102" s="1280">
        <f t="shared" si="156"/>
        <v>0</v>
      </c>
      <c r="E102" s="1281">
        <f t="shared" si="156"/>
        <v>0</v>
      </c>
      <c r="F102" s="1638"/>
      <c r="G102" s="1639"/>
      <c r="H102" s="1638"/>
      <c r="I102" s="1639"/>
      <c r="J102" s="1638"/>
      <c r="K102" s="1639"/>
      <c r="L102" s="1638"/>
      <c r="M102" s="1639"/>
      <c r="N102" s="1638"/>
      <c r="O102" s="1643"/>
      <c r="P102" s="1638"/>
      <c r="Q102" s="1643"/>
      <c r="R102" s="1638"/>
      <c r="S102" s="1643"/>
      <c r="T102" s="1638"/>
      <c r="U102" s="1643"/>
      <c r="V102" s="1638"/>
      <c r="W102" s="1643"/>
      <c r="X102" s="1638"/>
      <c r="Y102" s="1643"/>
      <c r="Z102" s="1638"/>
      <c r="AA102" s="1643"/>
      <c r="AB102" s="1638"/>
      <c r="AC102" s="1643"/>
      <c r="AD102" s="1638"/>
      <c r="AE102" s="1643"/>
      <c r="AF102" s="1638"/>
      <c r="AG102" s="1643"/>
      <c r="AH102" s="1638"/>
      <c r="AI102" s="1643"/>
      <c r="AJ102" s="1638"/>
      <c r="AK102" s="1643"/>
      <c r="AL102" s="1638"/>
      <c r="AM102" s="1640"/>
      <c r="AN102" s="1672"/>
      <c r="AO102" s="1642"/>
      <c r="AP102" s="1638"/>
      <c r="AQ102" s="1644"/>
      <c r="AR102" s="1643"/>
      <c r="AS102" s="1639"/>
      <c r="AT102" s="1639"/>
      <c r="AU102" s="1639"/>
      <c r="AV102" s="1639"/>
      <c r="AW102" s="1639"/>
      <c r="AX102" s="1639"/>
      <c r="AY102" s="1116" t="str">
        <f t="shared" si="110"/>
        <v/>
      </c>
      <c r="AZ102" s="1265"/>
      <c r="BA102" s="1265"/>
      <c r="BB102" s="1265"/>
      <c r="CA102" s="620" t="str">
        <f t="shared" si="138"/>
        <v/>
      </c>
      <c r="CB102" s="620" t="str">
        <f t="shared" si="157"/>
        <v/>
      </c>
      <c r="CC102" s="620" t="str">
        <f t="shared" si="139"/>
        <v/>
      </c>
      <c r="CD102" s="620" t="str">
        <f t="shared" si="140"/>
        <v/>
      </c>
      <c r="CE102" s="620" t="str">
        <f t="shared" si="141"/>
        <v/>
      </c>
      <c r="CF102" s="620" t="str">
        <f t="shared" si="142"/>
        <v/>
      </c>
      <c r="CG102" s="620" t="str">
        <f t="shared" si="117"/>
        <v/>
      </c>
      <c r="CH102" s="620" t="str">
        <f t="shared" si="118"/>
        <v/>
      </c>
      <c r="CI102" s="620" t="str">
        <f t="shared" si="143"/>
        <v/>
      </c>
      <c r="CJ102" s="620" t="str">
        <f t="shared" si="132"/>
        <v/>
      </c>
      <c r="CK102" s="620" t="str">
        <f t="shared" si="144"/>
        <v/>
      </c>
      <c r="CL102" s="470"/>
      <c r="CM102" s="470"/>
      <c r="CN102" s="501">
        <f t="shared" si="145"/>
        <v>0</v>
      </c>
      <c r="CO102" s="501">
        <f t="shared" si="158"/>
        <v>0</v>
      </c>
      <c r="CP102" s="501">
        <f>IF(AND($D102&gt;0,OR(AP102="")),1,IF(AP102&gt;$D102,1,0))</f>
        <v>0</v>
      </c>
      <c r="CQ102" s="501">
        <f>IF(AND($E102&gt;0,OR(AQ102="")),1,IF(AQ102&gt;$E102,1,0))</f>
        <v>0</v>
      </c>
      <c r="CR102" s="501">
        <f>IF(AND($D102&gt;0,OR(AR102="")),1,IF(AR102&gt;$D102,1,0))</f>
        <v>0</v>
      </c>
      <c r="CS102" s="501">
        <f>IF(AND($E102&gt;0,OR(AS102="")),1,IF(AS102&gt;$E102,1,0))</f>
        <v>0</v>
      </c>
      <c r="CT102" s="501">
        <f t="shared" si="159"/>
        <v>0</v>
      </c>
      <c r="CU102" s="501">
        <f t="shared" si="159"/>
        <v>0</v>
      </c>
      <c r="CV102" s="501">
        <f t="shared" si="159"/>
        <v>0</v>
      </c>
      <c r="CW102" s="501">
        <f t="shared" si="130"/>
        <v>0</v>
      </c>
      <c r="CX102" s="501">
        <f t="shared" si="148"/>
        <v>0</v>
      </c>
      <c r="CY102" s="470"/>
      <c r="DK102" s="470"/>
      <c r="DL102" s="470"/>
      <c r="DM102" s="470"/>
      <c r="DN102" s="470"/>
      <c r="DO102" s="470"/>
      <c r="DP102" s="470"/>
      <c r="DQ102" s="470"/>
      <c r="DR102" s="470"/>
      <c r="DS102" s="470"/>
      <c r="DT102" s="470"/>
    </row>
    <row r="103" spans="1:124" ht="15" customHeight="1" x14ac:dyDescent="0.25">
      <c r="A103" s="2070"/>
      <c r="B103" s="1354" t="s">
        <v>651</v>
      </c>
      <c r="C103" s="1279">
        <f t="shared" si="136"/>
        <v>0</v>
      </c>
      <c r="D103" s="1280">
        <f t="shared" si="156"/>
        <v>0</v>
      </c>
      <c r="E103" s="1281">
        <f t="shared" si="156"/>
        <v>0</v>
      </c>
      <c r="F103" s="1638"/>
      <c r="G103" s="1639"/>
      <c r="H103" s="1638"/>
      <c r="I103" s="1639"/>
      <c r="J103" s="1638"/>
      <c r="K103" s="1639"/>
      <c r="L103" s="1638"/>
      <c r="M103" s="1639"/>
      <c r="N103" s="1638"/>
      <c r="O103" s="1643"/>
      <c r="P103" s="1638"/>
      <c r="Q103" s="1643"/>
      <c r="R103" s="1638"/>
      <c r="S103" s="1643"/>
      <c r="T103" s="1638"/>
      <c r="U103" s="1643"/>
      <c r="V103" s="1638"/>
      <c r="W103" s="1643"/>
      <c r="X103" s="1638"/>
      <c r="Y103" s="1643"/>
      <c r="Z103" s="1638"/>
      <c r="AA103" s="1643"/>
      <c r="AB103" s="1638"/>
      <c r="AC103" s="1643"/>
      <c r="AD103" s="1638"/>
      <c r="AE103" s="1643"/>
      <c r="AF103" s="1638"/>
      <c r="AG103" s="1643"/>
      <c r="AH103" s="1638"/>
      <c r="AI103" s="1643"/>
      <c r="AJ103" s="1638"/>
      <c r="AK103" s="1643"/>
      <c r="AL103" s="1638"/>
      <c r="AM103" s="1640"/>
      <c r="AN103" s="1672"/>
      <c r="AO103" s="1642"/>
      <c r="AP103" s="1638"/>
      <c r="AQ103" s="1644"/>
      <c r="AR103" s="1643"/>
      <c r="AS103" s="1639"/>
      <c r="AT103" s="1639"/>
      <c r="AU103" s="1639"/>
      <c r="AV103" s="1639"/>
      <c r="AW103" s="1639"/>
      <c r="AX103" s="1639"/>
      <c r="AY103" s="1116" t="str">
        <f t="shared" si="110"/>
        <v/>
      </c>
      <c r="BC103" s="470"/>
      <c r="CA103" s="620" t="str">
        <f t="shared" si="138"/>
        <v/>
      </c>
      <c r="CB103" s="620" t="str">
        <f t="shared" si="157"/>
        <v/>
      </c>
      <c r="CC103" s="620" t="str">
        <f t="shared" si="139"/>
        <v/>
      </c>
      <c r="CD103" s="620" t="str">
        <f t="shared" si="140"/>
        <v/>
      </c>
      <c r="CE103" s="620" t="str">
        <f t="shared" si="141"/>
        <v/>
      </c>
      <c r="CF103" s="620" t="str">
        <f t="shared" si="142"/>
        <v/>
      </c>
      <c r="CG103" s="620" t="str">
        <f t="shared" si="117"/>
        <v/>
      </c>
      <c r="CH103" s="620" t="str">
        <f t="shared" si="118"/>
        <v/>
      </c>
      <c r="CI103" s="620" t="str">
        <f t="shared" si="143"/>
        <v/>
      </c>
      <c r="CJ103" s="620" t="str">
        <f t="shared" si="132"/>
        <v/>
      </c>
      <c r="CK103" s="620" t="str">
        <f t="shared" si="144"/>
        <v/>
      </c>
      <c r="CN103" s="501">
        <f t="shared" si="145"/>
        <v>0</v>
      </c>
      <c r="CO103" s="501">
        <f t="shared" si="158"/>
        <v>0</v>
      </c>
      <c r="CP103" s="501">
        <f t="shared" ref="CP103:CP120" si="160">IF(AND($D103&gt;0,OR(AP103="")),1,IF(AP103&gt;$D103,1,0))</f>
        <v>0</v>
      </c>
      <c r="CQ103" s="501">
        <f t="shared" ref="CQ103:CQ120" si="161">IF(AND($E103&gt;0,OR(AQ103="")),1,IF(AQ103&gt;$E103,1,0))</f>
        <v>0</v>
      </c>
      <c r="CR103" s="501">
        <f t="shared" ref="CR103:CR120" si="162">IF(AND($D103&gt;0,OR(AR103="")),1,IF(AR103&gt;$D103,1,0))</f>
        <v>0</v>
      </c>
      <c r="CS103" s="501">
        <f t="shared" ref="CS103:CS120" si="163">IF(AND($E103&gt;0,OR(AS103="")),1,IF(AS103&gt;$E103,1,0))</f>
        <v>0</v>
      </c>
      <c r="CT103" s="501">
        <f t="shared" ref="CT103:CT105" si="164">IF(AND($C103&gt;0,OR(AT103="")),1,IF(AT103&gt;$C103,1,0))</f>
        <v>0</v>
      </c>
      <c r="CU103" s="501">
        <f t="shared" ref="CU103:CU105" si="165">IF(AND($C103&gt;0,OR(AU103="")),1,IF(AU103&gt;$C103,1,0))</f>
        <v>0</v>
      </c>
      <c r="CV103" s="501">
        <f t="shared" ref="CV103:CV120" si="166">IF(AND($C103&gt;0,OR(AV103="")),1,IF(AV103&gt;$C103,1,0))</f>
        <v>0</v>
      </c>
      <c r="CW103" s="501">
        <f t="shared" si="130"/>
        <v>0</v>
      </c>
      <c r="CX103" s="501">
        <f t="shared" si="148"/>
        <v>0</v>
      </c>
      <c r="DM103" s="470"/>
      <c r="DN103" s="470"/>
      <c r="DO103" s="470"/>
    </row>
    <row r="104" spans="1:124" ht="15" customHeight="1" x14ac:dyDescent="0.25">
      <c r="A104" s="2070"/>
      <c r="B104" s="1354" t="s">
        <v>652</v>
      </c>
      <c r="C104" s="1276">
        <f t="shared" si="136"/>
        <v>0</v>
      </c>
      <c r="D104" s="1277">
        <f t="shared" si="156"/>
        <v>0</v>
      </c>
      <c r="E104" s="1278">
        <f t="shared" si="156"/>
        <v>0</v>
      </c>
      <c r="F104" s="1638"/>
      <c r="G104" s="1639"/>
      <c r="H104" s="1638"/>
      <c r="I104" s="1639"/>
      <c r="J104" s="1638"/>
      <c r="K104" s="1639"/>
      <c r="L104" s="1638"/>
      <c r="M104" s="1639"/>
      <c r="N104" s="1638"/>
      <c r="O104" s="1643"/>
      <c r="P104" s="1638"/>
      <c r="Q104" s="1643"/>
      <c r="R104" s="1638"/>
      <c r="S104" s="1643"/>
      <c r="T104" s="1638"/>
      <c r="U104" s="1643"/>
      <c r="V104" s="1638"/>
      <c r="W104" s="1643"/>
      <c r="X104" s="1638"/>
      <c r="Y104" s="1643"/>
      <c r="Z104" s="1638"/>
      <c r="AA104" s="1643"/>
      <c r="AB104" s="1638"/>
      <c r="AC104" s="1643"/>
      <c r="AD104" s="1638"/>
      <c r="AE104" s="1643"/>
      <c r="AF104" s="1638"/>
      <c r="AG104" s="1643"/>
      <c r="AH104" s="1638"/>
      <c r="AI104" s="1643"/>
      <c r="AJ104" s="1638"/>
      <c r="AK104" s="1643"/>
      <c r="AL104" s="1638"/>
      <c r="AM104" s="1640"/>
      <c r="AN104" s="1672"/>
      <c r="AO104" s="1642"/>
      <c r="AP104" s="1638"/>
      <c r="AQ104" s="1644"/>
      <c r="AR104" s="1643"/>
      <c r="AS104" s="1639"/>
      <c r="AT104" s="1639"/>
      <c r="AU104" s="1642"/>
      <c r="AV104" s="1639"/>
      <c r="AW104" s="1639"/>
      <c r="AX104" s="1639"/>
      <c r="AY104" s="1116" t="str">
        <f t="shared" si="110"/>
        <v/>
      </c>
      <c r="BC104" s="470"/>
      <c r="CA104" s="620" t="str">
        <f t="shared" si="138"/>
        <v/>
      </c>
      <c r="CB104" s="620" t="str">
        <f t="shared" si="157"/>
        <v/>
      </c>
      <c r="CC104" s="620" t="str">
        <f t="shared" si="139"/>
        <v/>
      </c>
      <c r="CD104" s="620" t="str">
        <f t="shared" si="140"/>
        <v/>
      </c>
      <c r="CE104" s="620" t="str">
        <f t="shared" si="141"/>
        <v/>
      </c>
      <c r="CF104" s="620" t="str">
        <f t="shared" si="142"/>
        <v/>
      </c>
      <c r="CG104" s="620" t="str">
        <f t="shared" si="117"/>
        <v/>
      </c>
      <c r="CH104" s="620" t="str">
        <f t="shared" si="118"/>
        <v/>
      </c>
      <c r="CI104" s="620" t="str">
        <f t="shared" si="143"/>
        <v/>
      </c>
      <c r="CJ104" s="620" t="str">
        <f t="shared" si="132"/>
        <v/>
      </c>
      <c r="CK104" s="620" t="str">
        <f t="shared" si="144"/>
        <v/>
      </c>
      <c r="CN104" s="501">
        <f t="shared" si="145"/>
        <v>0</v>
      </c>
      <c r="CO104" s="501">
        <f t="shared" si="158"/>
        <v>0</v>
      </c>
      <c r="CP104" s="501">
        <f t="shared" si="160"/>
        <v>0</v>
      </c>
      <c r="CQ104" s="501">
        <f t="shared" si="161"/>
        <v>0</v>
      </c>
      <c r="CR104" s="501">
        <f t="shared" si="162"/>
        <v>0</v>
      </c>
      <c r="CS104" s="501">
        <f t="shared" si="163"/>
        <v>0</v>
      </c>
      <c r="CT104" s="501">
        <f t="shared" si="164"/>
        <v>0</v>
      </c>
      <c r="CU104" s="501">
        <f t="shared" si="165"/>
        <v>0</v>
      </c>
      <c r="CV104" s="501">
        <f t="shared" si="166"/>
        <v>0</v>
      </c>
      <c r="CW104" s="501">
        <f t="shared" si="130"/>
        <v>0</v>
      </c>
      <c r="CX104" s="501">
        <f t="shared" si="148"/>
        <v>0</v>
      </c>
      <c r="DM104" s="470"/>
      <c r="DN104" s="470"/>
      <c r="DO104" s="470"/>
    </row>
    <row r="105" spans="1:124" ht="15" customHeight="1" x14ac:dyDescent="0.25">
      <c r="A105" s="2071"/>
      <c r="B105" s="1355" t="s">
        <v>653</v>
      </c>
      <c r="C105" s="1356">
        <f t="shared" si="136"/>
        <v>0</v>
      </c>
      <c r="D105" s="1357">
        <f t="shared" si="156"/>
        <v>0</v>
      </c>
      <c r="E105" s="1348">
        <f t="shared" si="156"/>
        <v>0</v>
      </c>
      <c r="F105" s="1623"/>
      <c r="G105" s="1624"/>
      <c r="H105" s="1623"/>
      <c r="I105" s="1624"/>
      <c r="J105" s="1623"/>
      <c r="K105" s="1624"/>
      <c r="L105" s="1623"/>
      <c r="M105" s="1624"/>
      <c r="N105" s="1623"/>
      <c r="O105" s="1628"/>
      <c r="P105" s="1623"/>
      <c r="Q105" s="1628"/>
      <c r="R105" s="1623"/>
      <c r="S105" s="1628"/>
      <c r="T105" s="1623"/>
      <c r="U105" s="1628"/>
      <c r="V105" s="1623"/>
      <c r="W105" s="1628"/>
      <c r="X105" s="1623"/>
      <c r="Y105" s="1628"/>
      <c r="Z105" s="1623"/>
      <c r="AA105" s="1628"/>
      <c r="AB105" s="1623"/>
      <c r="AC105" s="1628"/>
      <c r="AD105" s="1623"/>
      <c r="AE105" s="1628"/>
      <c r="AF105" s="1623"/>
      <c r="AG105" s="1628"/>
      <c r="AH105" s="1623"/>
      <c r="AI105" s="1628"/>
      <c r="AJ105" s="1623"/>
      <c r="AK105" s="1628"/>
      <c r="AL105" s="1623"/>
      <c r="AM105" s="1625"/>
      <c r="AN105" s="1673"/>
      <c r="AO105" s="1627"/>
      <c r="AP105" s="1623"/>
      <c r="AQ105" s="1629"/>
      <c r="AR105" s="1628"/>
      <c r="AS105" s="1624"/>
      <c r="AT105" s="1624"/>
      <c r="AU105" s="1627"/>
      <c r="AV105" s="1624"/>
      <c r="AW105" s="1624"/>
      <c r="AX105" s="1624"/>
      <c r="AY105" s="1116" t="str">
        <f t="shared" si="110"/>
        <v/>
      </c>
      <c r="BC105" s="470"/>
      <c r="CA105" s="620" t="str">
        <f t="shared" si="138"/>
        <v/>
      </c>
      <c r="CB105" s="620" t="str">
        <f t="shared" si="157"/>
        <v/>
      </c>
      <c r="CC105" s="620" t="str">
        <f t="shared" si="139"/>
        <v/>
      </c>
      <c r="CD105" s="620" t="str">
        <f t="shared" si="140"/>
        <v/>
      </c>
      <c r="CE105" s="620" t="str">
        <f t="shared" si="141"/>
        <v/>
      </c>
      <c r="CF105" s="620" t="str">
        <f t="shared" si="142"/>
        <v/>
      </c>
      <c r="CG105" s="620" t="str">
        <f t="shared" si="117"/>
        <v/>
      </c>
      <c r="CH105" s="620" t="str">
        <f t="shared" si="118"/>
        <v/>
      </c>
      <c r="CI105" s="620" t="str">
        <f t="shared" si="143"/>
        <v/>
      </c>
      <c r="CJ105" s="620" t="str">
        <f t="shared" si="132"/>
        <v/>
      </c>
      <c r="CK105" s="620" t="str">
        <f t="shared" si="144"/>
        <v/>
      </c>
      <c r="CN105" s="501">
        <f t="shared" si="145"/>
        <v>0</v>
      </c>
      <c r="CO105" s="501">
        <f t="shared" si="158"/>
        <v>0</v>
      </c>
      <c r="CP105" s="501">
        <f t="shared" si="160"/>
        <v>0</v>
      </c>
      <c r="CQ105" s="501">
        <f t="shared" si="161"/>
        <v>0</v>
      </c>
      <c r="CR105" s="501">
        <f t="shared" si="162"/>
        <v>0</v>
      </c>
      <c r="CS105" s="501">
        <f t="shared" si="163"/>
        <v>0</v>
      </c>
      <c r="CT105" s="501">
        <f t="shared" si="164"/>
        <v>0</v>
      </c>
      <c r="CU105" s="501">
        <f t="shared" si="165"/>
        <v>0</v>
      </c>
      <c r="CV105" s="501">
        <f t="shared" si="166"/>
        <v>0</v>
      </c>
      <c r="CW105" s="501">
        <f t="shared" si="130"/>
        <v>0</v>
      </c>
      <c r="CX105" s="501">
        <f t="shared" si="148"/>
        <v>0</v>
      </c>
      <c r="DM105" s="470"/>
      <c r="DN105" s="470"/>
      <c r="DO105" s="470"/>
    </row>
    <row r="106" spans="1:124" ht="15" customHeight="1" x14ac:dyDescent="0.25">
      <c r="A106" s="2340" t="s">
        <v>654</v>
      </c>
      <c r="B106" s="1358" t="s">
        <v>279</v>
      </c>
      <c r="C106" s="1117">
        <f t="shared" ref="C106:C120" si="167">SUM(D106:E106)</f>
        <v>0</v>
      </c>
      <c r="D106" s="1136">
        <f t="shared" ref="D106:D118" si="168">+F106+H106+J106+L106+N106+P106+R106+T106+V106+X106+Z106+AB106+AD106+AF106+AH106+AJ106+AL106</f>
        <v>0</v>
      </c>
      <c r="E106" s="1248">
        <f>+G106+I106+K106+M106+O106+Q106+S106+U106+W106+Y106+AA106+AC106+AE106+AG106+AI106+AK106+AM106</f>
        <v>0</v>
      </c>
      <c r="F106" s="1120"/>
      <c r="G106" s="1121"/>
      <c r="H106" s="1120"/>
      <c r="I106" s="1121"/>
      <c r="J106" s="1120"/>
      <c r="K106" s="1121"/>
      <c r="L106" s="1120"/>
      <c r="M106" s="1121"/>
      <c r="N106" s="1120"/>
      <c r="O106" s="1121"/>
      <c r="P106" s="1120"/>
      <c r="Q106" s="1121"/>
      <c r="R106" s="1616"/>
      <c r="S106" s="1617"/>
      <c r="T106" s="1616"/>
      <c r="U106" s="1617"/>
      <c r="V106" s="1616"/>
      <c r="W106" s="1617"/>
      <c r="X106" s="1616"/>
      <c r="Y106" s="1617"/>
      <c r="Z106" s="1616"/>
      <c r="AA106" s="1617"/>
      <c r="AB106" s="1616"/>
      <c r="AC106" s="1617"/>
      <c r="AD106" s="1616"/>
      <c r="AE106" s="1617"/>
      <c r="AF106" s="1616"/>
      <c r="AG106" s="1617"/>
      <c r="AH106" s="1616"/>
      <c r="AI106" s="1617"/>
      <c r="AJ106" s="1616"/>
      <c r="AK106" s="1617"/>
      <c r="AL106" s="1616"/>
      <c r="AM106" s="1617"/>
      <c r="AN106" s="1359"/>
      <c r="AO106" s="1292"/>
      <c r="AP106" s="1616"/>
      <c r="AQ106" s="1622"/>
      <c r="AR106" s="1621"/>
      <c r="AS106" s="1617"/>
      <c r="AT106" s="1121"/>
      <c r="AU106" s="1121"/>
      <c r="AV106" s="1617"/>
      <c r="AW106" s="1617"/>
      <c r="AX106" s="1617"/>
      <c r="AY106" s="1116" t="str">
        <f t="shared" si="110"/>
        <v/>
      </c>
      <c r="BC106" s="470"/>
      <c r="CA106" s="502"/>
      <c r="CB106" s="502"/>
      <c r="CC106" s="620" t="str">
        <f>IF(AND(D106&gt;0,OR(AP106=""))," * No olvide digitar la variable Pueblos Originarios Hombres. Digite Cero si no tiene.",IF(AP106&gt;D106," * La variable Pueblos Originarios Hombres no puede ser Mayor al Total Hombres.",""))</f>
        <v/>
      </c>
      <c r="CD106" s="620" t="str">
        <f t="shared" si="140"/>
        <v/>
      </c>
      <c r="CE106" s="620" t="str">
        <f t="shared" si="141"/>
        <v/>
      </c>
      <c r="CF106" s="620" t="str">
        <f t="shared" si="142"/>
        <v/>
      </c>
      <c r="CG106" s="502"/>
      <c r="CH106" s="502"/>
      <c r="CI106" s="620" t="str">
        <f t="shared" si="143"/>
        <v/>
      </c>
      <c r="CJ106" s="620" t="str">
        <f t="shared" si="132"/>
        <v/>
      </c>
      <c r="CK106" s="620" t="str">
        <f t="shared" si="144"/>
        <v/>
      </c>
      <c r="CN106" s="502"/>
      <c r="CO106" s="502"/>
      <c r="CP106" s="501">
        <f t="shared" si="160"/>
        <v>0</v>
      </c>
      <c r="CQ106" s="501">
        <f t="shared" si="161"/>
        <v>0</v>
      </c>
      <c r="CR106" s="501">
        <f t="shared" si="162"/>
        <v>0</v>
      </c>
      <c r="CS106" s="501">
        <f t="shared" si="163"/>
        <v>0</v>
      </c>
      <c r="CT106" s="502"/>
      <c r="CU106" s="502"/>
      <c r="CV106" s="501">
        <f t="shared" si="166"/>
        <v>0</v>
      </c>
      <c r="CW106" s="501">
        <f t="shared" si="130"/>
        <v>0</v>
      </c>
      <c r="CX106" s="501">
        <f t="shared" si="148"/>
        <v>0</v>
      </c>
      <c r="CY106" s="1168"/>
      <c r="DM106" s="470"/>
      <c r="DN106" s="470"/>
      <c r="DO106" s="470"/>
    </row>
    <row r="107" spans="1:124" ht="15" customHeight="1" x14ac:dyDescent="0.25">
      <c r="A107" s="2070"/>
      <c r="B107" s="1360" t="s">
        <v>280</v>
      </c>
      <c r="C107" s="1117">
        <f t="shared" si="167"/>
        <v>0</v>
      </c>
      <c r="D107" s="1136">
        <f t="shared" si="168"/>
        <v>0</v>
      </c>
      <c r="E107" s="1248">
        <f t="shared" ref="E107:E118" si="169">+G107+I107+K107+M107+O107+Q107+S107+U107+W107+Y107+AA107+AC107+AE107+AG107+AI107+AK107+AM107</f>
        <v>0</v>
      </c>
      <c r="F107" s="1122"/>
      <c r="G107" s="1123"/>
      <c r="H107" s="1122"/>
      <c r="I107" s="1123"/>
      <c r="J107" s="1122"/>
      <c r="K107" s="1123"/>
      <c r="L107" s="1122"/>
      <c r="M107" s="1123"/>
      <c r="N107" s="1122"/>
      <c r="O107" s="1123"/>
      <c r="P107" s="1122"/>
      <c r="Q107" s="1123"/>
      <c r="R107" s="1638"/>
      <c r="S107" s="1639"/>
      <c r="T107" s="1638"/>
      <c r="U107" s="1639"/>
      <c r="V107" s="1638"/>
      <c r="W107" s="1639"/>
      <c r="X107" s="1638"/>
      <c r="Y107" s="1639"/>
      <c r="Z107" s="1638"/>
      <c r="AA107" s="1639"/>
      <c r="AB107" s="1638"/>
      <c r="AC107" s="1639"/>
      <c r="AD107" s="1638"/>
      <c r="AE107" s="1639"/>
      <c r="AF107" s="1638"/>
      <c r="AG107" s="1639"/>
      <c r="AH107" s="1638"/>
      <c r="AI107" s="1639"/>
      <c r="AJ107" s="1638"/>
      <c r="AK107" s="1639"/>
      <c r="AL107" s="1638"/>
      <c r="AM107" s="1639"/>
      <c r="AN107" s="1345"/>
      <c r="AO107" s="1146"/>
      <c r="AP107" s="1638"/>
      <c r="AQ107" s="1644"/>
      <c r="AR107" s="1643"/>
      <c r="AS107" s="1639"/>
      <c r="AT107" s="1123"/>
      <c r="AU107" s="1123"/>
      <c r="AV107" s="1639"/>
      <c r="AW107" s="1639"/>
      <c r="AX107" s="1639"/>
      <c r="AY107" s="1116" t="str">
        <f t="shared" si="110"/>
        <v/>
      </c>
      <c r="BC107" s="470"/>
      <c r="CA107" s="502"/>
      <c r="CB107" s="502"/>
      <c r="CC107" s="620" t="str">
        <f t="shared" ref="CC107:CC120" si="170">IF(AND(D107&gt;0,OR(AP107=""))," * No olvide digitar la variable Pueblos Originarios Hombres. Digite Cero si no tiene.",IF(AP107&gt;D107," * La variable Pueblos Originarios Hombres no puede ser Mayor al Total Hombres.",""))</f>
        <v/>
      </c>
      <c r="CD107" s="620" t="str">
        <f t="shared" si="140"/>
        <v/>
      </c>
      <c r="CE107" s="620" t="str">
        <f t="shared" si="141"/>
        <v/>
      </c>
      <c r="CF107" s="620" t="str">
        <f t="shared" si="142"/>
        <v/>
      </c>
      <c r="CG107" s="502"/>
      <c r="CH107" s="502"/>
      <c r="CI107" s="620" t="str">
        <f t="shared" si="143"/>
        <v/>
      </c>
      <c r="CJ107" s="620" t="str">
        <f t="shared" si="132"/>
        <v/>
      </c>
      <c r="CK107" s="620" t="str">
        <f t="shared" si="144"/>
        <v/>
      </c>
      <c r="CN107" s="502"/>
      <c r="CO107" s="502"/>
      <c r="CP107" s="501">
        <f t="shared" si="160"/>
        <v>0</v>
      </c>
      <c r="CQ107" s="501">
        <f t="shared" si="161"/>
        <v>0</v>
      </c>
      <c r="CR107" s="501">
        <f t="shared" si="162"/>
        <v>0</v>
      </c>
      <c r="CS107" s="501">
        <f t="shared" si="163"/>
        <v>0</v>
      </c>
      <c r="CT107" s="502"/>
      <c r="CU107" s="502"/>
      <c r="CV107" s="501">
        <f t="shared" si="166"/>
        <v>0</v>
      </c>
      <c r="CW107" s="501">
        <f t="shared" si="130"/>
        <v>0</v>
      </c>
      <c r="CX107" s="501">
        <f t="shared" si="148"/>
        <v>0</v>
      </c>
      <c r="CY107" s="1168"/>
      <c r="DM107" s="470"/>
      <c r="DN107" s="470"/>
      <c r="DO107" s="470"/>
    </row>
    <row r="108" spans="1:124" ht="15" customHeight="1" x14ac:dyDescent="0.25">
      <c r="A108" s="2071"/>
      <c r="B108" s="1361" t="s">
        <v>655</v>
      </c>
      <c r="C108" s="1132">
        <f t="shared" si="167"/>
        <v>0</v>
      </c>
      <c r="D108" s="1158">
        <f t="shared" si="168"/>
        <v>0</v>
      </c>
      <c r="E108" s="1264">
        <f t="shared" si="169"/>
        <v>0</v>
      </c>
      <c r="F108" s="1140"/>
      <c r="G108" s="1141"/>
      <c r="H108" s="1140"/>
      <c r="I108" s="1141"/>
      <c r="J108" s="1140"/>
      <c r="K108" s="1141"/>
      <c r="L108" s="1140"/>
      <c r="M108" s="1141"/>
      <c r="N108" s="1140"/>
      <c r="O108" s="1141"/>
      <c r="P108" s="1140"/>
      <c r="Q108" s="1141"/>
      <c r="R108" s="1623"/>
      <c r="S108" s="1624"/>
      <c r="T108" s="1623"/>
      <c r="U108" s="1624"/>
      <c r="V108" s="1623"/>
      <c r="W108" s="1624"/>
      <c r="X108" s="1623"/>
      <c r="Y108" s="1624"/>
      <c r="Z108" s="1623"/>
      <c r="AA108" s="1624"/>
      <c r="AB108" s="1623"/>
      <c r="AC108" s="1624"/>
      <c r="AD108" s="1623"/>
      <c r="AE108" s="1624"/>
      <c r="AF108" s="1623"/>
      <c r="AG108" s="1624"/>
      <c r="AH108" s="1623"/>
      <c r="AI108" s="1624"/>
      <c r="AJ108" s="1623"/>
      <c r="AK108" s="1624"/>
      <c r="AL108" s="1623"/>
      <c r="AM108" s="1624"/>
      <c r="AN108" s="1362"/>
      <c r="AO108" s="1363"/>
      <c r="AP108" s="1623"/>
      <c r="AQ108" s="1629"/>
      <c r="AR108" s="1628"/>
      <c r="AS108" s="1624"/>
      <c r="AT108" s="1141"/>
      <c r="AU108" s="1141"/>
      <c r="AV108" s="1624"/>
      <c r="AW108" s="1624"/>
      <c r="AX108" s="1624"/>
      <c r="AY108" s="1116" t="str">
        <f t="shared" si="110"/>
        <v/>
      </c>
      <c r="BC108" s="470"/>
      <c r="CA108" s="502"/>
      <c r="CB108" s="502"/>
      <c r="CC108" s="620" t="str">
        <f t="shared" si="170"/>
        <v/>
      </c>
      <c r="CD108" s="620" t="str">
        <f t="shared" si="140"/>
        <v/>
      </c>
      <c r="CE108" s="620" t="str">
        <f t="shared" si="141"/>
        <v/>
      </c>
      <c r="CF108" s="620" t="str">
        <f t="shared" si="142"/>
        <v/>
      </c>
      <c r="CG108" s="502"/>
      <c r="CH108" s="502"/>
      <c r="CI108" s="620" t="str">
        <f t="shared" si="143"/>
        <v/>
      </c>
      <c r="CJ108" s="620" t="str">
        <f t="shared" si="132"/>
        <v/>
      </c>
      <c r="CK108" s="620" t="str">
        <f t="shared" si="144"/>
        <v/>
      </c>
      <c r="CN108" s="502"/>
      <c r="CO108" s="502"/>
      <c r="CP108" s="501">
        <f t="shared" si="160"/>
        <v>0</v>
      </c>
      <c r="CQ108" s="501">
        <f t="shared" si="161"/>
        <v>0</v>
      </c>
      <c r="CR108" s="501">
        <f t="shared" si="162"/>
        <v>0</v>
      </c>
      <c r="CS108" s="501">
        <f t="shared" si="163"/>
        <v>0</v>
      </c>
      <c r="CT108" s="502"/>
      <c r="CU108" s="502"/>
      <c r="CV108" s="501">
        <f t="shared" si="166"/>
        <v>0</v>
      </c>
      <c r="CW108" s="501">
        <f t="shared" si="130"/>
        <v>0</v>
      </c>
      <c r="CX108" s="501">
        <f t="shared" si="148"/>
        <v>0</v>
      </c>
      <c r="CY108" s="1168"/>
      <c r="DM108" s="470"/>
      <c r="DN108" s="470"/>
      <c r="DO108" s="470"/>
    </row>
    <row r="109" spans="1:124" ht="15" customHeight="1" x14ac:dyDescent="0.25">
      <c r="A109" s="2346" t="s">
        <v>656</v>
      </c>
      <c r="B109" s="2347"/>
      <c r="C109" s="1144">
        <f>SUM(D109:E109)</f>
        <v>0</v>
      </c>
      <c r="D109" s="1118">
        <f t="shared" ref="D109" si="171">+F109+H109+J109+L109+N109+P109+R109+T109+V109+X109+Z109+AB109+AD109+AF109+AH109+AJ109+AL109</f>
        <v>0</v>
      </c>
      <c r="E109" s="1118">
        <f t="shared" ref="E109" si="172">+G109+I109+K109+M109+O109+Q109+S109+U109+W109+Y109+AA109+AC109+AE109+AG109+AI109+AK109+AM109</f>
        <v>0</v>
      </c>
      <c r="F109" s="1616"/>
      <c r="G109" s="1617"/>
      <c r="H109" s="1616"/>
      <c r="I109" s="1617"/>
      <c r="J109" s="1616"/>
      <c r="K109" s="1617"/>
      <c r="L109" s="1616"/>
      <c r="M109" s="1617"/>
      <c r="N109" s="1616"/>
      <c r="O109" s="1617"/>
      <c r="P109" s="1616"/>
      <c r="Q109" s="1617"/>
      <c r="R109" s="1616"/>
      <c r="S109" s="1617"/>
      <c r="T109" s="1616"/>
      <c r="U109" s="1617"/>
      <c r="V109" s="1616"/>
      <c r="W109" s="1617"/>
      <c r="X109" s="1616"/>
      <c r="Y109" s="1617"/>
      <c r="Z109" s="1616"/>
      <c r="AA109" s="1617"/>
      <c r="AB109" s="1616"/>
      <c r="AC109" s="1617"/>
      <c r="AD109" s="1616"/>
      <c r="AE109" s="1617"/>
      <c r="AF109" s="1616"/>
      <c r="AG109" s="1617"/>
      <c r="AH109" s="1616"/>
      <c r="AI109" s="1617"/>
      <c r="AJ109" s="1616"/>
      <c r="AK109" s="1617"/>
      <c r="AL109" s="1616"/>
      <c r="AM109" s="1617"/>
      <c r="AN109" s="1671"/>
      <c r="AO109" s="1620"/>
      <c r="AP109" s="1616"/>
      <c r="AQ109" s="1622"/>
      <c r="AR109" s="1621"/>
      <c r="AS109" s="1617"/>
      <c r="AT109" s="1617"/>
      <c r="AU109" s="1617"/>
      <c r="AV109" s="1617"/>
      <c r="AW109" s="1617"/>
      <c r="AX109" s="1617"/>
      <c r="AY109" s="1116" t="str">
        <f t="shared" si="110"/>
        <v/>
      </c>
      <c r="BC109" s="470"/>
      <c r="CA109" s="620" t="str">
        <f t="shared" ref="CA109:CA120" si="173">IF(AND(E109&gt;0,OR(AN109=""))," * No olvide digitar la variable Gestantes. Digite Cero si no tiene.",IF(AN109&gt;E109," * La variable Gestantes no puede ser Mayor al Total Mujeres.",""))</f>
        <v/>
      </c>
      <c r="CB109" s="620" t="str">
        <f t="shared" ref="CB109:CB120" si="174">IF(AND(E109&gt;0,OR(AO109=""))," * No olvide digitar la variable Madre de hijo menor de 5 años. Digite Cero si no tiene.",IF(AO109&gt;E109," * La variable Madre de hijo menor de 5 años no puede ser Mayor al Total Mujeres.",""))</f>
        <v/>
      </c>
      <c r="CC109" s="620" t="str">
        <f t="shared" si="170"/>
        <v/>
      </c>
      <c r="CD109" s="620" t="str">
        <f t="shared" si="140"/>
        <v/>
      </c>
      <c r="CE109" s="620" t="str">
        <f t="shared" si="141"/>
        <v/>
      </c>
      <c r="CF109" s="620" t="str">
        <f t="shared" si="142"/>
        <v/>
      </c>
      <c r="CG109" s="620" t="str">
        <f t="shared" si="117"/>
        <v/>
      </c>
      <c r="CH109" s="620" t="str">
        <f t="shared" si="118"/>
        <v/>
      </c>
      <c r="CI109" s="620" t="str">
        <f t="shared" si="143"/>
        <v/>
      </c>
      <c r="CJ109" s="620" t="str">
        <f t="shared" si="132"/>
        <v/>
      </c>
      <c r="CK109" s="620" t="str">
        <f t="shared" si="144"/>
        <v/>
      </c>
      <c r="CN109" s="501">
        <f t="shared" ref="CN109:CN120" si="175">IF(AND($E109&gt;0,OR(AN109="")),1,IF(AN109&gt;$E109,1,0))</f>
        <v>0</v>
      </c>
      <c r="CO109" s="501">
        <f t="shared" ref="CO109:CO120" si="176">IF(AND($E109&gt;0,OR(AO109="")),1,IF(AO109&gt;$E109,1,0))</f>
        <v>0</v>
      </c>
      <c r="CP109" s="501">
        <f t="shared" si="160"/>
        <v>0</v>
      </c>
      <c r="CQ109" s="501">
        <f t="shared" si="161"/>
        <v>0</v>
      </c>
      <c r="CR109" s="501">
        <f t="shared" si="162"/>
        <v>0</v>
      </c>
      <c r="CS109" s="501">
        <f t="shared" si="163"/>
        <v>0</v>
      </c>
      <c r="CT109" s="501">
        <f t="shared" ref="CT109:CT120" si="177">IF(AND($C109&gt;0,OR(AT109="")),1,IF(AT109&gt;$C109,1,0))</f>
        <v>0</v>
      </c>
      <c r="CU109" s="501">
        <f t="shared" ref="CU109:CU120" si="178">IF(AND($C109&gt;0,OR(AU109="")),1,IF(AU109&gt;$C109,1,0))</f>
        <v>0</v>
      </c>
      <c r="CV109" s="501">
        <f t="shared" si="166"/>
        <v>0</v>
      </c>
      <c r="CW109" s="501">
        <f t="shared" si="130"/>
        <v>0</v>
      </c>
      <c r="CX109" s="501">
        <f t="shared" si="148"/>
        <v>0</v>
      </c>
      <c r="CY109" s="1168"/>
      <c r="DM109" s="470"/>
      <c r="DN109" s="470"/>
      <c r="DO109" s="470"/>
    </row>
    <row r="110" spans="1:124" ht="15" customHeight="1" x14ac:dyDescent="0.25">
      <c r="A110" s="2287" t="s">
        <v>657</v>
      </c>
      <c r="B110" s="2288"/>
      <c r="C110" s="1117">
        <f t="shared" si="167"/>
        <v>0</v>
      </c>
      <c r="D110" s="1136">
        <f t="shared" si="168"/>
        <v>0</v>
      </c>
      <c r="E110" s="1248">
        <f t="shared" si="169"/>
        <v>0</v>
      </c>
      <c r="F110" s="1616"/>
      <c r="G110" s="1617"/>
      <c r="H110" s="1616"/>
      <c r="I110" s="1617"/>
      <c r="J110" s="1616"/>
      <c r="K110" s="1617"/>
      <c r="L110" s="1616"/>
      <c r="M110" s="1617"/>
      <c r="N110" s="1616"/>
      <c r="O110" s="1617"/>
      <c r="P110" s="1616"/>
      <c r="Q110" s="1617"/>
      <c r="R110" s="1616"/>
      <c r="S110" s="1617"/>
      <c r="T110" s="1616"/>
      <c r="U110" s="1617"/>
      <c r="V110" s="1616"/>
      <c r="W110" s="1617"/>
      <c r="X110" s="1616"/>
      <c r="Y110" s="1617"/>
      <c r="Z110" s="1616"/>
      <c r="AA110" s="1617"/>
      <c r="AB110" s="1616"/>
      <c r="AC110" s="1617"/>
      <c r="AD110" s="1616"/>
      <c r="AE110" s="1617"/>
      <c r="AF110" s="1616"/>
      <c r="AG110" s="1617"/>
      <c r="AH110" s="1616"/>
      <c r="AI110" s="1617"/>
      <c r="AJ110" s="1616"/>
      <c r="AK110" s="1617"/>
      <c r="AL110" s="1616"/>
      <c r="AM110" s="1617"/>
      <c r="AN110" s="1671"/>
      <c r="AO110" s="1620"/>
      <c r="AP110" s="1616"/>
      <c r="AQ110" s="1622"/>
      <c r="AR110" s="1621"/>
      <c r="AS110" s="1617"/>
      <c r="AT110" s="1617"/>
      <c r="AU110" s="1617"/>
      <c r="AV110" s="1617"/>
      <c r="AW110" s="1617"/>
      <c r="AX110" s="1617"/>
      <c r="AY110" s="1116" t="str">
        <f t="shared" si="110"/>
        <v/>
      </c>
      <c r="BC110" s="470"/>
      <c r="CA110" s="620" t="str">
        <f t="shared" si="173"/>
        <v/>
      </c>
      <c r="CB110" s="620" t="str">
        <f t="shared" si="174"/>
        <v/>
      </c>
      <c r="CC110" s="620" t="str">
        <f t="shared" si="170"/>
        <v/>
      </c>
      <c r="CD110" s="620" t="str">
        <f t="shared" si="140"/>
        <v/>
      </c>
      <c r="CE110" s="620" t="str">
        <f t="shared" si="141"/>
        <v/>
      </c>
      <c r="CF110" s="620" t="str">
        <f t="shared" si="142"/>
        <v/>
      </c>
      <c r="CG110" s="620" t="str">
        <f t="shared" si="117"/>
        <v/>
      </c>
      <c r="CH110" s="620" t="str">
        <f t="shared" si="118"/>
        <v/>
      </c>
      <c r="CI110" s="620" t="str">
        <f t="shared" si="143"/>
        <v/>
      </c>
      <c r="CJ110" s="620" t="str">
        <f t="shared" si="132"/>
        <v/>
      </c>
      <c r="CK110" s="620" t="str">
        <f t="shared" si="144"/>
        <v/>
      </c>
      <c r="CN110" s="501">
        <f t="shared" si="175"/>
        <v>0</v>
      </c>
      <c r="CO110" s="501">
        <f t="shared" si="176"/>
        <v>0</v>
      </c>
      <c r="CP110" s="501">
        <f t="shared" si="160"/>
        <v>0</v>
      </c>
      <c r="CQ110" s="501">
        <f t="shared" si="161"/>
        <v>0</v>
      </c>
      <c r="CR110" s="501">
        <f t="shared" si="162"/>
        <v>0</v>
      </c>
      <c r="CS110" s="501">
        <f t="shared" si="163"/>
        <v>0</v>
      </c>
      <c r="CT110" s="501">
        <f t="shared" si="177"/>
        <v>0</v>
      </c>
      <c r="CU110" s="501">
        <f t="shared" si="178"/>
        <v>0</v>
      </c>
      <c r="CV110" s="501">
        <f t="shared" si="166"/>
        <v>0</v>
      </c>
      <c r="CW110" s="501">
        <f t="shared" si="130"/>
        <v>0</v>
      </c>
      <c r="CX110" s="501">
        <f t="shared" si="148"/>
        <v>0</v>
      </c>
      <c r="CY110" s="1168"/>
      <c r="DM110" s="470"/>
      <c r="DN110" s="470"/>
      <c r="DO110" s="470"/>
    </row>
    <row r="111" spans="1:124" ht="15" customHeight="1" x14ac:dyDescent="0.25">
      <c r="A111" s="2341" t="s">
        <v>658</v>
      </c>
      <c r="B111" s="2342"/>
      <c r="C111" s="1144">
        <f t="shared" si="167"/>
        <v>0</v>
      </c>
      <c r="D111" s="1118">
        <f t="shared" si="168"/>
        <v>0</v>
      </c>
      <c r="E111" s="1267">
        <f t="shared" si="169"/>
        <v>0</v>
      </c>
      <c r="F111" s="1638"/>
      <c r="G111" s="1639"/>
      <c r="H111" s="1638"/>
      <c r="I111" s="1639"/>
      <c r="J111" s="1638"/>
      <c r="K111" s="1639"/>
      <c r="L111" s="1638"/>
      <c r="M111" s="1639"/>
      <c r="N111" s="1638"/>
      <c r="O111" s="1639"/>
      <c r="P111" s="1638"/>
      <c r="Q111" s="1639"/>
      <c r="R111" s="1638"/>
      <c r="S111" s="1639"/>
      <c r="T111" s="1638"/>
      <c r="U111" s="1639"/>
      <c r="V111" s="1638"/>
      <c r="W111" s="1639"/>
      <c r="X111" s="1638"/>
      <c r="Y111" s="1639"/>
      <c r="Z111" s="1638"/>
      <c r="AA111" s="1639"/>
      <c r="AB111" s="1638"/>
      <c r="AC111" s="1639"/>
      <c r="AD111" s="1638"/>
      <c r="AE111" s="1639"/>
      <c r="AF111" s="1638"/>
      <c r="AG111" s="1639"/>
      <c r="AH111" s="1638"/>
      <c r="AI111" s="1639"/>
      <c r="AJ111" s="1638"/>
      <c r="AK111" s="1639"/>
      <c r="AL111" s="1638"/>
      <c r="AM111" s="1639"/>
      <c r="AN111" s="1672"/>
      <c r="AO111" s="1642"/>
      <c r="AP111" s="1638"/>
      <c r="AQ111" s="1644"/>
      <c r="AR111" s="1643"/>
      <c r="AS111" s="1639"/>
      <c r="AT111" s="1639"/>
      <c r="AU111" s="1639"/>
      <c r="AV111" s="1639"/>
      <c r="AW111" s="1639"/>
      <c r="AX111" s="1639"/>
      <c r="AY111" s="1116" t="str">
        <f t="shared" si="110"/>
        <v/>
      </c>
      <c r="BC111" s="470"/>
      <c r="CA111" s="620" t="str">
        <f t="shared" si="173"/>
        <v/>
      </c>
      <c r="CB111" s="620" t="str">
        <f t="shared" si="174"/>
        <v/>
      </c>
      <c r="CC111" s="620" t="str">
        <f t="shared" si="170"/>
        <v/>
      </c>
      <c r="CD111" s="620" t="str">
        <f t="shared" si="140"/>
        <v/>
      </c>
      <c r="CE111" s="620" t="str">
        <f t="shared" si="141"/>
        <v/>
      </c>
      <c r="CF111" s="620" t="str">
        <f t="shared" si="142"/>
        <v/>
      </c>
      <c r="CG111" s="620" t="str">
        <f t="shared" si="117"/>
        <v/>
      </c>
      <c r="CH111" s="620" t="str">
        <f t="shared" si="118"/>
        <v/>
      </c>
      <c r="CI111" s="620" t="str">
        <f t="shared" si="143"/>
        <v/>
      </c>
      <c r="CJ111" s="620" t="str">
        <f t="shared" si="132"/>
        <v/>
      </c>
      <c r="CK111" s="620" t="str">
        <f t="shared" si="144"/>
        <v/>
      </c>
      <c r="CN111" s="501">
        <f t="shared" si="175"/>
        <v>0</v>
      </c>
      <c r="CO111" s="501">
        <f t="shared" si="176"/>
        <v>0</v>
      </c>
      <c r="CP111" s="501">
        <f t="shared" si="160"/>
        <v>0</v>
      </c>
      <c r="CQ111" s="501">
        <f t="shared" si="161"/>
        <v>0</v>
      </c>
      <c r="CR111" s="501">
        <f t="shared" si="162"/>
        <v>0</v>
      </c>
      <c r="CS111" s="501">
        <f t="shared" si="163"/>
        <v>0</v>
      </c>
      <c r="CT111" s="501">
        <f t="shared" si="177"/>
        <v>0</v>
      </c>
      <c r="CU111" s="501">
        <f t="shared" si="178"/>
        <v>0</v>
      </c>
      <c r="CV111" s="501">
        <f t="shared" si="166"/>
        <v>0</v>
      </c>
      <c r="CW111" s="501">
        <f t="shared" si="130"/>
        <v>0</v>
      </c>
      <c r="CX111" s="501">
        <f t="shared" si="148"/>
        <v>0</v>
      </c>
      <c r="CY111" s="1168"/>
      <c r="DM111" s="470"/>
      <c r="DN111" s="470"/>
      <c r="DO111" s="470"/>
    </row>
    <row r="112" spans="1:124" ht="15" customHeight="1" x14ac:dyDescent="0.25">
      <c r="A112" s="2341" t="s">
        <v>659</v>
      </c>
      <c r="B112" s="2342"/>
      <c r="C112" s="1144">
        <f t="shared" si="167"/>
        <v>0</v>
      </c>
      <c r="D112" s="1118">
        <f t="shared" si="168"/>
        <v>0</v>
      </c>
      <c r="E112" s="1267">
        <f t="shared" si="169"/>
        <v>0</v>
      </c>
      <c r="F112" s="1638"/>
      <c r="G112" s="1639"/>
      <c r="H112" s="1638"/>
      <c r="I112" s="1639"/>
      <c r="J112" s="1638"/>
      <c r="K112" s="1639"/>
      <c r="L112" s="1638"/>
      <c r="M112" s="1639"/>
      <c r="N112" s="1638"/>
      <c r="O112" s="1639"/>
      <c r="P112" s="1638"/>
      <c r="Q112" s="1639"/>
      <c r="R112" s="1638"/>
      <c r="S112" s="1639"/>
      <c r="T112" s="1638"/>
      <c r="U112" s="1639"/>
      <c r="V112" s="1638"/>
      <c r="W112" s="1639"/>
      <c r="X112" s="1638"/>
      <c r="Y112" s="1639"/>
      <c r="Z112" s="1638"/>
      <c r="AA112" s="1639"/>
      <c r="AB112" s="1638"/>
      <c r="AC112" s="1639"/>
      <c r="AD112" s="1638"/>
      <c r="AE112" s="1639"/>
      <c r="AF112" s="1638"/>
      <c r="AG112" s="1639"/>
      <c r="AH112" s="1638"/>
      <c r="AI112" s="1639"/>
      <c r="AJ112" s="1638"/>
      <c r="AK112" s="1639"/>
      <c r="AL112" s="1638"/>
      <c r="AM112" s="1639"/>
      <c r="AN112" s="1672"/>
      <c r="AO112" s="1642"/>
      <c r="AP112" s="1638"/>
      <c r="AQ112" s="1644"/>
      <c r="AR112" s="1643"/>
      <c r="AS112" s="1639"/>
      <c r="AT112" s="1639"/>
      <c r="AU112" s="1639"/>
      <c r="AV112" s="1639"/>
      <c r="AW112" s="1639"/>
      <c r="AX112" s="1639"/>
      <c r="AY112" s="1116" t="str">
        <f t="shared" si="110"/>
        <v/>
      </c>
      <c r="BC112" s="470"/>
      <c r="CA112" s="620" t="str">
        <f t="shared" si="173"/>
        <v/>
      </c>
      <c r="CB112" s="620" t="str">
        <f t="shared" si="174"/>
        <v/>
      </c>
      <c r="CC112" s="620" t="str">
        <f t="shared" si="170"/>
        <v/>
      </c>
      <c r="CD112" s="620" t="str">
        <f t="shared" si="140"/>
        <v/>
      </c>
      <c r="CE112" s="620" t="str">
        <f t="shared" si="141"/>
        <v/>
      </c>
      <c r="CF112" s="620" t="str">
        <f t="shared" si="142"/>
        <v/>
      </c>
      <c r="CG112" s="620" t="str">
        <f t="shared" si="117"/>
        <v/>
      </c>
      <c r="CH112" s="620" t="str">
        <f t="shared" si="118"/>
        <v/>
      </c>
      <c r="CI112" s="620" t="str">
        <f t="shared" si="143"/>
        <v/>
      </c>
      <c r="CJ112" s="620" t="str">
        <f t="shared" si="132"/>
        <v/>
      </c>
      <c r="CK112" s="620" t="str">
        <f t="shared" si="144"/>
        <v/>
      </c>
      <c r="CN112" s="501">
        <f t="shared" si="175"/>
        <v>0</v>
      </c>
      <c r="CO112" s="501">
        <f t="shared" si="176"/>
        <v>0</v>
      </c>
      <c r="CP112" s="501">
        <f t="shared" si="160"/>
        <v>0</v>
      </c>
      <c r="CQ112" s="501">
        <f t="shared" si="161"/>
        <v>0</v>
      </c>
      <c r="CR112" s="501">
        <f t="shared" si="162"/>
        <v>0</v>
      </c>
      <c r="CS112" s="501">
        <f t="shared" si="163"/>
        <v>0</v>
      </c>
      <c r="CT112" s="501">
        <f t="shared" si="177"/>
        <v>0</v>
      </c>
      <c r="CU112" s="501">
        <f t="shared" si="178"/>
        <v>0</v>
      </c>
      <c r="CV112" s="501">
        <f t="shared" si="166"/>
        <v>0</v>
      </c>
      <c r="CW112" s="501">
        <f t="shared" si="130"/>
        <v>0</v>
      </c>
      <c r="CX112" s="501">
        <f t="shared" si="148"/>
        <v>0</v>
      </c>
      <c r="CY112" s="1168"/>
      <c r="DM112" s="470"/>
      <c r="DN112" s="470"/>
      <c r="DO112" s="470"/>
    </row>
    <row r="113" spans="1:254" ht="15" customHeight="1" x14ac:dyDescent="0.25">
      <c r="A113" s="2343" t="s">
        <v>660</v>
      </c>
      <c r="B113" s="2344"/>
      <c r="C113" s="1139">
        <f t="shared" si="167"/>
        <v>0</v>
      </c>
      <c r="D113" s="1133">
        <f t="shared" si="168"/>
        <v>0</v>
      </c>
      <c r="E113" s="1251">
        <f t="shared" si="169"/>
        <v>0</v>
      </c>
      <c r="F113" s="1623"/>
      <c r="G113" s="1624"/>
      <c r="H113" s="1623"/>
      <c r="I113" s="1624"/>
      <c r="J113" s="1623"/>
      <c r="K113" s="1624"/>
      <c r="L113" s="1623"/>
      <c r="M113" s="1624"/>
      <c r="N113" s="1623"/>
      <c r="O113" s="1624"/>
      <c r="P113" s="1623"/>
      <c r="Q113" s="1624"/>
      <c r="R113" s="1623"/>
      <c r="S113" s="1624"/>
      <c r="T113" s="1623"/>
      <c r="U113" s="1624"/>
      <c r="V113" s="1623"/>
      <c r="W113" s="1624"/>
      <c r="X113" s="1623"/>
      <c r="Y113" s="1624"/>
      <c r="Z113" s="1623"/>
      <c r="AA113" s="1624"/>
      <c r="AB113" s="1623"/>
      <c r="AC113" s="1624"/>
      <c r="AD113" s="1623"/>
      <c r="AE113" s="1624"/>
      <c r="AF113" s="1623"/>
      <c r="AG113" s="1624"/>
      <c r="AH113" s="1623"/>
      <c r="AI113" s="1624"/>
      <c r="AJ113" s="1623"/>
      <c r="AK113" s="1624"/>
      <c r="AL113" s="1623"/>
      <c r="AM113" s="1624"/>
      <c r="AN113" s="1673"/>
      <c r="AO113" s="1627"/>
      <c r="AP113" s="1623"/>
      <c r="AQ113" s="1629"/>
      <c r="AR113" s="1628"/>
      <c r="AS113" s="1624"/>
      <c r="AT113" s="1624"/>
      <c r="AU113" s="1624"/>
      <c r="AV113" s="1624"/>
      <c r="AW113" s="1624"/>
      <c r="AX113" s="1624"/>
      <c r="AY113" s="1116" t="str">
        <f t="shared" si="110"/>
        <v/>
      </c>
      <c r="BC113" s="470"/>
      <c r="CA113" s="620" t="str">
        <f t="shared" si="173"/>
        <v/>
      </c>
      <c r="CB113" s="620" t="str">
        <f t="shared" si="174"/>
        <v/>
      </c>
      <c r="CC113" s="620" t="str">
        <f t="shared" si="170"/>
        <v/>
      </c>
      <c r="CD113" s="620" t="str">
        <f t="shared" si="140"/>
        <v/>
      </c>
      <c r="CE113" s="620" t="str">
        <f t="shared" si="141"/>
        <v/>
      </c>
      <c r="CF113" s="620" t="str">
        <f t="shared" si="142"/>
        <v/>
      </c>
      <c r="CG113" s="620" t="str">
        <f t="shared" si="117"/>
        <v/>
      </c>
      <c r="CH113" s="620" t="str">
        <f t="shared" si="118"/>
        <v/>
      </c>
      <c r="CI113" s="620" t="str">
        <f t="shared" si="143"/>
        <v/>
      </c>
      <c r="CJ113" s="620" t="str">
        <f t="shared" si="132"/>
        <v/>
      </c>
      <c r="CK113" s="620" t="str">
        <f t="shared" si="144"/>
        <v/>
      </c>
      <c r="CN113" s="501">
        <f t="shared" si="175"/>
        <v>0</v>
      </c>
      <c r="CO113" s="501">
        <f t="shared" si="176"/>
        <v>0</v>
      </c>
      <c r="CP113" s="501">
        <f t="shared" si="160"/>
        <v>0</v>
      </c>
      <c r="CQ113" s="501">
        <f t="shared" si="161"/>
        <v>0</v>
      </c>
      <c r="CR113" s="501">
        <f t="shared" si="162"/>
        <v>0</v>
      </c>
      <c r="CS113" s="501">
        <f t="shared" si="163"/>
        <v>0</v>
      </c>
      <c r="CT113" s="501">
        <f t="shared" si="177"/>
        <v>0</v>
      </c>
      <c r="CU113" s="501">
        <f t="shared" si="178"/>
        <v>0</v>
      </c>
      <c r="CV113" s="501">
        <f t="shared" si="166"/>
        <v>0</v>
      </c>
      <c r="CW113" s="501">
        <f t="shared" si="130"/>
        <v>0</v>
      </c>
      <c r="CX113" s="501">
        <f t="shared" si="148"/>
        <v>0</v>
      </c>
      <c r="CY113" s="1168"/>
      <c r="DM113" s="470"/>
      <c r="DN113" s="470"/>
      <c r="DO113" s="470"/>
    </row>
    <row r="114" spans="1:254" ht="15" customHeight="1" x14ac:dyDescent="0.25">
      <c r="A114" s="2345" t="s">
        <v>661</v>
      </c>
      <c r="B114" s="1276" t="s">
        <v>410</v>
      </c>
      <c r="C114" s="1126">
        <f t="shared" ref="C114:C117" si="179">SUM(D114:E114)</f>
        <v>0</v>
      </c>
      <c r="D114" s="1199">
        <f t="shared" ref="D114:D117" si="180">+F114+H114+J114+L114+N114+P114+R114+T114+V114+X114+Z114+AB114+AD114+AF114+AH114+AJ114+AL114</f>
        <v>0</v>
      </c>
      <c r="E114" s="1298">
        <f t="shared" ref="E114:E117" si="181">+G114+I114+K114+M114+O114+Q114+S114+U114+W114+Y114+AA114+AC114+AE114+AG114+AI114+AK114+AM114</f>
        <v>0</v>
      </c>
      <c r="F114" s="1616"/>
      <c r="G114" s="1617"/>
      <c r="H114" s="1616"/>
      <c r="I114" s="1617"/>
      <c r="J114" s="1616"/>
      <c r="K114" s="1617"/>
      <c r="L114" s="1616"/>
      <c r="M114" s="1617"/>
      <c r="N114" s="1616"/>
      <c r="O114" s="1617"/>
      <c r="P114" s="1616"/>
      <c r="Q114" s="1617"/>
      <c r="R114" s="1616"/>
      <c r="S114" s="1617"/>
      <c r="T114" s="1616"/>
      <c r="U114" s="1617"/>
      <c r="V114" s="1616"/>
      <c r="W114" s="1617"/>
      <c r="X114" s="1616"/>
      <c r="Y114" s="1617"/>
      <c r="Z114" s="1616"/>
      <c r="AA114" s="1617"/>
      <c r="AB114" s="1616"/>
      <c r="AC114" s="1617"/>
      <c r="AD114" s="1616"/>
      <c r="AE114" s="1617"/>
      <c r="AF114" s="1616"/>
      <c r="AG114" s="1617"/>
      <c r="AH114" s="1616"/>
      <c r="AI114" s="1617"/>
      <c r="AJ114" s="1616"/>
      <c r="AK114" s="1617"/>
      <c r="AL114" s="1616"/>
      <c r="AM114" s="1617"/>
      <c r="AN114" s="1671"/>
      <c r="AO114" s="1620"/>
      <c r="AP114" s="1616"/>
      <c r="AQ114" s="1622"/>
      <c r="AR114" s="1621"/>
      <c r="AS114" s="1617"/>
      <c r="AT114" s="1617"/>
      <c r="AU114" s="1617"/>
      <c r="AV114" s="1617"/>
      <c r="AW114" s="1617"/>
      <c r="AX114" s="1617"/>
      <c r="AY114" s="1116" t="str">
        <f t="shared" si="110"/>
        <v/>
      </c>
      <c r="BC114" s="470"/>
      <c r="CA114" s="620" t="str">
        <f t="shared" si="173"/>
        <v/>
      </c>
      <c r="CB114" s="620" t="str">
        <f t="shared" si="174"/>
        <v/>
      </c>
      <c r="CC114" s="620" t="str">
        <f t="shared" si="170"/>
        <v/>
      </c>
      <c r="CD114" s="620" t="str">
        <f t="shared" si="140"/>
        <v/>
      </c>
      <c r="CE114" s="620" t="str">
        <f t="shared" si="141"/>
        <v/>
      </c>
      <c r="CF114" s="620" t="str">
        <f t="shared" si="142"/>
        <v/>
      </c>
      <c r="CG114" s="620" t="str">
        <f t="shared" si="117"/>
        <v/>
      </c>
      <c r="CH114" s="620" t="str">
        <f t="shared" si="118"/>
        <v/>
      </c>
      <c r="CI114" s="620" t="str">
        <f t="shared" si="143"/>
        <v/>
      </c>
      <c r="CJ114" s="620" t="str">
        <f t="shared" si="132"/>
        <v/>
      </c>
      <c r="CK114" s="620" t="str">
        <f t="shared" si="144"/>
        <v/>
      </c>
      <c r="CN114" s="501">
        <f t="shared" si="175"/>
        <v>0</v>
      </c>
      <c r="CO114" s="501">
        <f t="shared" si="176"/>
        <v>0</v>
      </c>
      <c r="CP114" s="501">
        <f t="shared" si="160"/>
        <v>0</v>
      </c>
      <c r="CQ114" s="501">
        <f t="shared" si="161"/>
        <v>0</v>
      </c>
      <c r="CR114" s="501">
        <f t="shared" si="162"/>
        <v>0</v>
      </c>
      <c r="CS114" s="501">
        <f t="shared" si="163"/>
        <v>0</v>
      </c>
      <c r="CT114" s="501">
        <f t="shared" si="177"/>
        <v>0</v>
      </c>
      <c r="CU114" s="501">
        <f t="shared" si="178"/>
        <v>0</v>
      </c>
      <c r="CV114" s="501">
        <f t="shared" si="166"/>
        <v>0</v>
      </c>
      <c r="CW114" s="501">
        <f t="shared" si="130"/>
        <v>0</v>
      </c>
      <c r="CX114" s="501">
        <f t="shared" si="148"/>
        <v>0</v>
      </c>
      <c r="CY114" s="1168"/>
      <c r="DM114" s="470"/>
      <c r="DN114" s="470"/>
      <c r="DO114" s="470"/>
    </row>
    <row r="115" spans="1:254" ht="15" customHeight="1" x14ac:dyDescent="0.25">
      <c r="A115" s="2101"/>
      <c r="B115" s="1279" t="s">
        <v>412</v>
      </c>
      <c r="C115" s="1270">
        <f t="shared" si="179"/>
        <v>0</v>
      </c>
      <c r="D115" s="1127">
        <f t="shared" si="180"/>
        <v>0</v>
      </c>
      <c r="E115" s="1271">
        <f t="shared" si="181"/>
        <v>0</v>
      </c>
      <c r="F115" s="1638"/>
      <c r="G115" s="1639"/>
      <c r="H115" s="1638"/>
      <c r="I115" s="1639"/>
      <c r="J115" s="1638"/>
      <c r="K115" s="1639"/>
      <c r="L115" s="1638"/>
      <c r="M115" s="1639"/>
      <c r="N115" s="1638"/>
      <c r="O115" s="1639"/>
      <c r="P115" s="1638"/>
      <c r="Q115" s="1639"/>
      <c r="R115" s="1638"/>
      <c r="S115" s="1639"/>
      <c r="T115" s="1638"/>
      <c r="U115" s="1639"/>
      <c r="V115" s="1638"/>
      <c r="W115" s="1639"/>
      <c r="X115" s="1638"/>
      <c r="Y115" s="1639"/>
      <c r="Z115" s="1638"/>
      <c r="AA115" s="1639"/>
      <c r="AB115" s="1638"/>
      <c r="AC115" s="1639"/>
      <c r="AD115" s="1638"/>
      <c r="AE115" s="1639"/>
      <c r="AF115" s="1638"/>
      <c r="AG115" s="1639"/>
      <c r="AH115" s="1638"/>
      <c r="AI115" s="1639"/>
      <c r="AJ115" s="1638"/>
      <c r="AK115" s="1639"/>
      <c r="AL115" s="1638"/>
      <c r="AM115" s="1639"/>
      <c r="AN115" s="1672"/>
      <c r="AO115" s="1642"/>
      <c r="AP115" s="1638"/>
      <c r="AQ115" s="1644"/>
      <c r="AR115" s="1643"/>
      <c r="AS115" s="1639"/>
      <c r="AT115" s="1639"/>
      <c r="AU115" s="1639"/>
      <c r="AV115" s="1639"/>
      <c r="AW115" s="1639"/>
      <c r="AX115" s="1639"/>
      <c r="AY115" s="1116" t="str">
        <f t="shared" si="110"/>
        <v/>
      </c>
      <c r="BC115" s="470"/>
      <c r="CA115" s="620" t="str">
        <f t="shared" si="173"/>
        <v/>
      </c>
      <c r="CB115" s="620" t="str">
        <f t="shared" si="174"/>
        <v/>
      </c>
      <c r="CC115" s="620" t="str">
        <f t="shared" si="170"/>
        <v/>
      </c>
      <c r="CD115" s="620" t="str">
        <f t="shared" si="140"/>
        <v/>
      </c>
      <c r="CE115" s="620" t="str">
        <f t="shared" si="141"/>
        <v/>
      </c>
      <c r="CF115" s="620" t="str">
        <f t="shared" si="142"/>
        <v/>
      </c>
      <c r="CG115" s="620" t="str">
        <f t="shared" si="117"/>
        <v/>
      </c>
      <c r="CH115" s="620" t="str">
        <f t="shared" si="118"/>
        <v/>
      </c>
      <c r="CI115" s="620" t="str">
        <f t="shared" si="143"/>
        <v/>
      </c>
      <c r="CJ115" s="620" t="str">
        <f t="shared" si="132"/>
        <v/>
      </c>
      <c r="CK115" s="620" t="str">
        <f t="shared" si="144"/>
        <v/>
      </c>
      <c r="CN115" s="501">
        <f t="shared" si="175"/>
        <v>0</v>
      </c>
      <c r="CO115" s="501">
        <f t="shared" si="176"/>
        <v>0</v>
      </c>
      <c r="CP115" s="501">
        <f t="shared" si="160"/>
        <v>0</v>
      </c>
      <c r="CQ115" s="501">
        <f t="shared" si="161"/>
        <v>0</v>
      </c>
      <c r="CR115" s="501">
        <f t="shared" si="162"/>
        <v>0</v>
      </c>
      <c r="CS115" s="501">
        <f t="shared" si="163"/>
        <v>0</v>
      </c>
      <c r="CT115" s="501">
        <f t="shared" si="177"/>
        <v>0</v>
      </c>
      <c r="CU115" s="501">
        <f t="shared" si="178"/>
        <v>0</v>
      </c>
      <c r="CV115" s="501">
        <f t="shared" si="166"/>
        <v>0</v>
      </c>
      <c r="CW115" s="501">
        <f t="shared" si="130"/>
        <v>0</v>
      </c>
      <c r="CX115" s="501">
        <f t="shared" si="148"/>
        <v>0</v>
      </c>
      <c r="CY115" s="1168"/>
      <c r="DM115" s="470"/>
      <c r="DN115" s="470"/>
      <c r="DO115" s="470"/>
    </row>
    <row r="116" spans="1:254" ht="15" customHeight="1" x14ac:dyDescent="0.25">
      <c r="A116" s="2101"/>
      <c r="B116" s="1279" t="s">
        <v>686</v>
      </c>
      <c r="C116" s="1270">
        <f t="shared" si="179"/>
        <v>0</v>
      </c>
      <c r="D116" s="1127">
        <f t="shared" si="180"/>
        <v>0</v>
      </c>
      <c r="E116" s="1271">
        <f t="shared" si="181"/>
        <v>0</v>
      </c>
      <c r="F116" s="1638"/>
      <c r="G116" s="1639"/>
      <c r="H116" s="1638"/>
      <c r="I116" s="1639"/>
      <c r="J116" s="1638"/>
      <c r="K116" s="1639"/>
      <c r="L116" s="1638"/>
      <c r="M116" s="1639"/>
      <c r="N116" s="1638"/>
      <c r="O116" s="1639"/>
      <c r="P116" s="1638"/>
      <c r="Q116" s="1639"/>
      <c r="R116" s="1638"/>
      <c r="S116" s="1639"/>
      <c r="T116" s="1638"/>
      <c r="U116" s="1639"/>
      <c r="V116" s="1638"/>
      <c r="W116" s="1639"/>
      <c r="X116" s="1638"/>
      <c r="Y116" s="1639"/>
      <c r="Z116" s="1638"/>
      <c r="AA116" s="1639"/>
      <c r="AB116" s="1638"/>
      <c r="AC116" s="1639"/>
      <c r="AD116" s="1638"/>
      <c r="AE116" s="1639"/>
      <c r="AF116" s="1638"/>
      <c r="AG116" s="1639"/>
      <c r="AH116" s="1638"/>
      <c r="AI116" s="1639"/>
      <c r="AJ116" s="1638"/>
      <c r="AK116" s="1639"/>
      <c r="AL116" s="1638"/>
      <c r="AM116" s="1639"/>
      <c r="AN116" s="1672"/>
      <c r="AO116" s="1642"/>
      <c r="AP116" s="1638"/>
      <c r="AQ116" s="1644"/>
      <c r="AR116" s="1643"/>
      <c r="AS116" s="1639"/>
      <c r="AT116" s="1639"/>
      <c r="AU116" s="1639"/>
      <c r="AV116" s="1639"/>
      <c r="AW116" s="1639"/>
      <c r="AX116" s="1639"/>
      <c r="AY116" s="1116" t="str">
        <f t="shared" si="110"/>
        <v/>
      </c>
      <c r="BC116" s="470"/>
      <c r="CA116" s="620" t="str">
        <f t="shared" si="173"/>
        <v/>
      </c>
      <c r="CB116" s="620" t="str">
        <f t="shared" si="174"/>
        <v/>
      </c>
      <c r="CC116" s="620" t="str">
        <f t="shared" si="170"/>
        <v/>
      </c>
      <c r="CD116" s="620" t="str">
        <f t="shared" si="140"/>
        <v/>
      </c>
      <c r="CE116" s="620" t="str">
        <f t="shared" si="141"/>
        <v/>
      </c>
      <c r="CF116" s="620" t="str">
        <f t="shared" si="142"/>
        <v/>
      </c>
      <c r="CG116" s="620" t="str">
        <f t="shared" si="117"/>
        <v/>
      </c>
      <c r="CH116" s="620" t="str">
        <f t="shared" si="118"/>
        <v/>
      </c>
      <c r="CI116" s="620" t="str">
        <f t="shared" si="143"/>
        <v/>
      </c>
      <c r="CJ116" s="620" t="str">
        <f t="shared" si="132"/>
        <v/>
      </c>
      <c r="CK116" s="620" t="str">
        <f t="shared" si="144"/>
        <v/>
      </c>
      <c r="CN116" s="501">
        <f t="shared" si="175"/>
        <v>0</v>
      </c>
      <c r="CO116" s="501">
        <f t="shared" si="176"/>
        <v>0</v>
      </c>
      <c r="CP116" s="501">
        <f t="shared" si="160"/>
        <v>0</v>
      </c>
      <c r="CQ116" s="501">
        <f t="shared" si="161"/>
        <v>0</v>
      </c>
      <c r="CR116" s="501">
        <f t="shared" si="162"/>
        <v>0</v>
      </c>
      <c r="CS116" s="501">
        <f t="shared" si="163"/>
        <v>0</v>
      </c>
      <c r="CT116" s="501">
        <f t="shared" si="177"/>
        <v>0</v>
      </c>
      <c r="CU116" s="501">
        <f t="shared" si="178"/>
        <v>0</v>
      </c>
      <c r="CV116" s="501">
        <f t="shared" si="166"/>
        <v>0</v>
      </c>
      <c r="CW116" s="501">
        <f t="shared" si="130"/>
        <v>0</v>
      </c>
      <c r="CX116" s="501">
        <f t="shared" si="148"/>
        <v>0</v>
      </c>
      <c r="CY116" s="1168"/>
      <c r="DM116" s="470"/>
      <c r="DN116" s="470"/>
      <c r="DO116" s="470"/>
    </row>
    <row r="117" spans="1:254" ht="15" customHeight="1" x14ac:dyDescent="0.25">
      <c r="A117" s="2101"/>
      <c r="B117" s="1279" t="s">
        <v>663</v>
      </c>
      <c r="C117" s="1270">
        <f t="shared" si="179"/>
        <v>0</v>
      </c>
      <c r="D117" s="1127">
        <f t="shared" si="180"/>
        <v>0</v>
      </c>
      <c r="E117" s="1271">
        <f t="shared" si="181"/>
        <v>0</v>
      </c>
      <c r="F117" s="1638"/>
      <c r="G117" s="1639"/>
      <c r="H117" s="1638"/>
      <c r="I117" s="1639"/>
      <c r="J117" s="1638"/>
      <c r="K117" s="1639"/>
      <c r="L117" s="1638"/>
      <c r="M117" s="1639"/>
      <c r="N117" s="1638"/>
      <c r="O117" s="1639"/>
      <c r="P117" s="1638"/>
      <c r="Q117" s="1639"/>
      <c r="R117" s="1638"/>
      <c r="S117" s="1639"/>
      <c r="T117" s="1638"/>
      <c r="U117" s="1639"/>
      <c r="V117" s="1638"/>
      <c r="W117" s="1639"/>
      <c r="X117" s="1638"/>
      <c r="Y117" s="1639"/>
      <c r="Z117" s="1638"/>
      <c r="AA117" s="1639"/>
      <c r="AB117" s="1638"/>
      <c r="AC117" s="1639"/>
      <c r="AD117" s="1638"/>
      <c r="AE117" s="1639"/>
      <c r="AF117" s="1638"/>
      <c r="AG117" s="1639"/>
      <c r="AH117" s="1638"/>
      <c r="AI117" s="1639"/>
      <c r="AJ117" s="1638"/>
      <c r="AK117" s="1639"/>
      <c r="AL117" s="1638"/>
      <c r="AM117" s="1639"/>
      <c r="AN117" s="1672"/>
      <c r="AO117" s="1642"/>
      <c r="AP117" s="1638"/>
      <c r="AQ117" s="1644"/>
      <c r="AR117" s="1643"/>
      <c r="AS117" s="1639"/>
      <c r="AT117" s="1639"/>
      <c r="AU117" s="1639"/>
      <c r="AV117" s="1639"/>
      <c r="AW117" s="1639"/>
      <c r="AX117" s="1639"/>
      <c r="AY117" s="1116" t="str">
        <f t="shared" si="110"/>
        <v/>
      </c>
      <c r="BC117" s="470"/>
      <c r="CA117" s="620" t="str">
        <f t="shared" si="173"/>
        <v/>
      </c>
      <c r="CB117" s="620" t="str">
        <f t="shared" si="174"/>
        <v/>
      </c>
      <c r="CC117" s="620" t="str">
        <f t="shared" si="170"/>
        <v/>
      </c>
      <c r="CD117" s="620" t="str">
        <f t="shared" si="140"/>
        <v/>
      </c>
      <c r="CE117" s="620" t="str">
        <f t="shared" si="141"/>
        <v/>
      </c>
      <c r="CF117" s="620" t="str">
        <f t="shared" si="142"/>
        <v/>
      </c>
      <c r="CG117" s="620" t="str">
        <f t="shared" si="117"/>
        <v/>
      </c>
      <c r="CH117" s="620" t="str">
        <f t="shared" si="118"/>
        <v/>
      </c>
      <c r="CI117" s="620" t="str">
        <f t="shared" si="143"/>
        <v/>
      </c>
      <c r="CJ117" s="620" t="str">
        <f t="shared" si="132"/>
        <v/>
      </c>
      <c r="CK117" s="620" t="str">
        <f t="shared" si="144"/>
        <v/>
      </c>
      <c r="CN117" s="501">
        <f t="shared" si="175"/>
        <v>0</v>
      </c>
      <c r="CO117" s="501">
        <f t="shared" si="176"/>
        <v>0</v>
      </c>
      <c r="CP117" s="501">
        <f t="shared" si="160"/>
        <v>0</v>
      </c>
      <c r="CQ117" s="501">
        <f t="shared" si="161"/>
        <v>0</v>
      </c>
      <c r="CR117" s="501">
        <f t="shared" si="162"/>
        <v>0</v>
      </c>
      <c r="CS117" s="501">
        <f t="shared" si="163"/>
        <v>0</v>
      </c>
      <c r="CT117" s="501">
        <f t="shared" si="177"/>
        <v>0</v>
      </c>
      <c r="CU117" s="501">
        <f t="shared" si="178"/>
        <v>0</v>
      </c>
      <c r="CV117" s="501">
        <f t="shared" si="166"/>
        <v>0</v>
      </c>
      <c r="CW117" s="501">
        <f t="shared" si="130"/>
        <v>0</v>
      </c>
      <c r="CX117" s="501">
        <f t="shared" si="148"/>
        <v>0</v>
      </c>
      <c r="CY117" s="1168"/>
      <c r="DM117" s="470"/>
      <c r="DN117" s="470"/>
      <c r="DO117" s="470"/>
    </row>
    <row r="118" spans="1:254" ht="15" customHeight="1" x14ac:dyDescent="0.25">
      <c r="A118" s="2102"/>
      <c r="B118" s="1356" t="s">
        <v>687</v>
      </c>
      <c r="C118" s="1139">
        <f t="shared" si="167"/>
        <v>0</v>
      </c>
      <c r="D118" s="1133">
        <f t="shared" si="168"/>
        <v>0</v>
      </c>
      <c r="E118" s="1251">
        <f t="shared" si="169"/>
        <v>0</v>
      </c>
      <c r="F118" s="1623"/>
      <c r="G118" s="1624"/>
      <c r="H118" s="1623"/>
      <c r="I118" s="1624"/>
      <c r="J118" s="1623"/>
      <c r="K118" s="1624"/>
      <c r="L118" s="1623"/>
      <c r="M118" s="1624"/>
      <c r="N118" s="1623"/>
      <c r="O118" s="1624"/>
      <c r="P118" s="1623"/>
      <c r="Q118" s="1624"/>
      <c r="R118" s="1623"/>
      <c r="S118" s="1624"/>
      <c r="T118" s="1623"/>
      <c r="U118" s="1624"/>
      <c r="V118" s="1623"/>
      <c r="W118" s="1624"/>
      <c r="X118" s="1623"/>
      <c r="Y118" s="1624"/>
      <c r="Z118" s="1623"/>
      <c r="AA118" s="1624"/>
      <c r="AB118" s="1623"/>
      <c r="AC118" s="1624"/>
      <c r="AD118" s="1623"/>
      <c r="AE118" s="1624"/>
      <c r="AF118" s="1623"/>
      <c r="AG118" s="1624"/>
      <c r="AH118" s="1623"/>
      <c r="AI118" s="1624"/>
      <c r="AJ118" s="1623"/>
      <c r="AK118" s="1624"/>
      <c r="AL118" s="1623"/>
      <c r="AM118" s="1624"/>
      <c r="AN118" s="1673"/>
      <c r="AO118" s="1627"/>
      <c r="AP118" s="1623"/>
      <c r="AQ118" s="1629"/>
      <c r="AR118" s="1628"/>
      <c r="AS118" s="1624"/>
      <c r="AT118" s="1624"/>
      <c r="AU118" s="1624"/>
      <c r="AV118" s="1624"/>
      <c r="AW118" s="1624"/>
      <c r="AX118" s="1624"/>
      <c r="AY118" s="1116" t="str">
        <f t="shared" si="110"/>
        <v/>
      </c>
      <c r="BC118" s="470"/>
      <c r="CA118" s="620" t="str">
        <f t="shared" si="173"/>
        <v/>
      </c>
      <c r="CB118" s="620" t="str">
        <f t="shared" si="174"/>
        <v/>
      </c>
      <c r="CC118" s="620" t="str">
        <f t="shared" si="170"/>
        <v/>
      </c>
      <c r="CD118" s="620" t="str">
        <f t="shared" si="140"/>
        <v/>
      </c>
      <c r="CE118" s="620" t="str">
        <f t="shared" si="141"/>
        <v/>
      </c>
      <c r="CF118" s="620" t="str">
        <f t="shared" si="142"/>
        <v/>
      </c>
      <c r="CG118" s="620" t="str">
        <f t="shared" si="117"/>
        <v/>
      </c>
      <c r="CH118" s="620" t="str">
        <f t="shared" si="118"/>
        <v/>
      </c>
      <c r="CI118" s="620" t="str">
        <f t="shared" si="143"/>
        <v/>
      </c>
      <c r="CJ118" s="620" t="str">
        <f t="shared" si="132"/>
        <v/>
      </c>
      <c r="CK118" s="620" t="str">
        <f t="shared" si="144"/>
        <v/>
      </c>
      <c r="CN118" s="501">
        <f t="shared" si="175"/>
        <v>0</v>
      </c>
      <c r="CO118" s="501">
        <f t="shared" si="176"/>
        <v>0</v>
      </c>
      <c r="CP118" s="501">
        <f t="shared" si="160"/>
        <v>0</v>
      </c>
      <c r="CQ118" s="501">
        <f t="shared" si="161"/>
        <v>0</v>
      </c>
      <c r="CR118" s="501">
        <f t="shared" si="162"/>
        <v>0</v>
      </c>
      <c r="CS118" s="501">
        <f t="shared" si="163"/>
        <v>0</v>
      </c>
      <c r="CT118" s="501">
        <f t="shared" si="177"/>
        <v>0</v>
      </c>
      <c r="CU118" s="501">
        <f t="shared" si="178"/>
        <v>0</v>
      </c>
      <c r="CV118" s="501">
        <f t="shared" si="166"/>
        <v>0</v>
      </c>
      <c r="CW118" s="501">
        <f t="shared" si="130"/>
        <v>0</v>
      </c>
      <c r="CX118" s="501">
        <f t="shared" si="148"/>
        <v>0</v>
      </c>
      <c r="CY118" s="1168"/>
      <c r="DM118" s="470"/>
      <c r="DN118" s="470"/>
      <c r="DO118" s="470"/>
    </row>
    <row r="119" spans="1:254" ht="15" customHeight="1" x14ac:dyDescent="0.25">
      <c r="A119" s="2285" t="s">
        <v>665</v>
      </c>
      <c r="B119" s="2286"/>
      <c r="C119" s="1126">
        <f>SUM(D119+E119)</f>
        <v>0</v>
      </c>
      <c r="D119" s="1199">
        <f>SUM(F119+H119+J119+L119+N119+P119+R119+T119+V119+X119+Z119+AB119+AD119+AF119+AH119+AJ119+AL119)</f>
        <v>0</v>
      </c>
      <c r="E119" s="1298">
        <f>SUM(G119+I119+K119+M119+O119+Q119+S119+U119+W119+Y119+AA119+AC119+AE119+AG119+AI119+AK119+AM119)</f>
        <v>0</v>
      </c>
      <c r="F119" s="1657"/>
      <c r="G119" s="1656"/>
      <c r="H119" s="1657"/>
      <c r="I119" s="1656"/>
      <c r="J119" s="1657"/>
      <c r="K119" s="1656"/>
      <c r="L119" s="1657"/>
      <c r="M119" s="1656"/>
      <c r="N119" s="1657"/>
      <c r="O119" s="1656"/>
      <c r="P119" s="1657"/>
      <c r="Q119" s="1656"/>
      <c r="R119" s="1657"/>
      <c r="S119" s="1656"/>
      <c r="T119" s="1657"/>
      <c r="U119" s="1656"/>
      <c r="V119" s="1657"/>
      <c r="W119" s="1656"/>
      <c r="X119" s="1657"/>
      <c r="Y119" s="1656"/>
      <c r="Z119" s="1657"/>
      <c r="AA119" s="1656"/>
      <c r="AB119" s="1657"/>
      <c r="AC119" s="1656"/>
      <c r="AD119" s="1657"/>
      <c r="AE119" s="1656"/>
      <c r="AF119" s="1657"/>
      <c r="AG119" s="1656"/>
      <c r="AH119" s="1657"/>
      <c r="AI119" s="1656"/>
      <c r="AJ119" s="1657"/>
      <c r="AK119" s="1656"/>
      <c r="AL119" s="1657"/>
      <c r="AM119" s="1656"/>
      <c r="AN119" s="1674"/>
      <c r="AO119" s="1675"/>
      <c r="AP119" s="1657"/>
      <c r="AQ119" s="1652"/>
      <c r="AR119" s="1655"/>
      <c r="AS119" s="1656"/>
      <c r="AT119" s="1656"/>
      <c r="AU119" s="1656"/>
      <c r="AV119" s="1656"/>
      <c r="AW119" s="1656"/>
      <c r="AX119" s="1656"/>
      <c r="AY119" s="1116" t="str">
        <f>$CA119&amp;CB119&amp;CC119&amp;CD119&amp;CE119&amp;CF119&amp;CG119&amp;CH119&amp;CI119&amp;CJ119&amp;CK119</f>
        <v/>
      </c>
      <c r="BC119" s="470"/>
      <c r="CA119" s="620" t="str">
        <f t="shared" si="173"/>
        <v/>
      </c>
      <c r="CB119" s="620" t="str">
        <f t="shared" si="174"/>
        <v/>
      </c>
      <c r="CC119" s="620" t="str">
        <f t="shared" si="170"/>
        <v/>
      </c>
      <c r="CD119" s="620" t="str">
        <f t="shared" si="140"/>
        <v/>
      </c>
      <c r="CE119" s="620" t="str">
        <f t="shared" si="141"/>
        <v/>
      </c>
      <c r="CF119" s="620" t="str">
        <f t="shared" si="142"/>
        <v/>
      </c>
      <c r="CG119" s="620" t="str">
        <f t="shared" si="117"/>
        <v/>
      </c>
      <c r="CH119" s="620" t="str">
        <f t="shared" si="118"/>
        <v/>
      </c>
      <c r="CI119" s="620" t="str">
        <f t="shared" si="143"/>
        <v/>
      </c>
      <c r="CJ119" s="620" t="str">
        <f t="shared" si="132"/>
        <v/>
      </c>
      <c r="CK119" s="620" t="str">
        <f t="shared" si="144"/>
        <v/>
      </c>
      <c r="CN119" s="501">
        <f t="shared" si="175"/>
        <v>0</v>
      </c>
      <c r="CO119" s="501">
        <f t="shared" si="176"/>
        <v>0</v>
      </c>
      <c r="CP119" s="501">
        <f t="shared" si="160"/>
        <v>0</v>
      </c>
      <c r="CQ119" s="501">
        <f t="shared" si="161"/>
        <v>0</v>
      </c>
      <c r="CR119" s="501">
        <f t="shared" si="162"/>
        <v>0</v>
      </c>
      <c r="CS119" s="501">
        <f t="shared" si="163"/>
        <v>0</v>
      </c>
      <c r="CT119" s="501">
        <f t="shared" si="177"/>
        <v>0</v>
      </c>
      <c r="CU119" s="501">
        <f t="shared" si="178"/>
        <v>0</v>
      </c>
      <c r="CV119" s="501">
        <f t="shared" si="166"/>
        <v>0</v>
      </c>
      <c r="CW119" s="501">
        <f t="shared" si="130"/>
        <v>0</v>
      </c>
      <c r="CX119" s="501">
        <f t="shared" si="148"/>
        <v>0</v>
      </c>
      <c r="CY119" s="1168"/>
      <c r="DM119" s="470"/>
      <c r="DN119" s="470"/>
      <c r="DO119" s="470"/>
    </row>
    <row r="120" spans="1:254" ht="15" customHeight="1" x14ac:dyDescent="0.25">
      <c r="A120" s="2343" t="s">
        <v>688</v>
      </c>
      <c r="B120" s="2344"/>
      <c r="C120" s="1139">
        <f t="shared" si="167"/>
        <v>0</v>
      </c>
      <c r="D120" s="1133">
        <f>+F120+H120+J120+L120+N120+P120+R120+T120+V120+X120+Z120+AB120+AD120+AF120+AH120+AJ120+AL120</f>
        <v>0</v>
      </c>
      <c r="E120" s="1134">
        <f>+G120+I120+K120+M120+O120+Q120+S120+U120+W120+Y120+AA120+AC120+AE120+AG120+AI120+AK120+AM120</f>
        <v>0</v>
      </c>
      <c r="F120" s="1623"/>
      <c r="G120" s="1624"/>
      <c r="H120" s="1623"/>
      <c r="I120" s="1624"/>
      <c r="J120" s="1623"/>
      <c r="K120" s="1624"/>
      <c r="L120" s="1623"/>
      <c r="M120" s="1624"/>
      <c r="N120" s="1623"/>
      <c r="O120" s="1624"/>
      <c r="P120" s="1623"/>
      <c r="Q120" s="1624"/>
      <c r="R120" s="1623"/>
      <c r="S120" s="1624"/>
      <c r="T120" s="1623"/>
      <c r="U120" s="1624"/>
      <c r="V120" s="1623"/>
      <c r="W120" s="1624"/>
      <c r="X120" s="1623"/>
      <c r="Y120" s="1624"/>
      <c r="Z120" s="1623"/>
      <c r="AA120" s="1624"/>
      <c r="AB120" s="1623"/>
      <c r="AC120" s="1624"/>
      <c r="AD120" s="1623"/>
      <c r="AE120" s="1624"/>
      <c r="AF120" s="1623"/>
      <c r="AG120" s="1624"/>
      <c r="AH120" s="1623"/>
      <c r="AI120" s="1624"/>
      <c r="AJ120" s="1623"/>
      <c r="AK120" s="1624"/>
      <c r="AL120" s="1623"/>
      <c r="AM120" s="1624"/>
      <c r="AN120" s="1673"/>
      <c r="AO120" s="1627"/>
      <c r="AP120" s="1623"/>
      <c r="AQ120" s="1629"/>
      <c r="AR120" s="1628"/>
      <c r="AS120" s="1624"/>
      <c r="AT120" s="1624"/>
      <c r="AU120" s="1624"/>
      <c r="AV120" s="1624"/>
      <c r="AW120" s="1624"/>
      <c r="AX120" s="1624"/>
      <c r="AY120" s="1116" t="str">
        <f t="shared" si="110"/>
        <v/>
      </c>
      <c r="BC120" s="470"/>
      <c r="CA120" s="620" t="str">
        <f t="shared" si="173"/>
        <v/>
      </c>
      <c r="CB120" s="620" t="str">
        <f t="shared" si="174"/>
        <v/>
      </c>
      <c r="CC120" s="620" t="str">
        <f t="shared" si="170"/>
        <v/>
      </c>
      <c r="CD120" s="620" t="str">
        <f t="shared" si="140"/>
        <v/>
      </c>
      <c r="CE120" s="620" t="str">
        <f t="shared" si="141"/>
        <v/>
      </c>
      <c r="CF120" s="620" t="str">
        <f t="shared" si="142"/>
        <v/>
      </c>
      <c r="CG120" s="620" t="str">
        <f t="shared" si="117"/>
        <v/>
      </c>
      <c r="CH120" s="620" t="str">
        <f t="shared" si="118"/>
        <v/>
      </c>
      <c r="CI120" s="620" t="str">
        <f t="shared" si="143"/>
        <v/>
      </c>
      <c r="CJ120" s="620" t="str">
        <f t="shared" si="132"/>
        <v/>
      </c>
      <c r="CK120" s="620" t="str">
        <f t="shared" si="144"/>
        <v/>
      </c>
      <c r="CN120" s="501">
        <f t="shared" si="175"/>
        <v>0</v>
      </c>
      <c r="CO120" s="501">
        <f t="shared" si="176"/>
        <v>0</v>
      </c>
      <c r="CP120" s="501">
        <f t="shared" si="160"/>
        <v>0</v>
      </c>
      <c r="CQ120" s="501">
        <f t="shared" si="161"/>
        <v>0</v>
      </c>
      <c r="CR120" s="501">
        <f t="shared" si="162"/>
        <v>0</v>
      </c>
      <c r="CS120" s="501">
        <f t="shared" si="163"/>
        <v>0</v>
      </c>
      <c r="CT120" s="501">
        <f t="shared" si="177"/>
        <v>0</v>
      </c>
      <c r="CU120" s="501">
        <f t="shared" si="178"/>
        <v>0</v>
      </c>
      <c r="CV120" s="501">
        <f t="shared" si="166"/>
        <v>0</v>
      </c>
      <c r="CW120" s="501">
        <f t="shared" si="130"/>
        <v>0</v>
      </c>
      <c r="CX120" s="501">
        <f t="shared" si="148"/>
        <v>0</v>
      </c>
      <c r="CY120" s="1168"/>
      <c r="DM120" s="470"/>
      <c r="DN120" s="470"/>
      <c r="DO120" s="470"/>
    </row>
    <row r="121" spans="1:254" ht="17.100000000000001" customHeight="1" x14ac:dyDescent="0.25">
      <c r="A121" s="1364" t="s">
        <v>689</v>
      </c>
      <c r="B121" s="1301"/>
      <c r="C121" s="1301"/>
      <c r="D121" s="1301"/>
      <c r="E121" s="1301"/>
      <c r="F121" s="1301"/>
      <c r="G121" s="1301"/>
      <c r="H121" s="1301"/>
      <c r="I121" s="1301"/>
      <c r="J121" s="1301"/>
      <c r="K121" s="1301"/>
      <c r="L121" s="1301"/>
      <c r="M121" s="1301"/>
      <c r="N121" s="1301"/>
      <c r="O121" s="1301"/>
      <c r="V121" s="468"/>
      <c r="AT121" s="652"/>
    </row>
    <row r="122" spans="1:254" x14ac:dyDescent="0.25">
      <c r="A122" s="2320" t="s">
        <v>668</v>
      </c>
      <c r="B122" s="2320" t="s">
        <v>669</v>
      </c>
      <c r="C122" s="2140" t="s">
        <v>603</v>
      </c>
      <c r="D122" s="2140"/>
      <c r="E122" s="2140"/>
      <c r="F122" s="2355" t="s">
        <v>370</v>
      </c>
      <c r="G122" s="2140"/>
      <c r="H122" s="2140"/>
      <c r="I122" s="2140"/>
      <c r="J122" s="2140"/>
      <c r="K122" s="2140"/>
      <c r="L122" s="2140"/>
      <c r="M122" s="2140"/>
      <c r="N122" s="2140"/>
      <c r="O122" s="2140"/>
      <c r="P122" s="2140"/>
      <c r="Q122" s="2140"/>
      <c r="R122" s="2140"/>
      <c r="S122" s="2140"/>
      <c r="T122" s="2140"/>
      <c r="U122" s="2140"/>
      <c r="V122" s="2140"/>
      <c r="W122" s="2140"/>
      <c r="X122" s="2140"/>
      <c r="Y122" s="2140"/>
      <c r="Z122" s="2140"/>
      <c r="AA122" s="2140"/>
      <c r="AB122" s="2140"/>
      <c r="AC122" s="2140"/>
      <c r="AD122" s="2140"/>
      <c r="AE122" s="2140"/>
      <c r="AF122" s="2140"/>
      <c r="AG122" s="2140"/>
      <c r="AH122" s="2140"/>
      <c r="AI122" s="2140"/>
      <c r="AJ122" s="2140"/>
      <c r="AK122" s="2140"/>
      <c r="AL122" s="2140"/>
      <c r="AM122" s="2140"/>
      <c r="AT122" s="652"/>
    </row>
    <row r="123" spans="1:254" ht="17.25" customHeight="1" x14ac:dyDescent="0.25">
      <c r="A123" s="2320"/>
      <c r="B123" s="2320"/>
      <c r="C123" s="2140"/>
      <c r="D123" s="2140"/>
      <c r="E123" s="2140"/>
      <c r="F123" s="2140" t="s">
        <v>394</v>
      </c>
      <c r="G123" s="2140"/>
      <c r="H123" s="2140" t="s">
        <v>395</v>
      </c>
      <c r="I123" s="2140"/>
      <c r="J123" s="2293" t="s">
        <v>314</v>
      </c>
      <c r="K123" s="2293"/>
      <c r="L123" s="2293" t="s">
        <v>57</v>
      </c>
      <c r="M123" s="2293"/>
      <c r="N123" s="2293" t="s">
        <v>58</v>
      </c>
      <c r="O123" s="2293"/>
      <c r="P123" s="2293" t="s">
        <v>59</v>
      </c>
      <c r="Q123" s="2293"/>
      <c r="R123" s="2293" t="s">
        <v>60</v>
      </c>
      <c r="S123" s="2293"/>
      <c r="T123" s="2293" t="s">
        <v>61</v>
      </c>
      <c r="U123" s="2293"/>
      <c r="V123" s="2293" t="s">
        <v>62</v>
      </c>
      <c r="W123" s="2293"/>
      <c r="X123" s="2293" t="s">
        <v>63</v>
      </c>
      <c r="Y123" s="2293"/>
      <c r="Z123" s="2293" t="s">
        <v>64</v>
      </c>
      <c r="AA123" s="2293"/>
      <c r="AB123" s="2293" t="s">
        <v>65</v>
      </c>
      <c r="AC123" s="2293"/>
      <c r="AD123" s="2293" t="s">
        <v>66</v>
      </c>
      <c r="AE123" s="2293"/>
      <c r="AF123" s="2358" t="s">
        <v>67</v>
      </c>
      <c r="AG123" s="2358"/>
      <c r="AH123" s="2358" t="s">
        <v>396</v>
      </c>
      <c r="AI123" s="2358"/>
      <c r="AJ123" s="2358" t="s">
        <v>397</v>
      </c>
      <c r="AK123" s="2358"/>
      <c r="AL123" s="2363" t="s">
        <v>398</v>
      </c>
      <c r="AM123" s="2363"/>
    </row>
    <row r="124" spans="1:254" x14ac:dyDescent="0.25">
      <c r="A124" s="2320"/>
      <c r="B124" s="2320"/>
      <c r="C124" s="1236" t="s">
        <v>224</v>
      </c>
      <c r="D124" s="480" t="s">
        <v>86</v>
      </c>
      <c r="E124" s="1104" t="s">
        <v>225</v>
      </c>
      <c r="F124" s="1103" t="s">
        <v>86</v>
      </c>
      <c r="G124" s="1104" t="s">
        <v>225</v>
      </c>
      <c r="H124" s="1103" t="s">
        <v>86</v>
      </c>
      <c r="I124" s="1104" t="s">
        <v>225</v>
      </c>
      <c r="J124" s="1103" t="s">
        <v>86</v>
      </c>
      <c r="K124" s="1104" t="s">
        <v>225</v>
      </c>
      <c r="L124" s="1103" t="s">
        <v>86</v>
      </c>
      <c r="M124" s="1104" t="s">
        <v>225</v>
      </c>
      <c r="N124" s="1103" t="s">
        <v>86</v>
      </c>
      <c r="O124" s="1104" t="s">
        <v>225</v>
      </c>
      <c r="P124" s="1103" t="s">
        <v>86</v>
      </c>
      <c r="Q124" s="1104" t="s">
        <v>225</v>
      </c>
      <c r="R124" s="1103" t="s">
        <v>86</v>
      </c>
      <c r="S124" s="1104" t="s">
        <v>225</v>
      </c>
      <c r="T124" s="1103" t="s">
        <v>86</v>
      </c>
      <c r="U124" s="1104" t="s">
        <v>225</v>
      </c>
      <c r="V124" s="1103" t="s">
        <v>86</v>
      </c>
      <c r="W124" s="1104" t="s">
        <v>225</v>
      </c>
      <c r="X124" s="1103" t="s">
        <v>86</v>
      </c>
      <c r="Y124" s="1104" t="s">
        <v>225</v>
      </c>
      <c r="Z124" s="1103" t="s">
        <v>86</v>
      </c>
      <c r="AA124" s="1104" t="s">
        <v>225</v>
      </c>
      <c r="AB124" s="1103" t="s">
        <v>86</v>
      </c>
      <c r="AC124" s="1104" t="s">
        <v>225</v>
      </c>
      <c r="AD124" s="1103" t="s">
        <v>86</v>
      </c>
      <c r="AE124" s="1104" t="s">
        <v>225</v>
      </c>
      <c r="AF124" s="1103" t="s">
        <v>86</v>
      </c>
      <c r="AG124" s="1104" t="s">
        <v>225</v>
      </c>
      <c r="AH124" s="1103" t="s">
        <v>86</v>
      </c>
      <c r="AI124" s="1104" t="s">
        <v>225</v>
      </c>
      <c r="AJ124" s="1103" t="s">
        <v>86</v>
      </c>
      <c r="AK124" s="1104" t="s">
        <v>225</v>
      </c>
      <c r="AL124" s="1103" t="s">
        <v>86</v>
      </c>
      <c r="AM124" s="1104" t="s">
        <v>225</v>
      </c>
    </row>
    <row r="125" spans="1:254" ht="15" customHeight="1" x14ac:dyDescent="0.25">
      <c r="A125" s="1302" t="s">
        <v>670</v>
      </c>
      <c r="B125" s="1302" t="s">
        <v>618</v>
      </c>
      <c r="C125" s="1303">
        <f>SUM(D125:E125)</f>
        <v>0</v>
      </c>
      <c r="D125" s="1304">
        <f>+F125+H125+J125+L125+N125+P125+R125+T125+V125+X125+Z125+AB125+AD125+AF125+AH125+AJ125+AL125</f>
        <v>0</v>
      </c>
      <c r="E125" s="1305">
        <f>+G125+I125+K125+M125+O125+Q125+S125+U125+W125+Y125+AA125+AC125+AE125+AG125+AI125+AK125+AM125</f>
        <v>0</v>
      </c>
      <c r="F125" s="1659"/>
      <c r="G125" s="1660"/>
      <c r="H125" s="1659"/>
      <c r="I125" s="1660"/>
      <c r="J125" s="1659"/>
      <c r="K125" s="1669"/>
      <c r="L125" s="1659"/>
      <c r="M125" s="1669"/>
      <c r="N125" s="1659"/>
      <c r="O125" s="1669"/>
      <c r="P125" s="1659"/>
      <c r="Q125" s="1660"/>
      <c r="R125" s="1659"/>
      <c r="S125" s="1660"/>
      <c r="T125" s="1659"/>
      <c r="U125" s="1669"/>
      <c r="V125" s="1659"/>
      <c r="W125" s="1669"/>
      <c r="X125" s="1659"/>
      <c r="Y125" s="1669"/>
      <c r="Z125" s="1659"/>
      <c r="AA125" s="1660"/>
      <c r="AB125" s="1659"/>
      <c r="AC125" s="1660"/>
      <c r="AD125" s="1659"/>
      <c r="AE125" s="1669"/>
      <c r="AF125" s="1659"/>
      <c r="AG125" s="1669"/>
      <c r="AH125" s="1659"/>
      <c r="AI125" s="1669"/>
      <c r="AJ125" s="1659"/>
      <c r="AK125" s="1669"/>
      <c r="AL125" s="1659"/>
      <c r="AM125" s="1661"/>
      <c r="AN125" s="652"/>
      <c r="HX125" s="471"/>
      <c r="HY125" s="471"/>
      <c r="HZ125" s="471"/>
      <c r="IA125" s="471"/>
      <c r="IB125" s="471"/>
      <c r="IC125" s="471"/>
      <c r="ID125" s="471"/>
      <c r="IE125" s="471"/>
      <c r="IF125" s="471"/>
      <c r="IG125" s="471"/>
      <c r="IH125" s="471"/>
      <c r="II125" s="471"/>
      <c r="IJ125" s="471"/>
      <c r="IK125" s="471"/>
      <c r="IL125" s="471"/>
      <c r="IM125" s="471"/>
      <c r="IN125" s="471"/>
      <c r="IO125" s="471"/>
      <c r="IP125" s="471"/>
      <c r="IQ125" s="471"/>
      <c r="IR125" s="471"/>
      <c r="IS125" s="471"/>
      <c r="IT125" s="471"/>
    </row>
    <row r="126" spans="1:254" ht="15" customHeight="1" x14ac:dyDescent="0.25">
      <c r="A126" s="1306" t="s">
        <v>671</v>
      </c>
      <c r="B126" s="1306" t="s">
        <v>618</v>
      </c>
      <c r="C126" s="1307">
        <f>SUM(D126:E126)</f>
        <v>0</v>
      </c>
      <c r="D126" s="1308">
        <f>+F126+H126+J126+L126+N126+P126+R126+T126+V126+X126+Z126+AB126+AD126+AF126+AH126+AJ126+AL126</f>
        <v>0</v>
      </c>
      <c r="E126" s="1309">
        <f>+G126+I126+K126+M126+O126+Q126+S126+U126+W126+Y126+AA126+AC126+AE126+AG126+AI126+AK126+AM126</f>
        <v>0</v>
      </c>
      <c r="F126" s="1662"/>
      <c r="G126" s="1663"/>
      <c r="H126" s="1662"/>
      <c r="I126" s="1663"/>
      <c r="J126" s="1662"/>
      <c r="K126" s="1670"/>
      <c r="L126" s="1662"/>
      <c r="M126" s="1670"/>
      <c r="N126" s="1662"/>
      <c r="O126" s="1670"/>
      <c r="P126" s="1662"/>
      <c r="Q126" s="1663"/>
      <c r="R126" s="1662"/>
      <c r="S126" s="1663"/>
      <c r="T126" s="1662"/>
      <c r="U126" s="1670"/>
      <c r="V126" s="1662"/>
      <c r="W126" s="1670"/>
      <c r="X126" s="1662"/>
      <c r="Y126" s="1670"/>
      <c r="Z126" s="1662"/>
      <c r="AA126" s="1663"/>
      <c r="AB126" s="1662"/>
      <c r="AC126" s="1663"/>
      <c r="AD126" s="1662"/>
      <c r="AE126" s="1670"/>
      <c r="AF126" s="1662"/>
      <c r="AG126" s="1670"/>
      <c r="AH126" s="1662"/>
      <c r="AI126" s="1670"/>
      <c r="AJ126" s="1662"/>
      <c r="AK126" s="1670"/>
      <c r="AL126" s="1662"/>
      <c r="AM126" s="1664"/>
      <c r="AN126" s="652"/>
      <c r="HX126" s="471"/>
      <c r="HY126" s="471"/>
      <c r="HZ126" s="471"/>
      <c r="IA126" s="471"/>
      <c r="IB126" s="471"/>
      <c r="IC126" s="471"/>
      <c r="ID126" s="471"/>
      <c r="IE126" s="471"/>
      <c r="IF126" s="471"/>
      <c r="IG126" s="471"/>
      <c r="IH126" s="471"/>
      <c r="II126" s="471"/>
      <c r="IJ126" s="471"/>
      <c r="IK126" s="471"/>
      <c r="IL126" s="471"/>
      <c r="IM126" s="471"/>
      <c r="IN126" s="471"/>
      <c r="IO126" s="471"/>
      <c r="IP126" s="471"/>
      <c r="IQ126" s="471"/>
      <c r="IR126" s="471"/>
      <c r="IS126" s="471"/>
      <c r="IT126" s="471"/>
    </row>
    <row r="127" spans="1:254" x14ac:dyDescent="0.25">
      <c r="HX127" s="471"/>
      <c r="HY127" s="471"/>
      <c r="HZ127" s="471"/>
      <c r="IA127" s="471"/>
      <c r="IB127" s="471"/>
      <c r="IC127" s="471"/>
      <c r="ID127" s="471"/>
      <c r="IE127" s="471"/>
      <c r="IF127" s="471"/>
      <c r="IG127" s="471"/>
      <c r="IH127" s="471"/>
      <c r="II127" s="471"/>
      <c r="IJ127" s="471"/>
      <c r="IK127" s="471"/>
      <c r="IL127" s="471"/>
      <c r="IM127" s="471"/>
      <c r="IN127" s="471"/>
      <c r="IO127" s="471"/>
      <c r="IP127" s="471"/>
      <c r="IQ127" s="471"/>
      <c r="IR127" s="471"/>
      <c r="IS127" s="471"/>
      <c r="IT127" s="471"/>
    </row>
    <row r="128" spans="1:254" x14ac:dyDescent="0.25">
      <c r="HX128" s="471"/>
      <c r="HY128" s="471"/>
      <c r="HZ128" s="471"/>
      <c r="IA128" s="471"/>
      <c r="IB128" s="471"/>
      <c r="IC128" s="471"/>
      <c r="ID128" s="471"/>
      <c r="IE128" s="471"/>
      <c r="IF128" s="471"/>
      <c r="IG128" s="471"/>
      <c r="IH128" s="471"/>
      <c r="II128" s="471"/>
      <c r="IJ128" s="471"/>
      <c r="IK128" s="471"/>
      <c r="IL128" s="471"/>
      <c r="IM128" s="471"/>
      <c r="IN128" s="471"/>
      <c r="IO128" s="471"/>
      <c r="IP128" s="471"/>
      <c r="IQ128" s="471"/>
      <c r="IR128" s="471"/>
      <c r="IS128" s="471"/>
      <c r="IT128" s="471"/>
    </row>
    <row r="129" spans="1:558" x14ac:dyDescent="0.25">
      <c r="HX129" s="471"/>
      <c r="HY129" s="471"/>
      <c r="HZ129" s="471"/>
      <c r="IA129" s="471"/>
      <c r="IB129" s="471"/>
      <c r="IC129" s="471"/>
      <c r="ID129" s="471"/>
      <c r="IE129" s="471"/>
      <c r="IF129" s="471"/>
      <c r="IG129" s="471"/>
      <c r="IH129" s="471"/>
      <c r="II129" s="471"/>
      <c r="IJ129" s="471"/>
      <c r="IK129" s="471"/>
      <c r="IL129" s="471"/>
      <c r="IM129" s="471"/>
      <c r="IN129" s="471"/>
      <c r="IO129" s="471"/>
      <c r="IP129" s="471"/>
      <c r="IQ129" s="471"/>
      <c r="IR129" s="471"/>
      <c r="IS129" s="471"/>
      <c r="IT129" s="471"/>
    </row>
    <row r="130" spans="1:558" x14ac:dyDescent="0.25">
      <c r="HX130" s="471"/>
      <c r="HY130" s="471"/>
      <c r="HZ130" s="471"/>
      <c r="IA130" s="471"/>
      <c r="IB130" s="471"/>
      <c r="IC130" s="471"/>
      <c r="ID130" s="471"/>
      <c r="IE130" s="471"/>
      <c r="IF130" s="471"/>
      <c r="IG130" s="471"/>
      <c r="IH130" s="471"/>
      <c r="II130" s="471"/>
      <c r="IJ130" s="471"/>
      <c r="IK130" s="471"/>
      <c r="IL130" s="471"/>
      <c r="IM130" s="471"/>
      <c r="IN130" s="471"/>
      <c r="IO130" s="471"/>
      <c r="IP130" s="471"/>
      <c r="IQ130" s="471"/>
      <c r="IR130" s="471"/>
      <c r="IS130" s="471"/>
      <c r="IT130" s="471"/>
      <c r="IU130" s="471"/>
      <c r="IV130" s="471"/>
      <c r="IW130" s="471"/>
      <c r="IX130" s="471"/>
      <c r="IY130" s="471"/>
      <c r="IZ130" s="471"/>
      <c r="JA130" s="471"/>
      <c r="JB130" s="471"/>
      <c r="JC130" s="471"/>
      <c r="JD130" s="471"/>
      <c r="JE130" s="471"/>
      <c r="JF130" s="471"/>
      <c r="JG130" s="471"/>
      <c r="JH130" s="471"/>
      <c r="JI130" s="471"/>
      <c r="JJ130" s="471"/>
      <c r="JK130" s="471"/>
      <c r="JL130" s="471"/>
      <c r="JM130" s="471"/>
      <c r="JN130" s="471"/>
      <c r="JO130" s="471"/>
      <c r="JP130" s="471"/>
      <c r="JQ130" s="471"/>
      <c r="JR130" s="471"/>
      <c r="JS130" s="471"/>
      <c r="JT130" s="471"/>
      <c r="JU130" s="471"/>
      <c r="JV130" s="471"/>
      <c r="JW130" s="471"/>
      <c r="JX130" s="471"/>
      <c r="JY130" s="471"/>
      <c r="JZ130" s="471"/>
      <c r="KA130" s="471"/>
      <c r="KB130" s="471"/>
      <c r="KC130" s="471"/>
      <c r="KD130" s="471"/>
      <c r="KE130" s="471"/>
      <c r="KF130" s="471"/>
      <c r="KG130" s="471"/>
      <c r="KH130" s="471"/>
      <c r="KI130" s="471"/>
      <c r="KJ130" s="471"/>
      <c r="KK130" s="471"/>
      <c r="KL130" s="471"/>
      <c r="KM130" s="471"/>
      <c r="KN130" s="471"/>
      <c r="KO130" s="471"/>
      <c r="KP130" s="471"/>
      <c r="KQ130" s="471"/>
      <c r="KR130" s="471"/>
      <c r="KS130" s="471"/>
      <c r="KT130" s="471"/>
      <c r="KU130" s="471"/>
      <c r="KV130" s="471"/>
      <c r="KW130" s="471"/>
      <c r="KX130" s="471"/>
      <c r="KY130" s="471"/>
      <c r="KZ130" s="471"/>
      <c r="LA130" s="471"/>
      <c r="LB130" s="471"/>
      <c r="LC130" s="471"/>
      <c r="LD130" s="471"/>
      <c r="LE130" s="471"/>
      <c r="LF130" s="471"/>
      <c r="LG130" s="471"/>
      <c r="LH130" s="471"/>
      <c r="LI130" s="471"/>
      <c r="LJ130" s="471"/>
      <c r="LK130" s="471"/>
      <c r="LL130" s="471"/>
      <c r="LM130" s="471"/>
      <c r="LN130" s="471"/>
      <c r="LO130" s="471"/>
      <c r="LP130" s="471"/>
      <c r="LQ130" s="471"/>
      <c r="LR130" s="471"/>
      <c r="LS130" s="471"/>
      <c r="LT130" s="471"/>
      <c r="LU130" s="471"/>
      <c r="LV130" s="471"/>
      <c r="LW130" s="471"/>
      <c r="LX130" s="471"/>
      <c r="LY130" s="471"/>
      <c r="LZ130" s="471"/>
      <c r="MA130" s="471"/>
      <c r="MB130" s="471"/>
      <c r="MC130" s="471"/>
      <c r="MD130" s="471"/>
      <c r="ME130" s="471"/>
      <c r="MF130" s="471"/>
      <c r="MG130" s="471"/>
      <c r="MH130" s="471"/>
      <c r="MI130" s="471"/>
      <c r="MJ130" s="471"/>
      <c r="MK130" s="471"/>
      <c r="ML130" s="471"/>
      <c r="MM130" s="471"/>
      <c r="MN130" s="471"/>
      <c r="MO130" s="471"/>
      <c r="MP130" s="471"/>
      <c r="MQ130" s="471"/>
      <c r="MR130" s="471"/>
      <c r="MS130" s="471"/>
      <c r="MT130" s="471"/>
      <c r="MU130" s="471"/>
      <c r="MV130" s="471"/>
      <c r="MW130" s="471"/>
      <c r="MX130" s="471"/>
      <c r="MY130" s="471"/>
      <c r="MZ130" s="471"/>
      <c r="NA130" s="471"/>
      <c r="NB130" s="471"/>
      <c r="NC130" s="471"/>
      <c r="ND130" s="471"/>
      <c r="NE130" s="471"/>
      <c r="NF130" s="471"/>
      <c r="NG130" s="471"/>
      <c r="NH130" s="471"/>
      <c r="NI130" s="471"/>
      <c r="NJ130" s="471"/>
      <c r="NK130" s="471"/>
      <c r="NL130" s="471"/>
      <c r="NM130" s="471"/>
      <c r="NN130" s="471"/>
      <c r="NO130" s="471"/>
      <c r="NP130" s="471"/>
      <c r="NQ130" s="471"/>
      <c r="NR130" s="471"/>
      <c r="NS130" s="471"/>
      <c r="NT130" s="471"/>
      <c r="NU130" s="471"/>
      <c r="NV130" s="471"/>
      <c r="NW130" s="471"/>
      <c r="NX130" s="471"/>
      <c r="NY130" s="471"/>
      <c r="NZ130" s="471"/>
      <c r="OA130" s="471"/>
      <c r="OB130" s="471"/>
      <c r="OC130" s="471"/>
      <c r="OD130" s="471"/>
      <c r="OE130" s="471"/>
      <c r="OF130" s="471"/>
      <c r="OG130" s="471"/>
      <c r="OH130" s="471"/>
      <c r="OI130" s="471"/>
      <c r="OJ130" s="471"/>
      <c r="OK130" s="471"/>
      <c r="OL130" s="471"/>
      <c r="OM130" s="471"/>
      <c r="ON130" s="471"/>
      <c r="OO130" s="471"/>
      <c r="OP130" s="471"/>
      <c r="OQ130" s="471"/>
      <c r="OR130" s="471"/>
      <c r="OS130" s="471"/>
      <c r="OT130" s="471"/>
      <c r="OU130" s="471"/>
      <c r="OV130" s="471"/>
      <c r="OW130" s="471"/>
      <c r="OX130" s="471"/>
      <c r="OY130" s="471"/>
      <c r="OZ130" s="471"/>
      <c r="PA130" s="471"/>
      <c r="PB130" s="471"/>
      <c r="PC130" s="471"/>
      <c r="PD130" s="471"/>
      <c r="PE130" s="471"/>
      <c r="PF130" s="471"/>
      <c r="PG130" s="471"/>
      <c r="PH130" s="471"/>
      <c r="PI130" s="471"/>
      <c r="PJ130" s="471"/>
      <c r="PK130" s="471"/>
      <c r="PL130" s="471"/>
      <c r="PM130" s="471"/>
      <c r="PN130" s="471"/>
      <c r="PO130" s="471"/>
      <c r="PP130" s="471"/>
      <c r="PQ130" s="471"/>
      <c r="PR130" s="471"/>
      <c r="PS130" s="471"/>
      <c r="PT130" s="471"/>
      <c r="PU130" s="471"/>
      <c r="PV130" s="471"/>
      <c r="PW130" s="471"/>
      <c r="PX130" s="471"/>
      <c r="PY130" s="471"/>
      <c r="PZ130" s="471"/>
      <c r="QA130" s="471"/>
      <c r="QB130" s="471"/>
      <c r="QC130" s="471"/>
      <c r="QD130" s="471"/>
      <c r="QE130" s="471"/>
      <c r="QF130" s="471"/>
      <c r="QG130" s="471"/>
      <c r="QH130" s="471"/>
      <c r="QI130" s="471"/>
      <c r="QJ130" s="471"/>
      <c r="QK130" s="471"/>
      <c r="QL130" s="471"/>
      <c r="QM130" s="471"/>
      <c r="QN130" s="471"/>
      <c r="QO130" s="471"/>
      <c r="QP130" s="471"/>
      <c r="QQ130" s="471"/>
      <c r="QR130" s="471"/>
      <c r="QS130" s="471"/>
      <c r="QT130" s="471"/>
      <c r="QU130" s="471"/>
      <c r="QV130" s="471"/>
      <c r="QW130" s="471"/>
      <c r="QX130" s="471"/>
      <c r="QY130" s="471"/>
      <c r="QZ130" s="471"/>
      <c r="RA130" s="471"/>
      <c r="RB130" s="471"/>
      <c r="RC130" s="471"/>
      <c r="RD130" s="471"/>
      <c r="RE130" s="471"/>
      <c r="RF130" s="471"/>
      <c r="RG130" s="471"/>
      <c r="RH130" s="471"/>
      <c r="RI130" s="471"/>
      <c r="RJ130" s="471"/>
      <c r="RK130" s="471"/>
      <c r="RL130" s="471"/>
      <c r="RM130" s="471"/>
      <c r="RN130" s="471"/>
      <c r="RO130" s="471"/>
      <c r="RP130" s="471"/>
      <c r="RQ130" s="471"/>
      <c r="RR130" s="471"/>
      <c r="RS130" s="471"/>
      <c r="RT130" s="471"/>
      <c r="RU130" s="471"/>
      <c r="RV130" s="471"/>
      <c r="RW130" s="471"/>
      <c r="RX130" s="471"/>
      <c r="RY130" s="471"/>
      <c r="RZ130" s="471"/>
      <c r="SA130" s="471"/>
      <c r="SB130" s="471"/>
      <c r="SC130" s="471"/>
      <c r="SD130" s="471"/>
      <c r="SE130" s="471"/>
      <c r="SF130" s="471"/>
      <c r="SG130" s="471"/>
      <c r="SH130" s="471"/>
      <c r="SI130" s="471"/>
      <c r="SJ130" s="471"/>
      <c r="SK130" s="471"/>
      <c r="SL130" s="471"/>
      <c r="SM130" s="471"/>
      <c r="SN130" s="471"/>
      <c r="SO130" s="471"/>
      <c r="SP130" s="471"/>
      <c r="SQ130" s="471"/>
      <c r="SR130" s="471"/>
      <c r="SS130" s="471"/>
      <c r="ST130" s="471"/>
      <c r="SU130" s="471"/>
      <c r="SV130" s="471"/>
      <c r="SW130" s="471"/>
      <c r="SX130" s="471"/>
      <c r="SY130" s="471"/>
      <c r="SZ130" s="471"/>
      <c r="TA130" s="471"/>
      <c r="TB130" s="471"/>
      <c r="TC130" s="471"/>
      <c r="TD130" s="471"/>
      <c r="TE130" s="471"/>
      <c r="TF130" s="471"/>
      <c r="TG130" s="471"/>
      <c r="TH130" s="471"/>
      <c r="TI130" s="471"/>
      <c r="TJ130" s="471"/>
      <c r="TK130" s="471"/>
      <c r="TL130" s="471"/>
      <c r="TM130" s="471"/>
      <c r="TN130" s="471"/>
      <c r="TO130" s="471"/>
      <c r="TP130" s="471"/>
      <c r="TQ130" s="471"/>
      <c r="TR130" s="471"/>
      <c r="TS130" s="471"/>
      <c r="TT130" s="471"/>
      <c r="TU130" s="471"/>
      <c r="TV130" s="471"/>
      <c r="TW130" s="471"/>
      <c r="TX130" s="471"/>
      <c r="TY130" s="471"/>
      <c r="TZ130" s="471"/>
      <c r="UA130" s="471"/>
      <c r="UB130" s="471"/>
      <c r="UC130" s="471"/>
      <c r="UD130" s="471"/>
      <c r="UE130" s="471"/>
      <c r="UF130" s="471"/>
      <c r="UG130" s="471"/>
      <c r="UH130" s="471"/>
      <c r="UI130" s="471"/>
      <c r="UJ130" s="471"/>
      <c r="UK130" s="471"/>
      <c r="UL130" s="471"/>
    </row>
    <row r="131" spans="1:558" x14ac:dyDescent="0.25">
      <c r="HX131" s="471"/>
      <c r="HY131" s="471"/>
      <c r="HZ131" s="471"/>
      <c r="IA131" s="471"/>
      <c r="IB131" s="471"/>
      <c r="IC131" s="471"/>
      <c r="ID131" s="471"/>
      <c r="IE131" s="471"/>
      <c r="IF131" s="471"/>
      <c r="IG131" s="471"/>
      <c r="IH131" s="471"/>
      <c r="II131" s="471"/>
      <c r="IJ131" s="471"/>
      <c r="IK131" s="471"/>
      <c r="IL131" s="471"/>
      <c r="IM131" s="471"/>
      <c r="IN131" s="471"/>
      <c r="IO131" s="471"/>
      <c r="IP131" s="471"/>
      <c r="IQ131" s="471"/>
      <c r="IR131" s="471"/>
      <c r="IS131" s="471"/>
      <c r="IT131" s="471"/>
      <c r="IU131" s="471"/>
      <c r="IV131" s="471"/>
      <c r="IW131" s="471"/>
      <c r="IX131" s="471"/>
      <c r="IY131" s="471"/>
      <c r="IZ131" s="471"/>
      <c r="JA131" s="471"/>
      <c r="JB131" s="471"/>
      <c r="JC131" s="471"/>
      <c r="JD131" s="471"/>
      <c r="JE131" s="471"/>
      <c r="JF131" s="471"/>
      <c r="JG131" s="471"/>
      <c r="JH131" s="471"/>
      <c r="JI131" s="471"/>
      <c r="JJ131" s="471"/>
      <c r="JK131" s="471"/>
      <c r="JL131" s="471"/>
      <c r="JM131" s="471"/>
      <c r="JN131" s="471"/>
      <c r="JO131" s="471"/>
      <c r="JP131" s="471"/>
      <c r="JQ131" s="471"/>
      <c r="JR131" s="471"/>
      <c r="JS131" s="471"/>
      <c r="JT131" s="471"/>
      <c r="JU131" s="471"/>
      <c r="JV131" s="471"/>
      <c r="JW131" s="471"/>
      <c r="JX131" s="471"/>
      <c r="JY131" s="471"/>
      <c r="JZ131" s="471"/>
      <c r="KA131" s="471"/>
      <c r="KB131" s="471"/>
      <c r="KC131" s="471"/>
      <c r="KD131" s="471"/>
      <c r="KE131" s="471"/>
      <c r="KF131" s="471"/>
      <c r="KG131" s="471"/>
      <c r="KH131" s="471"/>
      <c r="KI131" s="471"/>
      <c r="KJ131" s="471"/>
      <c r="KK131" s="471"/>
      <c r="KL131" s="471"/>
      <c r="KM131" s="471"/>
      <c r="KN131" s="471"/>
      <c r="KO131" s="471"/>
      <c r="KP131" s="471"/>
      <c r="KQ131" s="471"/>
      <c r="KR131" s="471"/>
      <c r="KS131" s="471"/>
      <c r="KT131" s="471"/>
      <c r="KU131" s="471"/>
      <c r="KV131" s="471"/>
      <c r="KW131" s="471"/>
      <c r="KX131" s="471"/>
      <c r="KY131" s="471"/>
      <c r="KZ131" s="471"/>
      <c r="LA131" s="471"/>
      <c r="LB131" s="471"/>
      <c r="LC131" s="471"/>
      <c r="LD131" s="471"/>
      <c r="LE131" s="471"/>
      <c r="LF131" s="471"/>
      <c r="LG131" s="471"/>
      <c r="LH131" s="471"/>
      <c r="LI131" s="471"/>
      <c r="LJ131" s="471"/>
      <c r="LK131" s="471"/>
      <c r="LL131" s="471"/>
      <c r="LM131" s="471"/>
      <c r="LN131" s="471"/>
      <c r="LO131" s="471"/>
      <c r="LP131" s="471"/>
      <c r="LQ131" s="471"/>
      <c r="LR131" s="471"/>
      <c r="LS131" s="471"/>
      <c r="LT131" s="471"/>
      <c r="LU131" s="471"/>
      <c r="LV131" s="471"/>
      <c r="LW131" s="471"/>
      <c r="LX131" s="471"/>
      <c r="LY131" s="471"/>
      <c r="LZ131" s="471"/>
      <c r="MA131" s="471"/>
      <c r="MB131" s="471"/>
      <c r="MC131" s="471"/>
      <c r="MD131" s="471"/>
      <c r="ME131" s="471"/>
      <c r="MF131" s="471"/>
      <c r="MG131" s="471"/>
      <c r="MH131" s="471"/>
      <c r="MI131" s="471"/>
      <c r="MJ131" s="471"/>
      <c r="MK131" s="471"/>
      <c r="ML131" s="471"/>
      <c r="MM131" s="471"/>
      <c r="MN131" s="471"/>
      <c r="MO131" s="471"/>
      <c r="MP131" s="471"/>
      <c r="MQ131" s="471"/>
      <c r="MR131" s="471"/>
      <c r="MS131" s="471"/>
      <c r="MT131" s="471"/>
      <c r="MU131" s="471"/>
      <c r="MV131" s="471"/>
      <c r="MW131" s="471"/>
      <c r="MX131" s="471"/>
      <c r="MY131" s="471"/>
      <c r="MZ131" s="471"/>
      <c r="NA131" s="471"/>
      <c r="NB131" s="471"/>
      <c r="NC131" s="471"/>
      <c r="ND131" s="471"/>
      <c r="NE131" s="471"/>
      <c r="NF131" s="471"/>
      <c r="NG131" s="471"/>
      <c r="NH131" s="471"/>
      <c r="NI131" s="471"/>
      <c r="NJ131" s="471"/>
      <c r="NK131" s="471"/>
      <c r="NL131" s="471"/>
      <c r="NM131" s="471"/>
      <c r="NN131" s="471"/>
      <c r="NO131" s="471"/>
      <c r="NP131" s="471"/>
      <c r="NQ131" s="471"/>
      <c r="NR131" s="471"/>
      <c r="NS131" s="471"/>
      <c r="NT131" s="471"/>
      <c r="NU131" s="471"/>
      <c r="NV131" s="471"/>
      <c r="NW131" s="471"/>
      <c r="NX131" s="471"/>
      <c r="NY131" s="471"/>
      <c r="NZ131" s="471"/>
      <c r="OA131" s="471"/>
      <c r="OB131" s="471"/>
      <c r="OC131" s="471"/>
      <c r="OD131" s="471"/>
      <c r="OE131" s="471"/>
      <c r="OF131" s="471"/>
      <c r="OG131" s="471"/>
      <c r="OH131" s="471"/>
      <c r="OI131" s="471"/>
      <c r="OJ131" s="471"/>
      <c r="OK131" s="471"/>
      <c r="OL131" s="471"/>
      <c r="OM131" s="471"/>
      <c r="ON131" s="471"/>
      <c r="OO131" s="471"/>
      <c r="OP131" s="471"/>
      <c r="OQ131" s="471"/>
      <c r="OR131" s="471"/>
      <c r="OS131" s="471"/>
      <c r="OT131" s="471"/>
      <c r="OU131" s="471"/>
      <c r="OV131" s="471"/>
      <c r="OW131" s="471"/>
      <c r="OX131" s="471"/>
      <c r="OY131" s="471"/>
      <c r="OZ131" s="471"/>
      <c r="PA131" s="471"/>
      <c r="PB131" s="471"/>
      <c r="PC131" s="471"/>
      <c r="PD131" s="471"/>
      <c r="PE131" s="471"/>
      <c r="PF131" s="471"/>
      <c r="PG131" s="471"/>
      <c r="PH131" s="471"/>
      <c r="PI131" s="471"/>
      <c r="PJ131" s="471"/>
      <c r="PK131" s="471"/>
      <c r="PL131" s="471"/>
      <c r="PM131" s="471"/>
      <c r="PN131" s="471"/>
      <c r="PO131" s="471"/>
      <c r="PP131" s="471"/>
      <c r="PQ131" s="471"/>
      <c r="PR131" s="471"/>
      <c r="PS131" s="471"/>
      <c r="PT131" s="471"/>
      <c r="PU131" s="471"/>
      <c r="PV131" s="471"/>
      <c r="PW131" s="471"/>
      <c r="PX131" s="471"/>
      <c r="PY131" s="471"/>
      <c r="PZ131" s="471"/>
      <c r="QA131" s="471"/>
      <c r="QB131" s="471"/>
      <c r="QC131" s="471"/>
      <c r="QD131" s="471"/>
      <c r="QE131" s="471"/>
      <c r="QF131" s="471"/>
      <c r="QG131" s="471"/>
      <c r="QH131" s="471"/>
      <c r="QI131" s="471"/>
      <c r="QJ131" s="471"/>
      <c r="QK131" s="471"/>
      <c r="QL131" s="471"/>
      <c r="QM131" s="471"/>
      <c r="QN131" s="471"/>
      <c r="QO131" s="471"/>
      <c r="QP131" s="471"/>
      <c r="QQ131" s="471"/>
      <c r="QR131" s="471"/>
      <c r="QS131" s="471"/>
      <c r="QT131" s="471"/>
      <c r="QU131" s="471"/>
      <c r="QV131" s="471"/>
      <c r="QW131" s="471"/>
      <c r="QX131" s="471"/>
      <c r="QY131" s="471"/>
      <c r="QZ131" s="471"/>
      <c r="RA131" s="471"/>
      <c r="RB131" s="471"/>
      <c r="RC131" s="471"/>
      <c r="RD131" s="471"/>
      <c r="RE131" s="471"/>
      <c r="RF131" s="471"/>
      <c r="RG131" s="471"/>
      <c r="RH131" s="471"/>
      <c r="RI131" s="471"/>
      <c r="RJ131" s="471"/>
      <c r="RK131" s="471"/>
      <c r="RL131" s="471"/>
      <c r="RM131" s="471"/>
      <c r="RN131" s="471"/>
      <c r="RO131" s="471"/>
      <c r="RP131" s="471"/>
      <c r="RQ131" s="471"/>
      <c r="RR131" s="471"/>
      <c r="RS131" s="471"/>
      <c r="RT131" s="471"/>
      <c r="RU131" s="471"/>
      <c r="RV131" s="471"/>
      <c r="RW131" s="471"/>
      <c r="RX131" s="471"/>
      <c r="RY131" s="471"/>
      <c r="RZ131" s="471"/>
      <c r="SA131" s="471"/>
      <c r="SB131" s="471"/>
      <c r="SC131" s="471"/>
      <c r="SD131" s="471"/>
      <c r="SE131" s="471"/>
      <c r="SF131" s="471"/>
      <c r="SG131" s="471"/>
      <c r="SH131" s="471"/>
      <c r="SI131" s="471"/>
      <c r="SJ131" s="471"/>
      <c r="SK131" s="471"/>
      <c r="SL131" s="471"/>
      <c r="SM131" s="471"/>
      <c r="SN131" s="471"/>
      <c r="SO131" s="471"/>
      <c r="SP131" s="471"/>
      <c r="SQ131" s="471"/>
      <c r="SR131" s="471"/>
      <c r="SS131" s="471"/>
      <c r="ST131" s="471"/>
      <c r="SU131" s="471"/>
      <c r="SV131" s="471"/>
      <c r="SW131" s="471"/>
      <c r="SX131" s="471"/>
      <c r="SY131" s="471"/>
      <c r="SZ131" s="471"/>
      <c r="TA131" s="471"/>
      <c r="TB131" s="471"/>
      <c r="TC131" s="471"/>
      <c r="TD131" s="471"/>
      <c r="TE131" s="471"/>
      <c r="TF131" s="471"/>
      <c r="TG131" s="471"/>
      <c r="TH131" s="471"/>
      <c r="TI131" s="471"/>
      <c r="TJ131" s="471"/>
      <c r="TK131" s="471"/>
      <c r="TL131" s="471"/>
      <c r="TM131" s="471"/>
      <c r="TN131" s="471"/>
      <c r="TO131" s="471"/>
      <c r="TP131" s="471"/>
      <c r="TQ131" s="471"/>
      <c r="TR131" s="471"/>
      <c r="TS131" s="471"/>
      <c r="TT131" s="471"/>
      <c r="TU131" s="471"/>
      <c r="TV131" s="471"/>
      <c r="TW131" s="471"/>
      <c r="TX131" s="471"/>
      <c r="TY131" s="471"/>
      <c r="TZ131" s="471"/>
      <c r="UA131" s="471"/>
      <c r="UB131" s="471"/>
      <c r="UC131" s="471"/>
      <c r="UD131" s="471"/>
      <c r="UE131" s="471"/>
      <c r="UF131" s="471"/>
      <c r="UG131" s="471"/>
      <c r="UH131" s="471"/>
      <c r="UI131" s="471"/>
      <c r="UJ131" s="471"/>
      <c r="UK131" s="471"/>
      <c r="UL131" s="471"/>
    </row>
    <row r="132" spans="1:558" s="783" customFormat="1" x14ac:dyDescent="0.25">
      <c r="A132" s="470"/>
      <c r="B132" s="470"/>
      <c r="C132" s="470"/>
      <c r="D132" s="470"/>
      <c r="E132" s="470"/>
      <c r="F132" s="470"/>
      <c r="G132" s="470"/>
      <c r="H132" s="470"/>
      <c r="I132" s="470"/>
      <c r="J132" s="470"/>
      <c r="K132" s="470"/>
      <c r="L132" s="470"/>
      <c r="M132" s="470"/>
      <c r="N132" s="470"/>
      <c r="O132" s="470"/>
      <c r="P132" s="470"/>
      <c r="Q132" s="470"/>
      <c r="R132" s="470"/>
      <c r="S132" s="470"/>
      <c r="T132" s="470"/>
      <c r="U132" s="470"/>
      <c r="V132" s="470"/>
      <c r="W132" s="470"/>
      <c r="X132" s="470"/>
      <c r="Y132" s="470"/>
      <c r="Z132" s="470"/>
      <c r="AA132" s="470"/>
      <c r="AB132" s="470"/>
      <c r="AC132" s="470"/>
      <c r="AD132" s="470"/>
      <c r="AE132" s="470"/>
      <c r="AF132" s="470"/>
      <c r="AG132" s="470"/>
      <c r="AH132" s="470"/>
      <c r="AI132" s="470"/>
      <c r="AJ132" s="470"/>
      <c r="AK132" s="470"/>
      <c r="AL132" s="470"/>
      <c r="AM132" s="470"/>
      <c r="AN132" s="470"/>
      <c r="AO132" s="470"/>
      <c r="AP132" s="470"/>
      <c r="AQ132" s="470"/>
      <c r="AR132" s="470"/>
      <c r="AS132" s="470"/>
      <c r="AT132" s="470"/>
      <c r="AU132" s="470"/>
      <c r="AV132" s="470"/>
      <c r="AW132" s="470"/>
      <c r="AX132" s="470"/>
      <c r="AY132" s="470"/>
      <c r="AZ132" s="470"/>
      <c r="BA132" s="470"/>
      <c r="BB132" s="470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 s="1742"/>
      <c r="HY132" s="1742"/>
      <c r="HZ132" s="1742"/>
      <c r="IA132" s="471"/>
      <c r="IB132" s="471"/>
      <c r="IC132" s="471"/>
      <c r="ID132" s="471"/>
      <c r="IE132" s="471"/>
      <c r="IF132" s="471"/>
      <c r="IG132" s="471"/>
      <c r="IH132" s="471"/>
      <c r="II132" s="471"/>
      <c r="IJ132" s="471"/>
      <c r="IK132" s="471"/>
      <c r="IL132" s="471"/>
      <c r="IM132" s="471"/>
      <c r="IN132" s="471"/>
      <c r="IO132" s="471"/>
      <c r="IP132" s="471"/>
      <c r="IQ132" s="471"/>
      <c r="IR132" s="471"/>
      <c r="IS132" s="471"/>
      <c r="IT132" s="471"/>
      <c r="IU132" s="471"/>
      <c r="IV132" s="471"/>
      <c r="IW132" s="471"/>
      <c r="IX132" s="471"/>
      <c r="IY132" s="471"/>
      <c r="IZ132" s="471"/>
      <c r="JA132" s="471"/>
      <c r="JB132" s="471"/>
      <c r="JC132" s="471"/>
      <c r="JD132" s="471"/>
      <c r="JE132" s="471"/>
      <c r="JF132" s="471"/>
      <c r="JG132" s="471"/>
      <c r="JH132" s="471"/>
      <c r="JI132" s="471"/>
      <c r="JJ132" s="471"/>
      <c r="JK132" s="471"/>
      <c r="JL132" s="471"/>
      <c r="JM132" s="471"/>
      <c r="JN132" s="471"/>
      <c r="JO132" s="471"/>
      <c r="JP132" s="471"/>
      <c r="JQ132" s="471"/>
      <c r="JR132" s="471"/>
      <c r="JS132" s="471"/>
      <c r="JT132" s="471"/>
      <c r="JU132" s="471"/>
      <c r="JV132" s="471"/>
      <c r="JW132" s="471"/>
      <c r="JX132" s="471"/>
      <c r="JY132" s="471"/>
      <c r="JZ132" s="471"/>
      <c r="KA132" s="471"/>
      <c r="KB132" s="471"/>
      <c r="KC132" s="471"/>
      <c r="KD132" s="471"/>
      <c r="KE132" s="471"/>
      <c r="KF132" s="471"/>
      <c r="KG132" s="471"/>
      <c r="KH132" s="471"/>
      <c r="KI132" s="471"/>
      <c r="KJ132" s="471"/>
      <c r="KK132" s="471"/>
      <c r="KL132" s="471"/>
      <c r="KM132" s="471"/>
      <c r="KN132" s="471"/>
      <c r="KO132" s="471"/>
      <c r="KP132" s="471"/>
      <c r="KQ132" s="471"/>
      <c r="KR132" s="471"/>
      <c r="KS132" s="471"/>
      <c r="KT132" s="471"/>
      <c r="KU132" s="471"/>
      <c r="KV132" s="471"/>
      <c r="KW132" s="471"/>
      <c r="KX132" s="471"/>
      <c r="KY132" s="471"/>
      <c r="KZ132" s="471"/>
      <c r="LA132" s="471"/>
      <c r="LB132" s="471"/>
      <c r="LC132" s="471"/>
      <c r="LD132" s="471"/>
      <c r="LE132" s="471"/>
      <c r="LF132" s="471"/>
      <c r="LG132" s="471"/>
      <c r="LH132" s="471"/>
      <c r="LI132" s="471"/>
      <c r="LJ132" s="471"/>
      <c r="LK132" s="471"/>
      <c r="LL132" s="471"/>
      <c r="LM132" s="471"/>
      <c r="LN132" s="471"/>
      <c r="LO132" s="471"/>
      <c r="LP132" s="471"/>
      <c r="LQ132" s="471"/>
      <c r="LR132" s="471"/>
      <c r="LS132" s="471"/>
      <c r="LT132" s="471"/>
      <c r="LU132" s="471"/>
      <c r="LV132" s="471"/>
      <c r="LW132" s="471"/>
      <c r="LX132" s="471"/>
      <c r="LY132" s="471"/>
      <c r="LZ132" s="471"/>
      <c r="MA132" s="471"/>
      <c r="MB132" s="471"/>
      <c r="MC132" s="471"/>
      <c r="MD132" s="471"/>
      <c r="ME132" s="471"/>
      <c r="MF132" s="471"/>
      <c r="MG132" s="471"/>
      <c r="MH132" s="471"/>
      <c r="MI132" s="471"/>
      <c r="MJ132" s="471"/>
      <c r="MK132" s="471"/>
      <c r="ML132" s="471"/>
      <c r="MM132" s="471"/>
      <c r="MN132" s="471"/>
      <c r="MO132" s="471"/>
      <c r="MP132" s="471"/>
      <c r="MQ132" s="471"/>
      <c r="MR132" s="471"/>
      <c r="MS132" s="471"/>
      <c r="MT132" s="471"/>
      <c r="MU132" s="471"/>
      <c r="MV132" s="471"/>
      <c r="MW132" s="471"/>
      <c r="MX132" s="471"/>
      <c r="MY132" s="471"/>
      <c r="MZ132" s="471"/>
      <c r="NA132" s="471"/>
      <c r="NB132" s="471"/>
      <c r="NC132" s="471"/>
      <c r="ND132" s="471"/>
      <c r="NE132" s="471"/>
      <c r="NF132" s="471"/>
      <c r="NG132" s="471"/>
      <c r="NH132" s="471"/>
      <c r="NI132" s="471"/>
      <c r="NJ132" s="471"/>
      <c r="NK132" s="471"/>
      <c r="NL132" s="471"/>
      <c r="NM132" s="471"/>
      <c r="NN132" s="471"/>
      <c r="NO132" s="471"/>
      <c r="NP132" s="471"/>
      <c r="NQ132" s="471"/>
      <c r="NR132" s="471"/>
      <c r="NS132" s="471"/>
      <c r="NT132" s="471"/>
      <c r="NU132" s="471"/>
      <c r="NV132" s="471"/>
      <c r="NW132" s="471"/>
      <c r="NX132" s="471"/>
      <c r="NY132" s="471"/>
      <c r="NZ132" s="471"/>
      <c r="OA132" s="471"/>
      <c r="OB132" s="471"/>
      <c r="OC132" s="471"/>
      <c r="OD132" s="471"/>
      <c r="OE132" s="471"/>
      <c r="OF132" s="471"/>
      <c r="OG132" s="471"/>
      <c r="OH132" s="471"/>
      <c r="OI132" s="471"/>
      <c r="OJ132" s="471"/>
      <c r="OK132" s="471"/>
      <c r="OL132" s="471"/>
      <c r="OM132" s="471"/>
      <c r="ON132" s="471"/>
      <c r="OO132" s="471"/>
      <c r="OP132" s="471"/>
      <c r="OQ132" s="471"/>
      <c r="OR132" s="471"/>
      <c r="OS132" s="471"/>
      <c r="OT132" s="471"/>
      <c r="OU132" s="471"/>
      <c r="OV132" s="471"/>
      <c r="OW132" s="471"/>
      <c r="OX132" s="471"/>
      <c r="OY132" s="471"/>
      <c r="OZ132" s="471"/>
      <c r="PA132" s="471"/>
      <c r="PB132" s="471"/>
      <c r="PC132" s="471"/>
      <c r="PD132" s="471"/>
      <c r="PE132" s="471"/>
      <c r="PF132" s="471"/>
      <c r="PG132" s="471"/>
      <c r="PH132" s="471"/>
      <c r="PI132" s="471"/>
      <c r="PJ132" s="471"/>
      <c r="PK132" s="471"/>
      <c r="PL132" s="471"/>
      <c r="PM132" s="471"/>
      <c r="PN132" s="471"/>
      <c r="PO132" s="471"/>
      <c r="PP132" s="471"/>
      <c r="PQ132" s="471"/>
      <c r="PR132" s="471"/>
      <c r="PS132" s="471"/>
      <c r="PT132" s="471"/>
      <c r="PU132" s="471"/>
      <c r="PV132" s="471"/>
      <c r="PW132" s="471"/>
      <c r="PX132" s="471"/>
      <c r="PY132" s="471"/>
      <c r="PZ132" s="471"/>
      <c r="QA132" s="471"/>
      <c r="QB132" s="471"/>
      <c r="QC132" s="471"/>
      <c r="QD132" s="471"/>
      <c r="QE132" s="471"/>
      <c r="QF132" s="471"/>
      <c r="QG132" s="471"/>
      <c r="QH132" s="471"/>
      <c r="QI132" s="471"/>
      <c r="QJ132" s="471"/>
      <c r="QK132" s="471"/>
      <c r="QL132" s="471"/>
      <c r="QM132" s="471"/>
      <c r="QN132" s="471"/>
      <c r="QO132" s="471"/>
      <c r="QP132" s="471"/>
      <c r="QQ132" s="471"/>
      <c r="QR132" s="471"/>
      <c r="QS132" s="471"/>
      <c r="QT132" s="471"/>
      <c r="QU132" s="471"/>
      <c r="QV132" s="471"/>
      <c r="QW132" s="471"/>
      <c r="QX132" s="471"/>
      <c r="QY132" s="471"/>
      <c r="QZ132" s="471"/>
      <c r="RA132" s="471"/>
      <c r="RB132" s="471"/>
      <c r="RC132" s="471"/>
      <c r="RD132" s="471"/>
      <c r="RE132" s="471"/>
      <c r="RF132" s="471"/>
      <c r="RG132" s="471"/>
      <c r="RH132" s="471"/>
      <c r="RI132" s="471"/>
      <c r="RJ132" s="471"/>
      <c r="RK132" s="471"/>
      <c r="RL132" s="471"/>
      <c r="RM132" s="471"/>
      <c r="RN132" s="471"/>
      <c r="RO132" s="471"/>
      <c r="RP132" s="471"/>
      <c r="RQ132" s="471"/>
      <c r="RR132" s="471"/>
      <c r="RS132" s="471"/>
      <c r="RT132" s="471"/>
      <c r="RU132" s="471"/>
      <c r="RV132" s="471"/>
      <c r="RW132" s="471"/>
      <c r="RX132" s="471"/>
      <c r="RY132" s="471"/>
      <c r="RZ132" s="471"/>
      <c r="SA132" s="471"/>
      <c r="SB132" s="471"/>
      <c r="SC132" s="471"/>
      <c r="SD132" s="471"/>
      <c r="SE132" s="471"/>
      <c r="SF132" s="471"/>
      <c r="SG132" s="471"/>
      <c r="SH132" s="471"/>
      <c r="SI132" s="471"/>
      <c r="SJ132" s="471"/>
      <c r="SK132" s="471"/>
      <c r="SL132" s="471"/>
      <c r="SM132" s="471"/>
      <c r="SN132" s="471"/>
      <c r="SO132" s="471"/>
      <c r="SP132" s="471"/>
      <c r="SQ132" s="471"/>
      <c r="SR132" s="471"/>
      <c r="SS132" s="471"/>
      <c r="ST132" s="471"/>
      <c r="SU132" s="471"/>
      <c r="SV132" s="471"/>
      <c r="SW132" s="471"/>
      <c r="SX132" s="471"/>
      <c r="SY132" s="471"/>
      <c r="SZ132" s="471"/>
      <c r="TA132" s="471"/>
      <c r="TB132" s="471"/>
      <c r="TC132" s="471"/>
      <c r="TD132" s="471"/>
      <c r="TE132" s="471"/>
      <c r="TF132" s="471"/>
      <c r="TG132" s="471"/>
      <c r="TH132" s="471"/>
      <c r="TI132" s="471"/>
      <c r="TJ132" s="471"/>
      <c r="TK132" s="471"/>
      <c r="TL132" s="471"/>
      <c r="TM132" s="471"/>
      <c r="TN132" s="471"/>
      <c r="TO132" s="471"/>
      <c r="TP132" s="471"/>
      <c r="TQ132" s="471"/>
      <c r="TR132" s="471"/>
      <c r="TS132" s="471"/>
      <c r="TT132" s="471"/>
      <c r="TU132" s="471"/>
      <c r="TV132" s="471"/>
      <c r="TW132" s="471"/>
      <c r="TX132" s="471"/>
      <c r="TY132" s="471"/>
      <c r="TZ132" s="471"/>
      <c r="UA132" s="471"/>
      <c r="UB132" s="471"/>
      <c r="UC132" s="471"/>
      <c r="UD132" s="471"/>
      <c r="UE132" s="471"/>
      <c r="UF132" s="471"/>
      <c r="UG132" s="471"/>
      <c r="UH132" s="471"/>
      <c r="UI132" s="471"/>
      <c r="UJ132" s="471"/>
      <c r="UK132" s="471"/>
      <c r="UL132" s="471"/>
    </row>
    <row r="133" spans="1:558" s="783" customFormat="1" x14ac:dyDescent="0.25">
      <c r="A133" s="470"/>
      <c r="B133" s="470"/>
      <c r="C133" s="470"/>
      <c r="D133" s="470"/>
      <c r="E133" s="470"/>
      <c r="F133" s="470"/>
      <c r="G133" s="470"/>
      <c r="H133" s="470"/>
      <c r="I133" s="470"/>
      <c r="J133" s="470"/>
      <c r="K133" s="470"/>
      <c r="L133" s="470"/>
      <c r="M133" s="470"/>
      <c r="N133" s="470"/>
      <c r="O133" s="470"/>
      <c r="P133" s="470"/>
      <c r="Q133" s="470"/>
      <c r="R133" s="470"/>
      <c r="S133" s="470"/>
      <c r="T133" s="470"/>
      <c r="U133" s="470"/>
      <c r="V133" s="470"/>
      <c r="W133" s="470"/>
      <c r="X133" s="470"/>
      <c r="Y133" s="470"/>
      <c r="Z133" s="470"/>
      <c r="AA133" s="470"/>
      <c r="AB133" s="470"/>
      <c r="AC133" s="470"/>
      <c r="AD133" s="470"/>
      <c r="AE133" s="470"/>
      <c r="AF133" s="470"/>
      <c r="AG133" s="470"/>
      <c r="AH133" s="470"/>
      <c r="AI133" s="470"/>
      <c r="AJ133" s="470"/>
      <c r="AK133" s="470"/>
      <c r="AL133" s="470"/>
      <c r="AM133" s="470"/>
      <c r="AN133" s="470"/>
      <c r="AO133" s="470"/>
      <c r="AP133" s="470"/>
      <c r="AQ133" s="470"/>
      <c r="AR133" s="470"/>
      <c r="AS133" s="470"/>
      <c r="AT133" s="470"/>
      <c r="AU133" s="470"/>
      <c r="AV133" s="470"/>
      <c r="AW133" s="470"/>
      <c r="AX133" s="470"/>
      <c r="AY133" s="470"/>
      <c r="AZ133" s="470"/>
      <c r="BA133" s="470"/>
      <c r="BB133" s="470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 s="1742"/>
      <c r="HY133" s="1742"/>
      <c r="HZ133" s="1742"/>
      <c r="IA133" s="471"/>
      <c r="IB133" s="471"/>
      <c r="IC133" s="471"/>
      <c r="ID133" s="471"/>
      <c r="IE133" s="471"/>
      <c r="IF133" s="471"/>
      <c r="IG133" s="471"/>
      <c r="IH133" s="471"/>
      <c r="II133" s="471"/>
      <c r="IJ133" s="471"/>
      <c r="IK133" s="471"/>
      <c r="IL133" s="471"/>
      <c r="IM133" s="471"/>
      <c r="IN133" s="471"/>
      <c r="IO133" s="471"/>
      <c r="IP133" s="471"/>
      <c r="IQ133" s="471"/>
      <c r="IR133" s="471"/>
      <c r="IS133" s="471"/>
      <c r="IT133" s="471"/>
      <c r="IU133" s="471"/>
      <c r="IV133" s="471"/>
      <c r="IW133" s="471"/>
      <c r="IX133" s="471"/>
      <c r="IY133" s="471"/>
      <c r="IZ133" s="471"/>
      <c r="JA133" s="471"/>
      <c r="JB133" s="471"/>
      <c r="JC133" s="471"/>
      <c r="JD133" s="471"/>
      <c r="JE133" s="471"/>
      <c r="JF133" s="471"/>
      <c r="JG133" s="471"/>
      <c r="JH133" s="471"/>
      <c r="JI133" s="471"/>
      <c r="JJ133" s="471"/>
      <c r="JK133" s="471"/>
      <c r="JL133" s="471"/>
      <c r="JM133" s="471"/>
      <c r="JN133" s="471"/>
      <c r="JO133" s="471"/>
      <c r="JP133" s="471"/>
      <c r="JQ133" s="471"/>
      <c r="JR133" s="471"/>
      <c r="JS133" s="471"/>
      <c r="JT133" s="471"/>
      <c r="JU133" s="471"/>
      <c r="JV133" s="471"/>
      <c r="JW133" s="471"/>
      <c r="JX133" s="471"/>
      <c r="JY133" s="471"/>
      <c r="JZ133" s="471"/>
      <c r="KA133" s="471"/>
      <c r="KB133" s="471"/>
      <c r="KC133" s="471"/>
      <c r="KD133" s="471"/>
      <c r="KE133" s="471"/>
      <c r="KF133" s="471"/>
      <c r="KG133" s="471"/>
      <c r="KH133" s="471"/>
      <c r="KI133" s="471"/>
      <c r="KJ133" s="471"/>
      <c r="KK133" s="471"/>
      <c r="KL133" s="471"/>
      <c r="KM133" s="471"/>
      <c r="KN133" s="471"/>
      <c r="KO133" s="471"/>
      <c r="KP133" s="471"/>
      <c r="KQ133" s="471"/>
      <c r="KR133" s="471"/>
      <c r="KS133" s="471"/>
      <c r="KT133" s="471"/>
      <c r="KU133" s="471"/>
      <c r="KV133" s="471"/>
      <c r="KW133" s="471"/>
      <c r="KX133" s="471"/>
      <c r="KY133" s="471"/>
      <c r="KZ133" s="471"/>
      <c r="LA133" s="471"/>
      <c r="LB133" s="471"/>
      <c r="LC133" s="471"/>
      <c r="LD133" s="471"/>
      <c r="LE133" s="471"/>
      <c r="LF133" s="471"/>
      <c r="LG133" s="471"/>
      <c r="LH133" s="471"/>
      <c r="LI133" s="471"/>
      <c r="LJ133" s="471"/>
      <c r="LK133" s="471"/>
      <c r="LL133" s="471"/>
      <c r="LM133" s="471"/>
      <c r="LN133" s="471"/>
      <c r="LO133" s="471"/>
      <c r="LP133" s="471"/>
      <c r="LQ133" s="471"/>
      <c r="LR133" s="471"/>
      <c r="LS133" s="471"/>
      <c r="LT133" s="471"/>
      <c r="LU133" s="471"/>
      <c r="LV133" s="471"/>
      <c r="LW133" s="471"/>
      <c r="LX133" s="471"/>
      <c r="LY133" s="471"/>
      <c r="LZ133" s="471"/>
      <c r="MA133" s="471"/>
      <c r="MB133" s="471"/>
      <c r="MC133" s="471"/>
      <c r="MD133" s="471"/>
      <c r="ME133" s="471"/>
      <c r="MF133" s="471"/>
      <c r="MG133" s="471"/>
      <c r="MH133" s="471"/>
      <c r="MI133" s="471"/>
      <c r="MJ133" s="471"/>
      <c r="MK133" s="471"/>
      <c r="ML133" s="471"/>
      <c r="MM133" s="471"/>
      <c r="MN133" s="471"/>
      <c r="MO133" s="471"/>
      <c r="MP133" s="471"/>
      <c r="MQ133" s="471"/>
      <c r="MR133" s="471"/>
      <c r="MS133" s="471"/>
      <c r="MT133" s="471"/>
      <c r="MU133" s="471"/>
      <c r="MV133" s="471"/>
      <c r="MW133" s="471"/>
      <c r="MX133" s="471"/>
      <c r="MY133" s="471"/>
      <c r="MZ133" s="471"/>
      <c r="NA133" s="471"/>
      <c r="NB133" s="471"/>
      <c r="NC133" s="471"/>
      <c r="ND133" s="471"/>
      <c r="NE133" s="471"/>
      <c r="NF133" s="471"/>
      <c r="NG133" s="471"/>
      <c r="NH133" s="471"/>
      <c r="NI133" s="471"/>
      <c r="NJ133" s="471"/>
      <c r="NK133" s="471"/>
      <c r="NL133" s="471"/>
      <c r="NM133" s="471"/>
      <c r="NN133" s="471"/>
      <c r="NO133" s="471"/>
      <c r="NP133" s="471"/>
      <c r="NQ133" s="471"/>
      <c r="NR133" s="471"/>
      <c r="NS133" s="471"/>
      <c r="NT133" s="471"/>
      <c r="NU133" s="471"/>
      <c r="NV133" s="471"/>
      <c r="NW133" s="471"/>
      <c r="NX133" s="471"/>
      <c r="NY133" s="471"/>
      <c r="NZ133" s="471"/>
      <c r="OA133" s="471"/>
      <c r="OB133" s="471"/>
      <c r="OC133" s="471"/>
      <c r="OD133" s="471"/>
      <c r="OE133" s="471"/>
      <c r="OF133" s="471"/>
      <c r="OG133" s="471"/>
      <c r="OH133" s="471"/>
      <c r="OI133" s="471"/>
      <c r="OJ133" s="471"/>
      <c r="OK133" s="471"/>
      <c r="OL133" s="471"/>
      <c r="OM133" s="471"/>
      <c r="ON133" s="471"/>
      <c r="OO133" s="471"/>
      <c r="OP133" s="471"/>
      <c r="OQ133" s="471"/>
      <c r="OR133" s="471"/>
      <c r="OS133" s="471"/>
      <c r="OT133" s="471"/>
      <c r="OU133" s="471"/>
      <c r="OV133" s="471"/>
      <c r="OW133" s="471"/>
      <c r="OX133" s="471"/>
      <c r="OY133" s="471"/>
      <c r="OZ133" s="471"/>
      <c r="PA133" s="471"/>
      <c r="PB133" s="471"/>
      <c r="PC133" s="471"/>
      <c r="PD133" s="471"/>
      <c r="PE133" s="471"/>
      <c r="PF133" s="471"/>
      <c r="PG133" s="471"/>
      <c r="PH133" s="471"/>
      <c r="PI133" s="471"/>
      <c r="PJ133" s="471"/>
      <c r="PK133" s="471"/>
      <c r="PL133" s="471"/>
      <c r="PM133" s="471"/>
      <c r="PN133" s="471"/>
      <c r="PO133" s="471"/>
      <c r="PP133" s="471"/>
      <c r="PQ133" s="471"/>
      <c r="PR133" s="471"/>
      <c r="PS133" s="471"/>
      <c r="PT133" s="471"/>
      <c r="PU133" s="471"/>
      <c r="PV133" s="471"/>
      <c r="PW133" s="471"/>
      <c r="PX133" s="471"/>
      <c r="PY133" s="471"/>
      <c r="PZ133" s="471"/>
      <c r="QA133" s="471"/>
      <c r="QB133" s="471"/>
      <c r="QC133" s="471"/>
      <c r="QD133" s="471"/>
      <c r="QE133" s="471"/>
      <c r="QF133" s="471"/>
      <c r="QG133" s="471"/>
      <c r="QH133" s="471"/>
      <c r="QI133" s="471"/>
      <c r="QJ133" s="471"/>
      <c r="QK133" s="471"/>
      <c r="QL133" s="471"/>
      <c r="QM133" s="471"/>
      <c r="QN133" s="471"/>
      <c r="QO133" s="471"/>
      <c r="QP133" s="471"/>
      <c r="QQ133" s="471"/>
      <c r="QR133" s="471"/>
      <c r="QS133" s="471"/>
      <c r="QT133" s="471"/>
      <c r="QU133" s="471"/>
      <c r="QV133" s="471"/>
      <c r="QW133" s="471"/>
      <c r="QX133" s="471"/>
      <c r="QY133" s="471"/>
      <c r="QZ133" s="471"/>
      <c r="RA133" s="471"/>
      <c r="RB133" s="471"/>
      <c r="RC133" s="471"/>
      <c r="RD133" s="471"/>
      <c r="RE133" s="471"/>
      <c r="RF133" s="471"/>
      <c r="RG133" s="471"/>
      <c r="RH133" s="471"/>
      <c r="RI133" s="471"/>
      <c r="RJ133" s="471"/>
      <c r="RK133" s="471"/>
      <c r="RL133" s="471"/>
      <c r="RM133" s="471"/>
      <c r="RN133" s="471"/>
      <c r="RO133" s="471"/>
      <c r="RP133" s="471"/>
      <c r="RQ133" s="471"/>
      <c r="RR133" s="471"/>
      <c r="RS133" s="471"/>
      <c r="RT133" s="471"/>
      <c r="RU133" s="471"/>
      <c r="RV133" s="471"/>
      <c r="RW133" s="471"/>
      <c r="RX133" s="471"/>
      <c r="RY133" s="471"/>
      <c r="RZ133" s="471"/>
      <c r="SA133" s="471"/>
      <c r="SB133" s="471"/>
      <c r="SC133" s="471"/>
      <c r="SD133" s="471"/>
      <c r="SE133" s="471"/>
      <c r="SF133" s="471"/>
      <c r="SG133" s="471"/>
      <c r="SH133" s="471"/>
      <c r="SI133" s="471"/>
      <c r="SJ133" s="471"/>
      <c r="SK133" s="471"/>
      <c r="SL133" s="471"/>
      <c r="SM133" s="471"/>
      <c r="SN133" s="471"/>
      <c r="SO133" s="471"/>
      <c r="SP133" s="471"/>
      <c r="SQ133" s="471"/>
      <c r="SR133" s="471"/>
      <c r="SS133" s="471"/>
      <c r="ST133" s="471"/>
      <c r="SU133" s="471"/>
      <c r="SV133" s="471"/>
      <c r="SW133" s="471"/>
      <c r="SX133" s="471"/>
      <c r="SY133" s="471"/>
      <c r="SZ133" s="471"/>
      <c r="TA133" s="471"/>
      <c r="TB133" s="471"/>
      <c r="TC133" s="471"/>
      <c r="TD133" s="471"/>
      <c r="TE133" s="471"/>
      <c r="TF133" s="471"/>
      <c r="TG133" s="471"/>
      <c r="TH133" s="471"/>
      <c r="TI133" s="471"/>
      <c r="TJ133" s="471"/>
      <c r="TK133" s="471"/>
      <c r="TL133" s="471"/>
      <c r="TM133" s="471"/>
      <c r="TN133" s="471"/>
      <c r="TO133" s="471"/>
      <c r="TP133" s="471"/>
      <c r="TQ133" s="471"/>
      <c r="TR133" s="471"/>
      <c r="TS133" s="471"/>
      <c r="TT133" s="471"/>
      <c r="TU133" s="471"/>
      <c r="TV133" s="471"/>
      <c r="TW133" s="471"/>
      <c r="TX133" s="471"/>
      <c r="TY133" s="471"/>
      <c r="TZ133" s="471"/>
      <c r="UA133" s="471"/>
      <c r="UB133" s="471"/>
      <c r="UC133" s="471"/>
      <c r="UD133" s="471"/>
      <c r="UE133" s="471"/>
      <c r="UF133" s="471"/>
      <c r="UG133" s="471"/>
      <c r="UH133" s="471"/>
      <c r="UI133" s="471"/>
      <c r="UJ133" s="471"/>
      <c r="UK133" s="471"/>
      <c r="UL133" s="471"/>
    </row>
    <row r="134" spans="1:558" x14ac:dyDescent="0.25">
      <c r="HX134" s="471"/>
      <c r="HY134" s="471"/>
      <c r="HZ134" s="471"/>
      <c r="IA134" s="471"/>
      <c r="IB134" s="471"/>
      <c r="IC134" s="471"/>
      <c r="ID134" s="471"/>
      <c r="IE134" s="471"/>
      <c r="IF134" s="471"/>
      <c r="IG134" s="471"/>
      <c r="IH134" s="471"/>
      <c r="II134" s="471"/>
      <c r="IJ134" s="471"/>
      <c r="IK134" s="471"/>
      <c r="IL134" s="471"/>
      <c r="IM134" s="471"/>
      <c r="IN134" s="471"/>
      <c r="IO134" s="471"/>
      <c r="IP134" s="471"/>
      <c r="IQ134" s="471"/>
      <c r="IR134" s="471"/>
      <c r="IS134" s="471"/>
      <c r="IT134" s="471"/>
      <c r="IU134" s="471"/>
      <c r="IV134" s="471"/>
      <c r="IW134" s="471"/>
      <c r="IX134" s="471"/>
      <c r="IY134" s="471"/>
      <c r="IZ134" s="471"/>
      <c r="JA134" s="471"/>
      <c r="JB134" s="471"/>
      <c r="JC134" s="471"/>
      <c r="JD134" s="471"/>
      <c r="JE134" s="471"/>
      <c r="JF134" s="471"/>
      <c r="JG134" s="471"/>
      <c r="JH134" s="471"/>
      <c r="JI134" s="471"/>
      <c r="JJ134" s="471"/>
      <c r="JK134" s="471"/>
      <c r="JL134" s="471"/>
      <c r="JM134" s="471"/>
      <c r="JN134" s="471"/>
      <c r="JO134" s="471"/>
      <c r="JP134" s="471"/>
      <c r="JQ134" s="471"/>
      <c r="JR134" s="471"/>
      <c r="JS134" s="471"/>
      <c r="JT134" s="471"/>
      <c r="JU134" s="471"/>
      <c r="JV134" s="471"/>
      <c r="JW134" s="471"/>
      <c r="JX134" s="471"/>
      <c r="JY134" s="471"/>
      <c r="JZ134" s="471"/>
      <c r="KA134" s="471"/>
      <c r="KB134" s="471"/>
      <c r="KC134" s="471"/>
      <c r="KD134" s="471"/>
      <c r="KE134" s="471"/>
      <c r="KF134" s="471"/>
      <c r="KG134" s="471"/>
      <c r="KH134" s="471"/>
      <c r="KI134" s="471"/>
      <c r="KJ134" s="471"/>
      <c r="KK134" s="471"/>
      <c r="KL134" s="471"/>
      <c r="KM134" s="471"/>
      <c r="KN134" s="471"/>
      <c r="KO134" s="471"/>
      <c r="KP134" s="471"/>
      <c r="KQ134" s="471"/>
      <c r="KR134" s="471"/>
      <c r="KS134" s="471"/>
      <c r="KT134" s="471"/>
      <c r="KU134" s="471"/>
      <c r="KV134" s="471"/>
      <c r="KW134" s="471"/>
      <c r="KX134" s="471"/>
      <c r="KY134" s="471"/>
      <c r="KZ134" s="471"/>
      <c r="LA134" s="471"/>
      <c r="LB134" s="471"/>
      <c r="LC134" s="471"/>
      <c r="LD134" s="471"/>
      <c r="LE134" s="471"/>
      <c r="LF134" s="471"/>
      <c r="LG134" s="471"/>
      <c r="LH134" s="471"/>
      <c r="LI134" s="471"/>
      <c r="LJ134" s="471"/>
      <c r="LK134" s="471"/>
      <c r="LL134" s="471"/>
      <c r="LM134" s="471"/>
      <c r="LN134" s="471"/>
      <c r="LO134" s="471"/>
      <c r="LP134" s="471"/>
      <c r="LQ134" s="471"/>
      <c r="LR134" s="471"/>
      <c r="LS134" s="471"/>
      <c r="LT134" s="471"/>
      <c r="LU134" s="471"/>
      <c r="LV134" s="471"/>
      <c r="LW134" s="471"/>
      <c r="LX134" s="471"/>
      <c r="LY134" s="471"/>
      <c r="LZ134" s="471"/>
      <c r="MA134" s="471"/>
      <c r="MB134" s="471"/>
      <c r="MC134" s="471"/>
      <c r="MD134" s="471"/>
      <c r="ME134" s="471"/>
      <c r="MF134" s="471"/>
      <c r="MG134" s="471"/>
      <c r="MH134" s="471"/>
      <c r="MI134" s="471"/>
      <c r="MJ134" s="471"/>
      <c r="MK134" s="471"/>
      <c r="ML134" s="471"/>
      <c r="MM134" s="471"/>
      <c r="MN134" s="471"/>
      <c r="MO134" s="471"/>
      <c r="MP134" s="471"/>
      <c r="MQ134" s="471"/>
      <c r="MR134" s="471"/>
      <c r="MS134" s="471"/>
      <c r="MT134" s="471"/>
      <c r="MU134" s="471"/>
      <c r="MV134" s="471"/>
      <c r="MW134" s="471"/>
      <c r="MX134" s="471"/>
      <c r="MY134" s="471"/>
      <c r="MZ134" s="471"/>
      <c r="NA134" s="471"/>
      <c r="NB134" s="471"/>
      <c r="NC134" s="471"/>
      <c r="ND134" s="471"/>
      <c r="NE134" s="471"/>
      <c r="NF134" s="471"/>
      <c r="NG134" s="471"/>
      <c r="NH134" s="471"/>
      <c r="NI134" s="471"/>
      <c r="NJ134" s="471"/>
      <c r="NK134" s="471"/>
      <c r="NL134" s="471"/>
      <c r="NM134" s="471"/>
      <c r="NN134" s="471"/>
      <c r="NO134" s="471"/>
      <c r="NP134" s="471"/>
      <c r="NQ134" s="471"/>
      <c r="NR134" s="471"/>
      <c r="NS134" s="471"/>
      <c r="NT134" s="471"/>
      <c r="NU134" s="471"/>
      <c r="NV134" s="471"/>
      <c r="NW134" s="471"/>
      <c r="NX134" s="471"/>
      <c r="NY134" s="471"/>
      <c r="NZ134" s="471"/>
      <c r="OA134" s="471"/>
      <c r="OB134" s="471"/>
      <c r="OC134" s="471"/>
      <c r="OD134" s="471"/>
      <c r="OE134" s="471"/>
      <c r="OF134" s="471"/>
      <c r="OG134" s="471"/>
      <c r="OH134" s="471"/>
      <c r="OI134" s="471"/>
      <c r="OJ134" s="471"/>
      <c r="OK134" s="471"/>
      <c r="OL134" s="471"/>
      <c r="OM134" s="471"/>
      <c r="ON134" s="471"/>
      <c r="OO134" s="471"/>
      <c r="OP134" s="471"/>
      <c r="OQ134" s="471"/>
      <c r="OR134" s="471"/>
      <c r="OS134" s="471"/>
      <c r="OT134" s="471"/>
      <c r="OU134" s="471"/>
      <c r="OV134" s="471"/>
      <c r="OW134" s="471"/>
      <c r="OX134" s="471"/>
      <c r="OY134" s="471"/>
      <c r="OZ134" s="471"/>
      <c r="PA134" s="471"/>
      <c r="PB134" s="471"/>
      <c r="PC134" s="471"/>
      <c r="PD134" s="471"/>
      <c r="PE134" s="471"/>
      <c r="PF134" s="471"/>
      <c r="PG134" s="471"/>
      <c r="PH134" s="471"/>
      <c r="PI134" s="471"/>
      <c r="PJ134" s="471"/>
      <c r="PK134" s="471"/>
      <c r="PL134" s="471"/>
      <c r="PM134" s="471"/>
      <c r="PN134" s="471"/>
      <c r="PO134" s="471"/>
      <c r="PP134" s="471"/>
      <c r="PQ134" s="471"/>
      <c r="PR134" s="471"/>
      <c r="PS134" s="471"/>
      <c r="PT134" s="471"/>
      <c r="PU134" s="471"/>
      <c r="PV134" s="471"/>
      <c r="PW134" s="471"/>
      <c r="PX134" s="471"/>
      <c r="PY134" s="471"/>
      <c r="PZ134" s="471"/>
      <c r="QA134" s="471"/>
      <c r="QB134" s="471"/>
      <c r="QC134" s="471"/>
      <c r="QD134" s="471"/>
      <c r="QE134" s="471"/>
      <c r="QF134" s="471"/>
      <c r="QG134" s="471"/>
      <c r="QH134" s="471"/>
      <c r="QI134" s="471"/>
      <c r="QJ134" s="471"/>
      <c r="QK134" s="471"/>
      <c r="QL134" s="471"/>
      <c r="QM134" s="471"/>
      <c r="QN134" s="471"/>
      <c r="QO134" s="471"/>
      <c r="QP134" s="471"/>
      <c r="QQ134" s="471"/>
      <c r="QR134" s="471"/>
      <c r="QS134" s="471"/>
      <c r="QT134" s="471"/>
      <c r="QU134" s="471"/>
      <c r="QV134" s="471"/>
      <c r="QW134" s="471"/>
      <c r="QX134" s="471"/>
      <c r="QY134" s="471"/>
      <c r="QZ134" s="471"/>
      <c r="RA134" s="471"/>
      <c r="RB134" s="471"/>
      <c r="RC134" s="471"/>
      <c r="RD134" s="471"/>
      <c r="RE134" s="471"/>
      <c r="RF134" s="471"/>
      <c r="RG134" s="471"/>
      <c r="RH134" s="471"/>
      <c r="RI134" s="471"/>
      <c r="RJ134" s="471"/>
      <c r="RK134" s="471"/>
      <c r="RL134" s="471"/>
      <c r="RM134" s="471"/>
      <c r="RN134" s="471"/>
      <c r="RO134" s="471"/>
      <c r="RP134" s="471"/>
      <c r="RQ134" s="471"/>
      <c r="RR134" s="471"/>
      <c r="RS134" s="471"/>
      <c r="RT134" s="471"/>
      <c r="RU134" s="471"/>
      <c r="RV134" s="471"/>
      <c r="RW134" s="471"/>
      <c r="RX134" s="471"/>
      <c r="RY134" s="471"/>
      <c r="RZ134" s="471"/>
      <c r="SA134" s="471"/>
      <c r="SB134" s="471"/>
      <c r="SC134" s="471"/>
      <c r="SD134" s="471"/>
      <c r="SE134" s="471"/>
      <c r="SF134" s="471"/>
      <c r="SG134" s="471"/>
      <c r="SH134" s="471"/>
      <c r="SI134" s="471"/>
      <c r="SJ134" s="471"/>
      <c r="SK134" s="471"/>
      <c r="SL134" s="471"/>
      <c r="SM134" s="471"/>
      <c r="SN134" s="471"/>
      <c r="SO134" s="471"/>
      <c r="SP134" s="471"/>
      <c r="SQ134" s="471"/>
      <c r="SR134" s="471"/>
      <c r="SS134" s="471"/>
      <c r="ST134" s="471"/>
      <c r="SU134" s="471"/>
      <c r="SV134" s="471"/>
      <c r="SW134" s="471"/>
      <c r="SX134" s="471"/>
      <c r="SY134" s="471"/>
      <c r="SZ134" s="471"/>
      <c r="TA134" s="471"/>
      <c r="TB134" s="471"/>
      <c r="TC134" s="471"/>
      <c r="TD134" s="471"/>
      <c r="TE134" s="471"/>
      <c r="TF134" s="471"/>
      <c r="TG134" s="471"/>
      <c r="TH134" s="471"/>
      <c r="TI134" s="471"/>
      <c r="TJ134" s="471"/>
      <c r="TK134" s="471"/>
      <c r="TL134" s="471"/>
      <c r="TM134" s="471"/>
      <c r="TN134" s="471"/>
      <c r="TO134" s="471"/>
      <c r="TP134" s="471"/>
      <c r="TQ134" s="471"/>
      <c r="TR134" s="471"/>
      <c r="TS134" s="471"/>
      <c r="TT134" s="471"/>
      <c r="TU134" s="471"/>
      <c r="TV134" s="471"/>
      <c r="TW134" s="471"/>
      <c r="TX134" s="471"/>
      <c r="TY134" s="471"/>
      <c r="TZ134" s="471"/>
      <c r="UA134" s="471"/>
      <c r="UB134" s="471"/>
      <c r="UC134" s="471"/>
      <c r="UD134" s="471"/>
      <c r="UE134" s="471"/>
      <c r="UF134" s="471"/>
      <c r="UG134" s="471"/>
      <c r="UH134" s="471"/>
      <c r="UI134" s="471"/>
      <c r="UJ134" s="471"/>
      <c r="UK134" s="471"/>
      <c r="UL134" s="471"/>
    </row>
    <row r="135" spans="1:558" x14ac:dyDescent="0.25">
      <c r="HX135" s="471"/>
      <c r="HY135" s="471"/>
      <c r="HZ135" s="471"/>
      <c r="IA135" s="471"/>
      <c r="IB135" s="471"/>
      <c r="IC135" s="471"/>
      <c r="ID135" s="471"/>
      <c r="IE135" s="471"/>
      <c r="IF135" s="471"/>
      <c r="IG135" s="471"/>
      <c r="IH135" s="471"/>
      <c r="II135" s="471"/>
      <c r="IJ135" s="471"/>
      <c r="IK135" s="471"/>
      <c r="IL135" s="471"/>
      <c r="IM135" s="471"/>
      <c r="IN135" s="471"/>
      <c r="IO135" s="471"/>
      <c r="IP135" s="471"/>
      <c r="IQ135" s="471"/>
      <c r="IR135" s="471"/>
      <c r="IS135" s="471"/>
      <c r="IT135" s="471"/>
      <c r="IU135" s="471"/>
      <c r="IV135" s="471"/>
      <c r="IW135" s="471"/>
      <c r="IX135" s="471"/>
      <c r="IY135" s="471"/>
      <c r="IZ135" s="471"/>
      <c r="JA135" s="471"/>
      <c r="JB135" s="471"/>
      <c r="JC135" s="471"/>
      <c r="JD135" s="471"/>
      <c r="JE135" s="471"/>
      <c r="JF135" s="471"/>
      <c r="JG135" s="471"/>
      <c r="JH135" s="471"/>
      <c r="JI135" s="471"/>
      <c r="JJ135" s="471"/>
      <c r="JK135" s="471"/>
      <c r="JL135" s="471"/>
      <c r="JM135" s="471"/>
      <c r="JN135" s="471"/>
      <c r="JO135" s="471"/>
      <c r="JP135" s="471"/>
      <c r="JQ135" s="471"/>
      <c r="JR135" s="471"/>
      <c r="JS135" s="471"/>
      <c r="JT135" s="471"/>
      <c r="JU135" s="471"/>
      <c r="JV135" s="471"/>
      <c r="JW135" s="471"/>
      <c r="JX135" s="471"/>
      <c r="JY135" s="471"/>
      <c r="JZ135" s="471"/>
      <c r="KA135" s="471"/>
      <c r="KB135" s="471"/>
      <c r="KC135" s="471"/>
      <c r="KD135" s="471"/>
      <c r="KE135" s="471"/>
      <c r="KF135" s="471"/>
      <c r="KG135" s="471"/>
      <c r="KH135" s="471"/>
      <c r="KI135" s="471"/>
      <c r="KJ135" s="471"/>
      <c r="KK135" s="471"/>
      <c r="KL135" s="471"/>
      <c r="KM135" s="471"/>
      <c r="KN135" s="471"/>
      <c r="KO135" s="471"/>
      <c r="KP135" s="471"/>
      <c r="KQ135" s="471"/>
      <c r="KR135" s="471"/>
      <c r="KS135" s="471"/>
      <c r="KT135" s="471"/>
      <c r="KU135" s="471"/>
      <c r="KV135" s="471"/>
      <c r="KW135" s="471"/>
      <c r="KX135" s="471"/>
      <c r="KY135" s="471"/>
      <c r="KZ135" s="471"/>
      <c r="LA135" s="471"/>
      <c r="LB135" s="471"/>
      <c r="LC135" s="471"/>
      <c r="LD135" s="471"/>
      <c r="LE135" s="471"/>
      <c r="LF135" s="471"/>
      <c r="LG135" s="471"/>
      <c r="LH135" s="471"/>
      <c r="LI135" s="471"/>
      <c r="LJ135" s="471"/>
      <c r="LK135" s="471"/>
      <c r="LL135" s="471"/>
      <c r="LM135" s="471"/>
      <c r="LN135" s="471"/>
      <c r="LO135" s="471"/>
      <c r="LP135" s="471"/>
      <c r="LQ135" s="471"/>
      <c r="LR135" s="471"/>
      <c r="LS135" s="471"/>
      <c r="LT135" s="471"/>
      <c r="LU135" s="471"/>
      <c r="LV135" s="471"/>
      <c r="LW135" s="471"/>
      <c r="LX135" s="471"/>
      <c r="LY135" s="471"/>
      <c r="LZ135" s="471"/>
      <c r="MA135" s="471"/>
      <c r="MB135" s="471"/>
      <c r="MC135" s="471"/>
      <c r="MD135" s="471"/>
      <c r="ME135" s="471"/>
      <c r="MF135" s="471"/>
      <c r="MG135" s="471"/>
      <c r="MH135" s="471"/>
      <c r="MI135" s="471"/>
      <c r="MJ135" s="471"/>
      <c r="MK135" s="471"/>
      <c r="ML135" s="471"/>
      <c r="MM135" s="471"/>
      <c r="MN135" s="471"/>
      <c r="MO135" s="471"/>
      <c r="MP135" s="471"/>
      <c r="MQ135" s="471"/>
      <c r="MR135" s="471"/>
      <c r="MS135" s="471"/>
      <c r="MT135" s="471"/>
      <c r="MU135" s="471"/>
      <c r="MV135" s="471"/>
      <c r="MW135" s="471"/>
      <c r="MX135" s="471"/>
      <c r="MY135" s="471"/>
      <c r="MZ135" s="471"/>
      <c r="NA135" s="471"/>
      <c r="NB135" s="471"/>
      <c r="NC135" s="471"/>
      <c r="ND135" s="471"/>
      <c r="NE135" s="471"/>
      <c r="NF135" s="471"/>
      <c r="NG135" s="471"/>
      <c r="NH135" s="471"/>
      <c r="NI135" s="471"/>
      <c r="NJ135" s="471"/>
      <c r="NK135" s="471"/>
      <c r="NL135" s="471"/>
      <c r="NM135" s="471"/>
      <c r="NN135" s="471"/>
      <c r="NO135" s="471"/>
      <c r="NP135" s="471"/>
      <c r="NQ135" s="471"/>
      <c r="NR135" s="471"/>
      <c r="NS135" s="471"/>
      <c r="NT135" s="471"/>
      <c r="NU135" s="471"/>
      <c r="NV135" s="471"/>
      <c r="NW135" s="471"/>
      <c r="NX135" s="471"/>
      <c r="NY135" s="471"/>
      <c r="NZ135" s="471"/>
      <c r="OA135" s="471"/>
      <c r="OB135" s="471"/>
      <c r="OC135" s="471"/>
      <c r="OD135" s="471"/>
      <c r="OE135" s="471"/>
      <c r="OF135" s="471"/>
      <c r="OG135" s="471"/>
      <c r="OH135" s="471"/>
      <c r="OI135" s="471"/>
      <c r="OJ135" s="471"/>
      <c r="OK135" s="471"/>
      <c r="OL135" s="471"/>
      <c r="OM135" s="471"/>
      <c r="ON135" s="471"/>
      <c r="OO135" s="471"/>
      <c r="OP135" s="471"/>
      <c r="OQ135" s="471"/>
      <c r="OR135" s="471"/>
      <c r="OS135" s="471"/>
      <c r="OT135" s="471"/>
      <c r="OU135" s="471"/>
      <c r="OV135" s="471"/>
      <c r="OW135" s="471"/>
      <c r="OX135" s="471"/>
      <c r="OY135" s="471"/>
      <c r="OZ135" s="471"/>
      <c r="PA135" s="471"/>
      <c r="PB135" s="471"/>
      <c r="PC135" s="471"/>
      <c r="PD135" s="471"/>
      <c r="PE135" s="471"/>
      <c r="PF135" s="471"/>
      <c r="PG135" s="471"/>
      <c r="PH135" s="471"/>
      <c r="PI135" s="471"/>
      <c r="PJ135" s="471"/>
      <c r="PK135" s="471"/>
      <c r="PL135" s="471"/>
      <c r="PM135" s="471"/>
      <c r="PN135" s="471"/>
      <c r="PO135" s="471"/>
      <c r="PP135" s="471"/>
      <c r="PQ135" s="471"/>
      <c r="PR135" s="471"/>
      <c r="PS135" s="471"/>
      <c r="PT135" s="471"/>
      <c r="PU135" s="471"/>
      <c r="PV135" s="471"/>
      <c r="PW135" s="471"/>
      <c r="PX135" s="471"/>
      <c r="PY135" s="471"/>
      <c r="PZ135" s="471"/>
      <c r="QA135" s="471"/>
      <c r="QB135" s="471"/>
      <c r="QC135" s="471"/>
      <c r="QD135" s="471"/>
      <c r="QE135" s="471"/>
      <c r="QF135" s="471"/>
      <c r="QG135" s="471"/>
      <c r="QH135" s="471"/>
      <c r="QI135" s="471"/>
      <c r="QJ135" s="471"/>
      <c r="QK135" s="471"/>
      <c r="QL135" s="471"/>
      <c r="QM135" s="471"/>
      <c r="QN135" s="471"/>
      <c r="QO135" s="471"/>
      <c r="QP135" s="471"/>
      <c r="QQ135" s="471"/>
      <c r="QR135" s="471"/>
      <c r="QS135" s="471"/>
      <c r="QT135" s="471"/>
      <c r="QU135" s="471"/>
      <c r="QV135" s="471"/>
      <c r="QW135" s="471"/>
      <c r="QX135" s="471"/>
      <c r="QY135" s="471"/>
      <c r="QZ135" s="471"/>
      <c r="RA135" s="471"/>
      <c r="RB135" s="471"/>
      <c r="RC135" s="471"/>
      <c r="RD135" s="471"/>
      <c r="RE135" s="471"/>
      <c r="RF135" s="471"/>
      <c r="RG135" s="471"/>
      <c r="RH135" s="471"/>
      <c r="RI135" s="471"/>
      <c r="RJ135" s="471"/>
      <c r="RK135" s="471"/>
      <c r="RL135" s="471"/>
      <c r="RM135" s="471"/>
      <c r="RN135" s="471"/>
      <c r="RO135" s="471"/>
      <c r="RP135" s="471"/>
      <c r="RQ135" s="471"/>
      <c r="RR135" s="471"/>
      <c r="RS135" s="471"/>
      <c r="RT135" s="471"/>
      <c r="RU135" s="471"/>
      <c r="RV135" s="471"/>
      <c r="RW135" s="471"/>
      <c r="RX135" s="471"/>
      <c r="RY135" s="471"/>
      <c r="RZ135" s="471"/>
      <c r="SA135" s="471"/>
      <c r="SB135" s="471"/>
      <c r="SC135" s="471"/>
      <c r="SD135" s="471"/>
      <c r="SE135" s="471"/>
      <c r="SF135" s="471"/>
      <c r="SG135" s="471"/>
      <c r="SH135" s="471"/>
      <c r="SI135" s="471"/>
      <c r="SJ135" s="471"/>
      <c r="SK135" s="471"/>
      <c r="SL135" s="471"/>
      <c r="SM135" s="471"/>
      <c r="SN135" s="471"/>
      <c r="SO135" s="471"/>
      <c r="SP135" s="471"/>
      <c r="SQ135" s="471"/>
      <c r="SR135" s="471"/>
      <c r="SS135" s="471"/>
      <c r="ST135" s="471"/>
      <c r="SU135" s="471"/>
      <c r="SV135" s="471"/>
      <c r="SW135" s="471"/>
      <c r="SX135" s="471"/>
      <c r="SY135" s="471"/>
      <c r="SZ135" s="471"/>
      <c r="TA135" s="471"/>
      <c r="TB135" s="471"/>
      <c r="TC135" s="471"/>
      <c r="TD135" s="471"/>
      <c r="TE135" s="471"/>
      <c r="TF135" s="471"/>
      <c r="TG135" s="471"/>
      <c r="TH135" s="471"/>
      <c r="TI135" s="471"/>
      <c r="TJ135" s="471"/>
      <c r="TK135" s="471"/>
      <c r="TL135" s="471"/>
      <c r="TM135" s="471"/>
      <c r="TN135" s="471"/>
      <c r="TO135" s="471"/>
      <c r="TP135" s="471"/>
      <c r="TQ135" s="471"/>
      <c r="TR135" s="471"/>
      <c r="TS135" s="471"/>
      <c r="TT135" s="471"/>
      <c r="TU135" s="471"/>
      <c r="TV135" s="471"/>
      <c r="TW135" s="471"/>
      <c r="TX135" s="471"/>
      <c r="TY135" s="471"/>
      <c r="TZ135" s="471"/>
      <c r="UA135" s="471"/>
      <c r="UB135" s="471"/>
      <c r="UC135" s="471"/>
      <c r="UD135" s="471"/>
      <c r="UE135" s="471"/>
      <c r="UF135" s="471"/>
      <c r="UG135" s="471"/>
      <c r="UH135" s="471"/>
      <c r="UI135" s="471"/>
      <c r="UJ135" s="471"/>
      <c r="UK135" s="471"/>
      <c r="UL135" s="471"/>
    </row>
    <row r="143" spans="1:558" ht="19.5" customHeight="1" x14ac:dyDescent="0.25"/>
    <row r="145" spans="1:2" ht="15" customHeight="1" x14ac:dyDescent="0.25"/>
    <row r="146" spans="1:2" ht="15" hidden="1" customHeight="1" x14ac:dyDescent="0.25">
      <c r="A146" s="1087">
        <f>SUM(C13:C58,C63:C64,C69,C75:C120,C125:C126)</f>
        <v>0</v>
      </c>
      <c r="B146" s="783" t="s">
        <v>204</v>
      </c>
    </row>
    <row r="147" spans="1:2" ht="15" hidden="1" customHeight="1" x14ac:dyDescent="0.25">
      <c r="A147" s="1087">
        <f>SUM(CN13:CX120)</f>
        <v>0</v>
      </c>
      <c r="B147" s="783" t="s">
        <v>205</v>
      </c>
    </row>
    <row r="148" spans="1:2" ht="15" customHeight="1" x14ac:dyDescent="0.25"/>
    <row r="149" spans="1:2" ht="15" customHeight="1" x14ac:dyDescent="0.25"/>
    <row r="150" spans="1:2" ht="15" customHeight="1" x14ac:dyDescent="0.25"/>
    <row r="151" spans="1:2" ht="15" customHeight="1" x14ac:dyDescent="0.25"/>
    <row r="152" spans="1:2" ht="15" customHeight="1" x14ac:dyDescent="0.25"/>
    <row r="153" spans="1:2" ht="15" customHeight="1" x14ac:dyDescent="0.25"/>
    <row r="154" spans="1:2" ht="15" customHeight="1" x14ac:dyDescent="0.25"/>
    <row r="155" spans="1:2" ht="15" customHeight="1" x14ac:dyDescent="0.25"/>
  </sheetData>
  <sheetProtection algorithmName="SHA-512" hashValue="iw0aTSYNzrJ6vF8SBTBk9bdY3F1MA3BElc19sWXZg92IfdP6/98Wh/D/ABWBTw9znpOlkLN+9qKxQNeyyksTcw==" saltValue="Qk+HapWJz135Nh1pMSuJ8w==" spinCount="100000" sheet="1" objects="1" scenarios="1"/>
  <dataConsolidate/>
  <mergeCells count="184">
    <mergeCell ref="DT11:DT12"/>
    <mergeCell ref="DT73:DT74"/>
    <mergeCell ref="N67:O67"/>
    <mergeCell ref="AW10:AX11"/>
    <mergeCell ref="AN10:AN12"/>
    <mergeCell ref="AT10:AT12"/>
    <mergeCell ref="AR10:AS11"/>
    <mergeCell ref="AV10:AV12"/>
    <mergeCell ref="AB11:AC11"/>
    <mergeCell ref="X11:Y11"/>
    <mergeCell ref="R11:S11"/>
    <mergeCell ref="V61:W61"/>
    <mergeCell ref="AU10:AU12"/>
    <mergeCell ref="AP10:AQ11"/>
    <mergeCell ref="X61:Y61"/>
    <mergeCell ref="Z61:AA61"/>
    <mergeCell ref="AB61:AC61"/>
    <mergeCell ref="Z11:AA11"/>
    <mergeCell ref="AR72:AS73"/>
    <mergeCell ref="AN72:AN74"/>
    <mergeCell ref="AO72:AO74"/>
    <mergeCell ref="AP72:AQ73"/>
    <mergeCell ref="AV72:AV74"/>
    <mergeCell ref="N11:O11"/>
    <mergeCell ref="T123:U123"/>
    <mergeCell ref="V123:W123"/>
    <mergeCell ref="AW72:AX73"/>
    <mergeCell ref="AT72:AT74"/>
    <mergeCell ref="CI11:CI12"/>
    <mergeCell ref="CH11:CH12"/>
    <mergeCell ref="AO10:AO12"/>
    <mergeCell ref="AJ9:AK9"/>
    <mergeCell ref="AJ61:AK61"/>
    <mergeCell ref="AF73:AG73"/>
    <mergeCell ref="Z73:AA73"/>
    <mergeCell ref="AH73:AI73"/>
    <mergeCell ref="AL73:AM73"/>
    <mergeCell ref="V73:W73"/>
    <mergeCell ref="AU72:AU74"/>
    <mergeCell ref="AB9:AC9"/>
    <mergeCell ref="Z9:AA9"/>
    <mergeCell ref="AD9:AE9"/>
    <mergeCell ref="AH9:AI9"/>
    <mergeCell ref="F60:AM60"/>
    <mergeCell ref="F61:G61"/>
    <mergeCell ref="H61:I61"/>
    <mergeCell ref="J61:K61"/>
    <mergeCell ref="AL61:AM61"/>
    <mergeCell ref="J11:K11"/>
    <mergeCell ref="R73:S73"/>
    <mergeCell ref="P73:Q73"/>
    <mergeCell ref="X73:Y73"/>
    <mergeCell ref="T73:U73"/>
    <mergeCell ref="F11:G11"/>
    <mergeCell ref="H11:I11"/>
    <mergeCell ref="P61:Q61"/>
    <mergeCell ref="AF61:AG61"/>
    <mergeCell ref="L67:M67"/>
    <mergeCell ref="AH61:AI61"/>
    <mergeCell ref="N123:O123"/>
    <mergeCell ref="P66:Q67"/>
    <mergeCell ref="F72:AM72"/>
    <mergeCell ref="L123:M123"/>
    <mergeCell ref="P123:Q123"/>
    <mergeCell ref="R123:S123"/>
    <mergeCell ref="AL123:AM123"/>
    <mergeCell ref="Z123:AA123"/>
    <mergeCell ref="AB123:AC123"/>
    <mergeCell ref="AD123:AE123"/>
    <mergeCell ref="AF123:AG123"/>
    <mergeCell ref="AH123:AI123"/>
    <mergeCell ref="AJ123:AK123"/>
    <mergeCell ref="AB73:AC73"/>
    <mergeCell ref="F122:AM122"/>
    <mergeCell ref="X123:Y123"/>
    <mergeCell ref="H123:I123"/>
    <mergeCell ref="F123:G123"/>
    <mergeCell ref="J123:K123"/>
    <mergeCell ref="F73:G73"/>
    <mergeCell ref="H73:I73"/>
    <mergeCell ref="AJ73:AK73"/>
    <mergeCell ref="AD73:AE73"/>
    <mergeCell ref="A7:U7"/>
    <mergeCell ref="H9:I9"/>
    <mergeCell ref="J9:K9"/>
    <mergeCell ref="L9:M9"/>
    <mergeCell ref="A10:B12"/>
    <mergeCell ref="C10:E11"/>
    <mergeCell ref="A9:G9"/>
    <mergeCell ref="N9:O9"/>
    <mergeCell ref="P9:Q9"/>
    <mergeCell ref="R9:S9"/>
    <mergeCell ref="F10:AM10"/>
    <mergeCell ref="T11:U11"/>
    <mergeCell ref="T9:U9"/>
    <mergeCell ref="L11:M11"/>
    <mergeCell ref="V9:W9"/>
    <mergeCell ref="X9:Y9"/>
    <mergeCell ref="AJ11:AK11"/>
    <mergeCell ref="AD11:AE11"/>
    <mergeCell ref="AF11:AG11"/>
    <mergeCell ref="AH11:AI11"/>
    <mergeCell ref="AF9:AG9"/>
    <mergeCell ref="AL9:AM9"/>
    <mergeCell ref="AL11:AM11"/>
    <mergeCell ref="P11:Q11"/>
    <mergeCell ref="C66:E67"/>
    <mergeCell ref="A17:A18"/>
    <mergeCell ref="A69:B69"/>
    <mergeCell ref="A75:B75"/>
    <mergeCell ref="J73:K73"/>
    <mergeCell ref="A71:O71"/>
    <mergeCell ref="A72:B74"/>
    <mergeCell ref="C72:E73"/>
    <mergeCell ref="B122:B124"/>
    <mergeCell ref="A97:A100"/>
    <mergeCell ref="A86:B86"/>
    <mergeCell ref="A92:A96"/>
    <mergeCell ref="A106:A108"/>
    <mergeCell ref="A111:B111"/>
    <mergeCell ref="A113:B113"/>
    <mergeCell ref="A87:A91"/>
    <mergeCell ref="A101:A105"/>
    <mergeCell ref="A120:B120"/>
    <mergeCell ref="A122:A124"/>
    <mergeCell ref="A114:A118"/>
    <mergeCell ref="A112:B112"/>
    <mergeCell ref="A109:B109"/>
    <mergeCell ref="A84:A85"/>
    <mergeCell ref="C122:E123"/>
    <mergeCell ref="A14:B14"/>
    <mergeCell ref="A19:A20"/>
    <mergeCell ref="A22:A23"/>
    <mergeCell ref="A50:B50"/>
    <mergeCell ref="A51:B51"/>
    <mergeCell ref="A49:B49"/>
    <mergeCell ref="A52:A56"/>
    <mergeCell ref="A60:A62"/>
    <mergeCell ref="B60:B62"/>
    <mergeCell ref="A58:B58"/>
    <mergeCell ref="A24:B24"/>
    <mergeCell ref="A30:A34"/>
    <mergeCell ref="A35:A38"/>
    <mergeCell ref="A44:A46"/>
    <mergeCell ref="A39:A43"/>
    <mergeCell ref="A25:A29"/>
    <mergeCell ref="A119:B119"/>
    <mergeCell ref="A110:B110"/>
    <mergeCell ref="A15:A16"/>
    <mergeCell ref="A79:A80"/>
    <mergeCell ref="A77:A78"/>
    <mergeCell ref="AD61:AE61"/>
    <mergeCell ref="R61:S61"/>
    <mergeCell ref="T61:U61"/>
    <mergeCell ref="V11:W11"/>
    <mergeCell ref="A21:B21"/>
    <mergeCell ref="F66:O66"/>
    <mergeCell ref="F67:G67"/>
    <mergeCell ref="H67:I67"/>
    <mergeCell ref="J67:K67"/>
    <mergeCell ref="L73:M73"/>
    <mergeCell ref="N73:O73"/>
    <mergeCell ref="L61:M61"/>
    <mergeCell ref="N61:O61"/>
    <mergeCell ref="A81:A82"/>
    <mergeCell ref="A76:B76"/>
    <mergeCell ref="A66:B68"/>
    <mergeCell ref="C60:E61"/>
    <mergeCell ref="A47:B47"/>
    <mergeCell ref="A13:B13"/>
    <mergeCell ref="CN11:CN12"/>
    <mergeCell ref="CT11:CT12"/>
    <mergeCell ref="CU11:CU12"/>
    <mergeCell ref="CO11:CO12"/>
    <mergeCell ref="CV11:CV12"/>
    <mergeCell ref="CW11:CX11"/>
    <mergeCell ref="CA11:CA12"/>
    <mergeCell ref="CB11:CB12"/>
    <mergeCell ref="CC11:CD11"/>
    <mergeCell ref="CE11:CF11"/>
    <mergeCell ref="CG11:CG12"/>
    <mergeCell ref="CJ11:CK11"/>
    <mergeCell ref="CP11:CQ11"/>
    <mergeCell ref="CR11:CS11"/>
  </mergeCells>
  <phoneticPr fontId="26" type="noConversion"/>
  <dataValidations count="2">
    <dataValidation type="whole" operator="greaterThanOrEqual" allowBlank="1" showInputMessage="1" showErrorMessage="1" sqref="F125:AM126 F13:AX58 F63:AM64 F69:Q70 F75:AX120" xr:uid="{00000000-0002-0000-0600-000000000000}">
      <formula1>0</formula1>
    </dataValidation>
    <dataValidation allowBlank="1" showInputMessage="1" showErrorMessage="1" errorTitle=" Error de ingreso" error="Debe ingresar sólo números enteros positivos." sqref="U69:U70" xr:uid="{00000000-0002-0000-0600-000001000000}"/>
  </dataValidations>
  <pageMargins left="0.70866141732283472" right="0.70866141732283472" top="0.74803149606299213" bottom="0.74803149606299213" header="0.31496062992125984" footer="0.31496062992125984"/>
  <pageSetup scale="46" pageOrder="overThenDown" orientation="landscape" r:id="rId1"/>
  <colBreaks count="1" manualBreakCount="1">
    <brk id="21" max="92" man="1"/>
  </colBreaks>
  <ignoredErrors>
    <ignoredError sqref="CQ13 CQ15:CQ29 CQ30:CQ39 CQ41:CQ5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BT50"/>
  <sheetViews>
    <sheetView showGridLines="0" zoomScaleNormal="100" workbookViewId="0"/>
  </sheetViews>
  <sheetFormatPr baseColWidth="10" defaultColWidth="11.42578125" defaultRowHeight="12" customHeight="1" x14ac:dyDescent="0.15"/>
  <cols>
    <col min="1" max="1" width="44.5703125" style="48" customWidth="1"/>
    <col min="2" max="2" width="19.7109375" style="48" customWidth="1"/>
    <col min="3" max="12" width="11.5703125" style="48" customWidth="1"/>
    <col min="13" max="13" width="11.42578125" style="48" customWidth="1"/>
    <col min="14" max="26" width="11.42578125" style="48"/>
    <col min="27" max="52" width="11.42578125" style="48" customWidth="1"/>
    <col min="53" max="72" width="11.42578125" style="48" hidden="1" customWidth="1"/>
    <col min="73" max="78" width="11.42578125" style="48" customWidth="1"/>
    <col min="79" max="16384" width="11.42578125" style="48"/>
  </cols>
  <sheetData>
    <row r="1" spans="1:72" s="31" customFormat="1" ht="13.5" customHeight="1" x14ac:dyDescent="0.15">
      <c r="A1" s="30" t="s">
        <v>0</v>
      </c>
    </row>
    <row r="2" spans="1:72" s="31" customFormat="1" ht="13.5" customHeight="1" x14ac:dyDescent="0.15">
      <c r="A2" s="30" t="str">
        <f>CONCATENATE("COMUNA: ",NOMBRE!$B$2,"   ","( ",NOMBRE!$C$2,NOMBRE!$D$2,NOMBRE!$E$2,NOMBRE!$F$2,NOMBRE!$G$2," )")</f>
        <v>COMUNA:    (  )</v>
      </c>
    </row>
    <row r="3" spans="1:72" s="31" customFormat="1" ht="13.5" customHeight="1" x14ac:dyDescent="0.15">
      <c r="A3" s="30" t="str">
        <f>CONCATENATE("ESTABLECIMIENTO/ESTRATEGIA: ",NOMBRE!$B$3,"   ","( ",NOMBRE!$C$3,NOMBRE!$D$3,NOMBRE!$E$3,NOMBRE!$F$3,NOMBRE!$G$3,NOMBRE!$H$3," )")</f>
        <v>ESTABLECIMIENTO/ESTRATEGIA:    (  )</v>
      </c>
      <c r="D3" s="36"/>
    </row>
    <row r="4" spans="1:72" s="31" customFormat="1" ht="13.5" customHeight="1" x14ac:dyDescent="0.15">
      <c r="A4" s="30" t="str">
        <f>CONCATENATE("MES: ",NOMBRE!$B$6,"   ","( ",NOMBRE!$C$6,NOMBRE!$D$6," )")</f>
        <v>MES:    (  )</v>
      </c>
    </row>
    <row r="5" spans="1:72" s="31" customFormat="1" ht="13.5" customHeight="1" x14ac:dyDescent="0.15">
      <c r="A5" s="30" t="str">
        <f>CONCATENATE("AÑO: ",NOMBRE!$B$7)</f>
        <v>AÑO: 2026</v>
      </c>
    </row>
    <row r="6" spans="1:72" s="31" customFormat="1" ht="15" customHeight="1" x14ac:dyDescent="0.15">
      <c r="A6" s="35"/>
    </row>
    <row r="7" spans="1:72" s="32" customFormat="1" ht="21.95" customHeight="1" x14ac:dyDescent="0.15">
      <c r="A7" s="2378" t="s">
        <v>690</v>
      </c>
      <c r="B7" s="2378"/>
      <c r="C7" s="2378"/>
      <c r="D7" s="2378"/>
      <c r="E7" s="2378"/>
      <c r="F7" s="2378"/>
      <c r="G7" s="2378"/>
      <c r="H7" s="2378"/>
      <c r="I7" s="2378"/>
      <c r="J7" s="2378"/>
      <c r="K7" s="307"/>
      <c r="L7" s="294"/>
      <c r="M7" s="48"/>
    </row>
    <row r="8" spans="1:72" ht="17.100000000000001" customHeight="1" x14ac:dyDescent="0.15">
      <c r="A8" s="2392" t="s">
        <v>691</v>
      </c>
      <c r="B8" s="2392"/>
      <c r="C8" s="2392"/>
      <c r="D8" s="2392"/>
      <c r="E8" s="2392"/>
      <c r="F8" s="2392"/>
      <c r="G8" s="2392"/>
      <c r="H8" s="2392"/>
      <c r="I8" s="2392"/>
      <c r="J8" s="2392"/>
    </row>
    <row r="9" spans="1:72" ht="20.100000000000001" customHeight="1" x14ac:dyDescent="0.15">
      <c r="A9" s="433" t="s">
        <v>692</v>
      </c>
      <c r="B9" s="402" t="s">
        <v>49</v>
      </c>
      <c r="C9" s="394" t="s">
        <v>693</v>
      </c>
      <c r="D9" s="249" t="s">
        <v>694</v>
      </c>
      <c r="E9" s="249" t="s">
        <v>695</v>
      </c>
      <c r="F9" s="249" t="s">
        <v>696</v>
      </c>
      <c r="G9" s="249" t="s">
        <v>697</v>
      </c>
      <c r="H9" s="249" t="s">
        <v>698</v>
      </c>
      <c r="I9" s="249" t="s">
        <v>699</v>
      </c>
      <c r="J9" s="281" t="s">
        <v>700</v>
      </c>
    </row>
    <row r="10" spans="1:72" ht="15" customHeight="1" x14ac:dyDescent="0.15">
      <c r="A10" s="81" t="s">
        <v>701</v>
      </c>
      <c r="B10" s="191">
        <f>SUM(C10:J10)</f>
        <v>0</v>
      </c>
      <c r="C10" s="90"/>
      <c r="D10" s="91"/>
      <c r="E10" s="91"/>
      <c r="F10" s="91"/>
      <c r="G10" s="91"/>
      <c r="H10" s="91"/>
      <c r="I10" s="91"/>
      <c r="J10" s="99"/>
      <c r="K10" s="34" t="str">
        <f>BA10&amp;BB10&amp;BC10&amp;BD10&amp;BE10&amp;BF10&amp;BG10&amp;BH10</f>
        <v/>
      </c>
    </row>
    <row r="11" spans="1:72" ht="15" customHeight="1" x14ac:dyDescent="0.15">
      <c r="A11" s="82" t="s">
        <v>702</v>
      </c>
      <c r="B11" s="192">
        <f>SUM(C11:J11)</f>
        <v>0</v>
      </c>
      <c r="C11" s="94"/>
      <c r="D11" s="95"/>
      <c r="E11" s="95"/>
      <c r="F11" s="95"/>
      <c r="G11" s="95"/>
      <c r="H11" s="95"/>
      <c r="I11" s="95"/>
      <c r="J11" s="100"/>
      <c r="K11" s="34" t="str">
        <f>BA11&amp;BB11&amp;BC11&amp;BD11&amp;BE11&amp;BF11&amp;BG11&amp;BH11</f>
        <v/>
      </c>
      <c r="BA11" s="80" t="str">
        <f>IF(C10&lt;SUM(C11), "* El Número de Familias evaluadas en el sector 1 no puede ser mayor al N° de Familias inscritas del mismo sector.","")</f>
        <v/>
      </c>
      <c r="BB11" s="80" t="str">
        <f>IF(D10&lt;SUM(D11),"* El Número de Familias evalauadas en el sector 2 no puede ser mayor al N° de Familias inscritas del mismo sector.","")</f>
        <v/>
      </c>
      <c r="BC11" s="80" t="str">
        <f>IF(E10&lt;SUM(E11), "* El Número de Familias evalauadas en el sector 3 no puede ser mayor al N° de Familias inscritas del mismo sector.","")</f>
        <v/>
      </c>
      <c r="BD11" s="80" t="str">
        <f>IF(F10&lt;SUM(F11), "* El Número de Familias evalauadas en el sector 4 no puede ser mayor al N° de Familias inscritas del mismo sector.","")</f>
        <v/>
      </c>
      <c r="BE11" s="80" t="str">
        <f>IF(G10&lt;SUM(G11), "* El Número de Familias evalauadas en el sector 5 no puede ser mayor al N° de Familias inscritas del mismo sector.","")</f>
        <v/>
      </c>
      <c r="BF11" s="80" t="str">
        <f>IF(H10&lt;SUM(H11), "* El Número de Familias evalauadas en el sector 6 no puede ser mayor al N° de Familias inscritas del mismo sector.","")</f>
        <v/>
      </c>
      <c r="BG11" s="80" t="str">
        <f>IF(I10&lt;SUM(I11), "* El Número de Familias evalauadas en el sector 7 no puede ser mayor al N° de Familias inscritas del mismo sector.","")</f>
        <v/>
      </c>
      <c r="BH11" s="80" t="str">
        <f>IF(J10&lt;SUM(J11), "* El Número de Familias evalauadas en el sector 8 no puede ser mayor al N° de Familias inscritas del mismo sector.","")</f>
        <v/>
      </c>
      <c r="BM11" s="287">
        <f>IF(C$10 &lt;(C$11), 1,0)</f>
        <v>0</v>
      </c>
      <c r="BN11" s="287">
        <f t="shared" ref="BN11:BT11" si="0">IF(D$10 &lt;(D$11), 1,0)</f>
        <v>0</v>
      </c>
      <c r="BO11" s="287">
        <f t="shared" si="0"/>
        <v>0</v>
      </c>
      <c r="BP11" s="287">
        <f t="shared" si="0"/>
        <v>0</v>
      </c>
      <c r="BQ11" s="287">
        <f t="shared" si="0"/>
        <v>0</v>
      </c>
      <c r="BR11" s="287">
        <f t="shared" si="0"/>
        <v>0</v>
      </c>
      <c r="BS11" s="287">
        <f t="shared" si="0"/>
        <v>0</v>
      </c>
      <c r="BT11" s="287">
        <f t="shared" si="0"/>
        <v>0</v>
      </c>
    </row>
    <row r="12" spans="1:72" ht="15" customHeight="1" x14ac:dyDescent="0.15">
      <c r="A12" s="83" t="s">
        <v>703</v>
      </c>
      <c r="B12" s="192">
        <f>SUM(C12:J12)</f>
        <v>0</v>
      </c>
      <c r="C12" s="94"/>
      <c r="D12" s="95"/>
      <c r="E12" s="95"/>
      <c r="F12" s="95"/>
      <c r="G12" s="95"/>
      <c r="H12" s="95"/>
      <c r="I12" s="95"/>
      <c r="J12" s="100"/>
      <c r="K12" s="34"/>
    </row>
    <row r="13" spans="1:72" ht="15" customHeight="1" x14ac:dyDescent="0.15">
      <c r="A13" s="83" t="s">
        <v>704</v>
      </c>
      <c r="B13" s="192">
        <f>SUM(C13:J13)</f>
        <v>0</v>
      </c>
      <c r="C13" s="94"/>
      <c r="D13" s="95"/>
      <c r="E13" s="95"/>
      <c r="F13" s="95"/>
      <c r="G13" s="95"/>
      <c r="H13" s="95"/>
      <c r="I13" s="95"/>
      <c r="J13" s="100"/>
      <c r="K13" s="34"/>
    </row>
    <row r="14" spans="1:72" ht="15" customHeight="1" x14ac:dyDescent="0.15">
      <c r="A14" s="84" t="s">
        <v>705</v>
      </c>
      <c r="B14" s="98">
        <f>SUM(C14:J14)</f>
        <v>0</v>
      </c>
      <c r="C14" s="92"/>
      <c r="D14" s="93"/>
      <c r="E14" s="93"/>
      <c r="F14" s="93"/>
      <c r="G14" s="93"/>
      <c r="H14" s="93"/>
      <c r="I14" s="93"/>
      <c r="J14" s="101"/>
      <c r="K14" s="34"/>
    </row>
    <row r="15" spans="1:72" ht="17.100000000000001" customHeight="1" x14ac:dyDescent="0.15">
      <c r="A15" s="2393" t="s">
        <v>706</v>
      </c>
      <c r="B15" s="2393"/>
      <c r="C15" s="2393"/>
      <c r="D15" s="2393"/>
      <c r="E15" s="2393"/>
      <c r="F15" s="2393"/>
      <c r="G15" s="2393"/>
      <c r="H15" s="2393"/>
      <c r="I15" s="2393"/>
      <c r="J15" s="2393"/>
      <c r="K15" s="34"/>
    </row>
    <row r="16" spans="1:72" ht="15.75" customHeight="1" x14ac:dyDescent="0.15">
      <c r="A16" s="433" t="s">
        <v>692</v>
      </c>
      <c r="B16" s="402" t="s">
        <v>49</v>
      </c>
      <c r="C16" s="394" t="s">
        <v>693</v>
      </c>
      <c r="D16" s="249" t="s">
        <v>694</v>
      </c>
      <c r="E16" s="249" t="s">
        <v>695</v>
      </c>
      <c r="F16" s="249" t="s">
        <v>696</v>
      </c>
      <c r="G16" s="249" t="s">
        <v>697</v>
      </c>
      <c r="H16" s="249" t="s">
        <v>698</v>
      </c>
      <c r="I16" s="249" t="s">
        <v>699</v>
      </c>
      <c r="J16" s="396" t="s">
        <v>700</v>
      </c>
      <c r="K16" s="34"/>
    </row>
    <row r="17" spans="1:72" ht="15" customHeight="1" x14ac:dyDescent="0.15">
      <c r="A17" s="81" t="s">
        <v>701</v>
      </c>
      <c r="B17" s="191">
        <f>SUM(C17:J17)</f>
        <v>0</v>
      </c>
      <c r="C17" s="90"/>
      <c r="D17" s="91"/>
      <c r="E17" s="91"/>
      <c r="F17" s="91"/>
      <c r="G17" s="91"/>
      <c r="H17" s="91"/>
      <c r="I17" s="91"/>
      <c r="J17" s="99"/>
      <c r="K17" s="34" t="str">
        <f t="shared" ref="K17" si="1">BA17&amp;BB17&amp;BC17&amp;BD17&amp;BE17&amp;BF17&amp;BG17&amp;BH17</f>
        <v/>
      </c>
    </row>
    <row r="18" spans="1:72" ht="15" customHeight="1" x14ac:dyDescent="0.15">
      <c r="A18" s="82" t="s">
        <v>702</v>
      </c>
      <c r="B18" s="192">
        <f>SUM(C18:J18)</f>
        <v>0</v>
      </c>
      <c r="C18" s="94"/>
      <c r="D18" s="95"/>
      <c r="E18" s="95"/>
      <c r="F18" s="95"/>
      <c r="G18" s="95"/>
      <c r="H18" s="95"/>
      <c r="I18" s="95"/>
      <c r="J18" s="96"/>
      <c r="K18" s="34" t="str">
        <f>BA18&amp;BB18&amp;BC18&amp;BD18&amp;BE18&amp;BF18&amp;BG18&amp;BH18</f>
        <v/>
      </c>
      <c r="BA18" s="80" t="str">
        <f>IF(C17&lt;SUM(C18), " *El Número de Familias evalauadas en el sector 1 no puede ser mayor al N° de Familias inscritas del mismo sector.","")</f>
        <v/>
      </c>
      <c r="BB18" s="80" t="str">
        <f>IF(D17&lt;SUM(D18), " *El Número de Familias evalauadas en el sector 2 no puede ser mayor al N° de Familias inscritas del mismo sector.","")</f>
        <v/>
      </c>
      <c r="BC18" s="80" t="str">
        <f>IF(E17&lt;SUM(E18), " *El Número de Familias evalauadas en el sector 3 no puede ser mayor al N° de Familias inscritas del mismo sector.","")</f>
        <v/>
      </c>
      <c r="BD18" s="80" t="str">
        <f>IF(F17&lt;SUM(F18), " *El Número de Familias evalauadas en el sector 4 no puede ser mayor al N° de Familias inscritas del mismo sector.","")</f>
        <v/>
      </c>
      <c r="BE18" s="80" t="str">
        <f>IF(G17&lt;SUM(G18), " *El Número de Familias evalauadas en el sector 5 no puede ser mayor al N° de Familias inscritas del mismo sector.","")</f>
        <v/>
      </c>
      <c r="BF18" s="80" t="str">
        <f>IF(H17&lt;SUM(H18), " *El Número de Familias evalauadas en el sector 6 no puede ser mayor al N° de Familias inscritas del mismo sector.","")</f>
        <v/>
      </c>
      <c r="BG18" s="80" t="str">
        <f>IF(I17&lt;SUM(I18), " *El Número de Familias evalauadas en el sector 7 no puede ser mayor al N° de Familias inscritas del mismo sector.","")</f>
        <v/>
      </c>
      <c r="BH18" s="80" t="str">
        <f>IF(J17&lt;SUM(J18), " *El Número de Familias evalauadas en el sector 8 no puede ser mayor al N° de Familias inscritas del mismo sector.","")</f>
        <v/>
      </c>
      <c r="BM18" s="287">
        <f>IF(C$17 &lt;(C$18), 1,0)</f>
        <v>0</v>
      </c>
      <c r="BN18" s="287">
        <f t="shared" ref="BN18:BS18" si="2">IF(D17 &lt;(D18), 1,0)</f>
        <v>0</v>
      </c>
      <c r="BO18" s="287">
        <f t="shared" si="2"/>
        <v>0</v>
      </c>
      <c r="BP18" s="287">
        <f t="shared" si="2"/>
        <v>0</v>
      </c>
      <c r="BQ18" s="287">
        <f t="shared" si="2"/>
        <v>0</v>
      </c>
      <c r="BR18" s="287">
        <f t="shared" si="2"/>
        <v>0</v>
      </c>
      <c r="BS18" s="287">
        <f t="shared" si="2"/>
        <v>0</v>
      </c>
      <c r="BT18" s="287">
        <f>IF(J17 &lt;(J18), 1,0)</f>
        <v>0</v>
      </c>
    </row>
    <row r="19" spans="1:72" ht="15" customHeight="1" x14ac:dyDescent="0.15">
      <c r="A19" s="83" t="s">
        <v>703</v>
      </c>
      <c r="B19" s="192">
        <f>SUM(C19:J19)</f>
        <v>0</v>
      </c>
      <c r="C19" s="94"/>
      <c r="D19" s="95"/>
      <c r="E19" s="95"/>
      <c r="F19" s="95"/>
      <c r="G19" s="95"/>
      <c r="H19" s="95"/>
      <c r="I19" s="95"/>
      <c r="J19" s="96"/>
      <c r="K19" s="34"/>
    </row>
    <row r="20" spans="1:72" ht="15" customHeight="1" x14ac:dyDescent="0.15">
      <c r="A20" s="83" t="s">
        <v>704</v>
      </c>
      <c r="B20" s="192">
        <f>SUM(C20:J20)</f>
        <v>0</v>
      </c>
      <c r="C20" s="94"/>
      <c r="D20" s="95"/>
      <c r="E20" s="95"/>
      <c r="F20" s="95"/>
      <c r="G20" s="95"/>
      <c r="H20" s="95"/>
      <c r="I20" s="95"/>
      <c r="J20" s="96"/>
      <c r="K20" s="34"/>
    </row>
    <row r="21" spans="1:72" ht="15" customHeight="1" x14ac:dyDescent="0.15">
      <c r="A21" s="84" t="s">
        <v>705</v>
      </c>
      <c r="B21" s="98">
        <f>SUM(C21:J21)</f>
        <v>0</v>
      </c>
      <c r="C21" s="92"/>
      <c r="D21" s="93"/>
      <c r="E21" s="93"/>
      <c r="F21" s="93"/>
      <c r="G21" s="93"/>
      <c r="H21" s="93"/>
      <c r="I21" s="93"/>
      <c r="J21" s="97"/>
      <c r="K21" s="34"/>
    </row>
    <row r="22" spans="1:72" ht="17.100000000000001" customHeight="1" x14ac:dyDescent="0.15">
      <c r="A22" s="2392" t="s">
        <v>707</v>
      </c>
      <c r="B22" s="2392"/>
      <c r="C22" s="2392"/>
      <c r="D22" s="2392"/>
      <c r="E22" s="2392"/>
      <c r="F22" s="2392"/>
      <c r="G22" s="2392"/>
      <c r="H22" s="2392"/>
      <c r="I22" s="2392"/>
      <c r="J22" s="2392"/>
      <c r="K22" s="2392"/>
      <c r="L22" s="2392"/>
    </row>
    <row r="23" spans="1:72" ht="20.100000000000001" customHeight="1" x14ac:dyDescent="0.15">
      <c r="A23" s="2379" t="s">
        <v>708</v>
      </c>
      <c r="B23" s="2380"/>
      <c r="C23" s="2381"/>
      <c r="D23" s="434" t="s">
        <v>49</v>
      </c>
      <c r="E23" s="359" t="s">
        <v>693</v>
      </c>
      <c r="F23" s="286" t="s">
        <v>694</v>
      </c>
      <c r="G23" s="286" t="s">
        <v>695</v>
      </c>
      <c r="H23" s="286" t="s">
        <v>696</v>
      </c>
      <c r="I23" s="286" t="s">
        <v>697</v>
      </c>
      <c r="J23" s="286" t="s">
        <v>698</v>
      </c>
      <c r="K23" s="435" t="s">
        <v>699</v>
      </c>
      <c r="L23" s="436" t="s">
        <v>700</v>
      </c>
      <c r="M23" s="31"/>
    </row>
    <row r="24" spans="1:72" ht="15" customHeight="1" x14ac:dyDescent="0.15">
      <c r="A24" s="2388" t="s">
        <v>709</v>
      </c>
      <c r="B24" s="2388"/>
      <c r="C24" s="2389"/>
      <c r="D24" s="188">
        <f t="shared" ref="D24:D32" si="3">SUM(E24:L24)</f>
        <v>0</v>
      </c>
      <c r="E24" s="193"/>
      <c r="F24" s="194"/>
      <c r="G24" s="194"/>
      <c r="H24" s="194"/>
      <c r="I24" s="194"/>
      <c r="J24" s="194"/>
      <c r="K24" s="194"/>
      <c r="L24" s="195"/>
      <c r="M24" s="34"/>
    </row>
    <row r="25" spans="1:72" ht="15" customHeight="1" x14ac:dyDescent="0.15">
      <c r="A25" s="2390" t="s">
        <v>710</v>
      </c>
      <c r="B25" s="2384" t="s">
        <v>530</v>
      </c>
      <c r="C25" s="2385"/>
      <c r="D25" s="189">
        <f t="shared" si="3"/>
        <v>0</v>
      </c>
      <c r="E25" s="196"/>
      <c r="F25" s="197"/>
      <c r="G25" s="197"/>
      <c r="H25" s="197"/>
      <c r="I25" s="197"/>
      <c r="J25" s="197"/>
      <c r="K25" s="197"/>
      <c r="L25" s="198"/>
      <c r="M25" s="34"/>
    </row>
    <row r="26" spans="1:72" ht="15" customHeight="1" x14ac:dyDescent="0.15">
      <c r="A26" s="2391"/>
      <c r="B26" s="2382" t="s">
        <v>711</v>
      </c>
      <c r="C26" s="2383"/>
      <c r="D26" s="189">
        <f t="shared" si="3"/>
        <v>0</v>
      </c>
      <c r="E26" s="196"/>
      <c r="F26" s="197"/>
      <c r="G26" s="197"/>
      <c r="H26" s="197"/>
      <c r="I26" s="197"/>
      <c r="J26" s="197"/>
      <c r="K26" s="197"/>
      <c r="L26" s="198"/>
    </row>
    <row r="27" spans="1:72" ht="15" customHeight="1" x14ac:dyDescent="0.15">
      <c r="A27" s="2389"/>
      <c r="B27" s="2386" t="s">
        <v>532</v>
      </c>
      <c r="C27" s="2387"/>
      <c r="D27" s="188">
        <f t="shared" si="3"/>
        <v>0</v>
      </c>
      <c r="E27" s="193"/>
      <c r="F27" s="194"/>
      <c r="G27" s="194"/>
      <c r="H27" s="194"/>
      <c r="I27" s="194"/>
      <c r="J27" s="194"/>
      <c r="K27" s="194"/>
      <c r="L27" s="195"/>
    </row>
    <row r="28" spans="1:72" ht="15" customHeight="1" x14ac:dyDescent="0.15">
      <c r="A28" s="2390" t="s">
        <v>712</v>
      </c>
      <c r="B28" s="2384" t="s">
        <v>713</v>
      </c>
      <c r="C28" s="2385"/>
      <c r="D28" s="190">
        <f t="shared" si="3"/>
        <v>0</v>
      </c>
      <c r="E28" s="199"/>
      <c r="F28" s="200"/>
      <c r="G28" s="200"/>
      <c r="H28" s="200"/>
      <c r="I28" s="200"/>
      <c r="J28" s="200"/>
      <c r="K28" s="200"/>
      <c r="L28" s="201"/>
    </row>
    <row r="29" spans="1:72" ht="15" customHeight="1" x14ac:dyDescent="0.15">
      <c r="A29" s="2391"/>
      <c r="B29" s="2382" t="s">
        <v>714</v>
      </c>
      <c r="C29" s="2383"/>
      <c r="D29" s="189">
        <f t="shared" si="3"/>
        <v>0</v>
      </c>
      <c r="E29" s="196"/>
      <c r="F29" s="197"/>
      <c r="G29" s="197"/>
      <c r="H29" s="197"/>
      <c r="I29" s="197"/>
      <c r="J29" s="197"/>
      <c r="K29" s="197"/>
      <c r="L29" s="202"/>
    </row>
    <row r="30" spans="1:72" ht="15" customHeight="1" x14ac:dyDescent="0.15">
      <c r="A30" s="2391"/>
      <c r="B30" s="2382" t="s">
        <v>715</v>
      </c>
      <c r="C30" s="2383"/>
      <c r="D30" s="189">
        <f t="shared" si="3"/>
        <v>0</v>
      </c>
      <c r="E30" s="196"/>
      <c r="F30" s="197"/>
      <c r="G30" s="197"/>
      <c r="H30" s="197"/>
      <c r="I30" s="197"/>
      <c r="J30" s="197"/>
      <c r="K30" s="197"/>
      <c r="L30" s="202"/>
    </row>
    <row r="31" spans="1:72" ht="15" customHeight="1" x14ac:dyDescent="0.15">
      <c r="A31" s="2391"/>
      <c r="B31" s="2382" t="s">
        <v>716</v>
      </c>
      <c r="C31" s="2383"/>
      <c r="D31" s="189">
        <f t="shared" si="3"/>
        <v>0</v>
      </c>
      <c r="E31" s="196"/>
      <c r="F31" s="197"/>
      <c r="G31" s="197"/>
      <c r="H31" s="197"/>
      <c r="I31" s="197"/>
      <c r="J31" s="197"/>
      <c r="K31" s="197"/>
      <c r="L31" s="202"/>
    </row>
    <row r="32" spans="1:72" ht="15" customHeight="1" x14ac:dyDescent="0.15">
      <c r="A32" s="2389"/>
      <c r="B32" s="2386" t="s">
        <v>717</v>
      </c>
      <c r="C32" s="2387"/>
      <c r="D32" s="188">
        <f t="shared" si="3"/>
        <v>0</v>
      </c>
      <c r="E32" s="193"/>
      <c r="F32" s="194"/>
      <c r="G32" s="194"/>
      <c r="H32" s="194"/>
      <c r="I32" s="194"/>
      <c r="J32" s="194"/>
      <c r="K32" s="194"/>
      <c r="L32" s="203"/>
    </row>
    <row r="49" spans="1:2" ht="12" hidden="1" customHeight="1" x14ac:dyDescent="0.15">
      <c r="A49" s="403">
        <f>SUM(B10:B14,B17:B21,D24:D32)</f>
        <v>0</v>
      </c>
      <c r="B49" s="78" t="s">
        <v>204</v>
      </c>
    </row>
    <row r="50" spans="1:2" ht="12" hidden="1" customHeight="1" x14ac:dyDescent="0.15">
      <c r="A50" s="403">
        <f>SUM(BM11:BT18)</f>
        <v>0</v>
      </c>
      <c r="B50" s="78" t="s">
        <v>205</v>
      </c>
    </row>
  </sheetData>
  <sheetProtection algorithmName="SHA-512" hashValue="HbQimgwprCm4hL1x3loIsf4pPMs9jYPLnBA2Q0X9Gjve/K6DWwUlGHgVaVQrzYpi1QyNlSIbG6XoS20wD9FHfg==" saltValue="hZ3lfAXB2AcjzilbTmWtvQ==" spinCount="100000" sheet="1" objects="1" scenarios="1"/>
  <mergeCells count="16">
    <mergeCell ref="A7:J7"/>
    <mergeCell ref="A23:C23"/>
    <mergeCell ref="B29:C29"/>
    <mergeCell ref="B28:C28"/>
    <mergeCell ref="B27:C27"/>
    <mergeCell ref="B26:C26"/>
    <mergeCell ref="A24:C24"/>
    <mergeCell ref="A28:A32"/>
    <mergeCell ref="B30:C30"/>
    <mergeCell ref="B31:C31"/>
    <mergeCell ref="B32:C32"/>
    <mergeCell ref="B25:C25"/>
    <mergeCell ref="A25:A27"/>
    <mergeCell ref="A22:L22"/>
    <mergeCell ref="A15:J15"/>
    <mergeCell ref="A8:J8"/>
  </mergeCells>
  <phoneticPr fontId="26" type="noConversion"/>
  <dataValidations count="3">
    <dataValidation type="whole" allowBlank="1" showInputMessage="1" showErrorMessage="1" errorTitle="Error de ingreso" error="Debe ingresar sólo números enteros positivos." sqref="B9:B14 BG12:XFD12 M22:XFD1048576 AC12 AC8:BT9 BU15:XFD21 M8:AB21 AC15:BT15 K8:L8 K15:L15 BU8:XFD11 L9:L14 C9:K9 BA12:BE12 BI10:BT11 AW10:AZ14 BA13:XFD14 A17:A22 L16:L21 AC18:AV21 C16:K16 AW16:AZ21 BA16:BH17 BM18:BT18 BI16:BT16 BA19:BT21 BI17:BL18 E23:L23 A33:L1048576 D23:D32 A28 B25:B32 B16:B21 L7:XFD7 A10:A15 B1:XFD6 A6:A8" xr:uid="{00000000-0002-0000-0700-000000000000}">
      <formula1>0</formula1>
      <formula2>1000000000</formula2>
    </dataValidation>
    <dataValidation type="whole" operator="greaterThanOrEqual" allowBlank="1" showInputMessage="1" showErrorMessage="1" errorTitle="Error de ingreso" error="Debe ingresar sólo números enteros positivos." sqref="C17:J21 C10:J14 E24:L32" xr:uid="{309BEAB4-4E6F-4083-8657-4DE78596C510}">
      <formula1>0</formula1>
    </dataValidation>
    <dataValidation allowBlank="1" showInputMessage="1" showErrorMessage="1" errorTitle="Error de ingreso" error="Debe ingresar sólo números enteros positivos." sqref="BA10:BH11 K10:K14 K17:K21 BA17:BH18 A9 A16 A23:C24" xr:uid="{73C30F3A-2472-4365-B639-A4824CEC6F03}"/>
  </dataValidation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V111"/>
  <sheetViews>
    <sheetView showGridLines="0" zoomScaleNormal="100" workbookViewId="0"/>
  </sheetViews>
  <sheetFormatPr baseColWidth="10" defaultColWidth="11.42578125" defaultRowHeight="10.5" x14ac:dyDescent="0.15"/>
  <cols>
    <col min="1" max="1" width="22.28515625" style="471" customWidth="1"/>
    <col min="2" max="2" width="36.85546875" style="471" customWidth="1"/>
    <col min="3" max="3" width="10.7109375" style="471" customWidth="1"/>
    <col min="4" max="5" width="10.5703125" style="471" customWidth="1"/>
    <col min="6" max="6" width="10.28515625" style="471" customWidth="1"/>
    <col min="7" max="8" width="10.5703125" style="471" customWidth="1"/>
    <col min="9" max="9" width="9.7109375" style="471" customWidth="1"/>
    <col min="10" max="11" width="10.5703125" style="471" customWidth="1"/>
    <col min="12" max="12" width="9.7109375" style="471" customWidth="1"/>
    <col min="13" max="17" width="10.5703125" style="471" customWidth="1"/>
    <col min="18" max="18" width="10.7109375" style="471" customWidth="1"/>
    <col min="19" max="19" width="11.42578125" style="471"/>
    <col min="20" max="24" width="11.42578125" style="471" customWidth="1"/>
    <col min="25" max="26" width="11.7109375" style="471" customWidth="1"/>
    <col min="27" max="35" width="11.7109375" style="470" customWidth="1"/>
    <col min="36" max="38" width="11.7109375" style="470" hidden="1" customWidth="1"/>
    <col min="39" max="48" width="11.42578125" style="470" hidden="1" customWidth="1"/>
    <col min="49" max="16384" width="11.42578125" style="470"/>
  </cols>
  <sheetData>
    <row r="1" spans="1:46" ht="13.5" customHeight="1" x14ac:dyDescent="0.15">
      <c r="A1" s="466" t="s">
        <v>0</v>
      </c>
    </row>
    <row r="2" spans="1:46" ht="13.5" customHeight="1" x14ac:dyDescent="0.15">
      <c r="A2" s="466" t="str">
        <f>CONCATENATE("COMUNA: ",NOMBRE!$B$2,"   ","( ",NOMBRE!$C$2,NOMBRE!$D$2,NOMBRE!$E$2,NOMBRE!$F$2,NOMBRE!$G$2," )")</f>
        <v>COMUNA:    (  )</v>
      </c>
    </row>
    <row r="3" spans="1:46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</row>
    <row r="4" spans="1:46" ht="13.5" customHeight="1" x14ac:dyDescent="0.15">
      <c r="A4" s="466" t="str">
        <f>CONCATENATE("MES: ",NOMBRE!$B$6,"   ","( ",NOMBRE!$C$6,NOMBRE!$D$6," )")</f>
        <v>MES:    (  )</v>
      </c>
    </row>
    <row r="5" spans="1:46" ht="13.5" customHeight="1" x14ac:dyDescent="0.15">
      <c r="A5" s="466" t="str">
        <f>CONCATENATE("AÑO: ",NOMBRE!$B$7)</f>
        <v>AÑO: 2026</v>
      </c>
    </row>
    <row r="6" spans="1:46" ht="15" customHeight="1" x14ac:dyDescent="0.15"/>
    <row r="7" spans="1:46" ht="26.25" customHeight="1" x14ac:dyDescent="0.15">
      <c r="A7" s="2401" t="s">
        <v>718</v>
      </c>
      <c r="B7" s="2401"/>
      <c r="C7" s="2401"/>
      <c r="D7" s="2401"/>
      <c r="E7" s="2401"/>
      <c r="F7" s="2401"/>
      <c r="G7" s="2401"/>
      <c r="H7" s="2401"/>
      <c r="I7" s="2401"/>
      <c r="J7" s="2401"/>
      <c r="K7" s="2401"/>
      <c r="L7" s="2401"/>
      <c r="M7" s="2401"/>
      <c r="N7" s="2401"/>
      <c r="O7" s="2401"/>
      <c r="P7" s="2401"/>
      <c r="Q7" s="2401"/>
      <c r="S7" s="1365"/>
      <c r="T7" s="1365"/>
    </row>
    <row r="9" spans="1:46" ht="17.100000000000001" customHeight="1" x14ac:dyDescent="0.15">
      <c r="A9" s="2402" t="s">
        <v>719</v>
      </c>
      <c r="B9" s="2402"/>
      <c r="C9" s="2402"/>
      <c r="D9" s="2402"/>
      <c r="E9" s="2402"/>
      <c r="F9" s="2402"/>
      <c r="G9" s="2402"/>
      <c r="H9" s="2402"/>
      <c r="I9" s="2402"/>
      <c r="J9" s="2402"/>
      <c r="K9" s="2402"/>
      <c r="L9" s="2402"/>
      <c r="M9" s="2402"/>
      <c r="N9" s="2402"/>
      <c r="O9" s="2402"/>
      <c r="P9" s="2402"/>
      <c r="Q9" s="2402"/>
      <c r="AJ9" s="1841" t="s">
        <v>609</v>
      </c>
      <c r="AK9" s="1843"/>
      <c r="AL9" s="1905" t="s">
        <v>610</v>
      </c>
      <c r="AM9" s="1846"/>
    </row>
    <row r="10" spans="1:46" ht="21" customHeight="1" x14ac:dyDescent="0.15">
      <c r="A10" s="2409" t="s">
        <v>720</v>
      </c>
      <c r="B10" s="2410"/>
      <c r="C10" s="2406" t="s">
        <v>49</v>
      </c>
      <c r="D10" s="2406"/>
      <c r="E10" s="2406"/>
      <c r="F10" s="2406" t="s">
        <v>314</v>
      </c>
      <c r="G10" s="2406"/>
      <c r="H10" s="2406"/>
      <c r="I10" s="2406" t="s">
        <v>721</v>
      </c>
      <c r="J10" s="2406"/>
      <c r="K10" s="2413"/>
      <c r="L10" s="2416" t="s">
        <v>722</v>
      </c>
      <c r="M10" s="2406"/>
      <c r="N10" s="2406"/>
      <c r="O10" s="2406" t="s">
        <v>52</v>
      </c>
      <c r="P10" s="2406"/>
      <c r="Q10" s="2406"/>
      <c r="AJ10" s="906" t="s">
        <v>723</v>
      </c>
      <c r="AK10" s="906" t="s">
        <v>724</v>
      </c>
      <c r="AL10" s="906" t="s">
        <v>723</v>
      </c>
      <c r="AM10" s="906" t="s">
        <v>724</v>
      </c>
    </row>
    <row r="11" spans="1:46" ht="21" x14ac:dyDescent="0.15">
      <c r="A11" s="2411"/>
      <c r="B11" s="2412"/>
      <c r="C11" s="1236" t="s">
        <v>224</v>
      </c>
      <c r="D11" s="1367" t="s">
        <v>86</v>
      </c>
      <c r="E11" s="1366" t="s">
        <v>225</v>
      </c>
      <c r="F11" s="1236" t="s">
        <v>399</v>
      </c>
      <c r="G11" s="1367" t="s">
        <v>86</v>
      </c>
      <c r="H11" s="1366" t="s">
        <v>225</v>
      </c>
      <c r="I11" s="1236" t="s">
        <v>399</v>
      </c>
      <c r="J11" s="1367" t="s">
        <v>86</v>
      </c>
      <c r="K11" s="1368" t="s">
        <v>225</v>
      </c>
      <c r="L11" s="1366" t="s">
        <v>399</v>
      </c>
      <c r="M11" s="1367" t="s">
        <v>86</v>
      </c>
      <c r="N11" s="1366" t="s">
        <v>225</v>
      </c>
      <c r="O11" s="1236" t="s">
        <v>399</v>
      </c>
      <c r="P11" s="1367" t="s">
        <v>86</v>
      </c>
      <c r="Q11" s="1366" t="s">
        <v>225</v>
      </c>
    </row>
    <row r="12" spans="1:46" ht="15" customHeight="1" x14ac:dyDescent="0.15">
      <c r="A12" s="2407" t="s">
        <v>725</v>
      </c>
      <c r="B12" s="2408"/>
      <c r="C12" s="1369">
        <f>SUM(D12:E12)</f>
        <v>0</v>
      </c>
      <c r="D12" s="1370">
        <f>+G12+J12</f>
        <v>0</v>
      </c>
      <c r="E12" s="1371">
        <f>+H12+K12</f>
        <v>0</v>
      </c>
      <c r="F12" s="1369">
        <f>SUM(G12:H12)</f>
        <v>0</v>
      </c>
      <c r="G12" s="1372"/>
      <c r="H12" s="1373"/>
      <c r="I12" s="1369">
        <f>SUM(J12:K12)</f>
        <v>0</v>
      </c>
      <c r="J12" s="1372"/>
      <c r="K12" s="1374"/>
      <c r="L12" s="1371">
        <f>SUM(M12:N12)</f>
        <v>0</v>
      </c>
      <c r="M12" s="1372"/>
      <c r="N12" s="1373"/>
      <c r="O12" s="1369">
        <f>SUM(P12:Q12)</f>
        <v>0</v>
      </c>
      <c r="P12" s="1372"/>
      <c r="Q12" s="1373"/>
      <c r="R12" s="471" t="str">
        <f>AJ12&amp;AK12&amp;AL12&amp;AM12</f>
        <v/>
      </c>
      <c r="AJ12" s="620" t="str">
        <f>IF(AND(D12&gt;0,OR(M12=""))," * No olvide digitar la variable Pueblos Originarios Hombres. Digite Cero si no tiene.",IF(M12&gt;D12," * La variable Pueblos Originarios Hombres no puede ser Mayor al Total Hombres.",""))</f>
        <v/>
      </c>
      <c r="AK12" s="620" t="str">
        <f>IF(AND(E12&gt;0,OR(N12=""))," * No olvide digitar la variable Pueblos Originarios Mujeres. Digite Cero si no tiene.",IF(N12&gt;E12," * La variable Pueblos Originarios Mujeres no puede ser Mayor al Total Mujeres.",""))</f>
        <v/>
      </c>
      <c r="AL12" s="620" t="str">
        <f>IF(AND($D12&gt;0,OR(P12=""))," * No olvide digitar la variable Migrantes Hombres. Digite Cero si no tiene.",IF(P12&gt;$D12," * La variable Migrantes Hombres no puede ser Mayor al Total Hombres.",""))</f>
        <v/>
      </c>
      <c r="AM12" s="620" t="str">
        <f>IF(AND($E12&gt;0,OR(Q12=""))," * No olvide digitar la variable Migrantes Mujeres. Digite Cero si no tiene.",IF(Q12&gt;$E12," * La variable Migrantes Mujeres no puede ser Mayor al Total Mujeres.",""))</f>
        <v/>
      </c>
      <c r="AQ12" s="501">
        <f>IF(AND($D12&gt;0,OR(M12="")),1,IF(M12&gt;$D12,1,0))</f>
        <v>0</v>
      </c>
      <c r="AR12" s="501">
        <f>IF(AND($E12&gt;0,OR(N12="")),1,IF(N12&gt;$E12,1,0))</f>
        <v>0</v>
      </c>
      <c r="AS12" s="501">
        <f>IF(AND($D12&gt;0,OR(P12="")),1,IF(P12&gt;$D12,1,0))</f>
        <v>0</v>
      </c>
      <c r="AT12" s="501">
        <f>IF(AND($E12&gt;0,OR(Q12="")),1,IF(Q12&gt;$E12,1,0))</f>
        <v>0</v>
      </c>
    </row>
    <row r="13" spans="1:46" ht="17.100000000000001" customHeight="1" x14ac:dyDescent="0.15">
      <c r="A13" s="2403" t="s">
        <v>726</v>
      </c>
      <c r="B13" s="2403"/>
      <c r="C13" s="2403"/>
      <c r="D13" s="2403"/>
      <c r="E13" s="2403"/>
      <c r="F13" s="2403"/>
      <c r="G13" s="2403"/>
      <c r="H13" s="2403"/>
      <c r="I13" s="2403"/>
      <c r="J13" s="2403"/>
      <c r="K13" s="2403"/>
      <c r="L13" s="2403"/>
      <c r="M13" s="2403"/>
      <c r="N13" s="2403"/>
      <c r="O13" s="2403"/>
      <c r="P13" s="2403"/>
      <c r="Q13" s="2403"/>
    </row>
    <row r="14" spans="1:46" s="471" customFormat="1" ht="27" customHeight="1" x14ac:dyDescent="0.15">
      <c r="A14" s="2443" t="s">
        <v>727</v>
      </c>
      <c r="B14" s="2444"/>
      <c r="C14" s="2414" t="s">
        <v>49</v>
      </c>
      <c r="D14" s="2415"/>
      <c r="E14" s="2416"/>
      <c r="F14" s="2414" t="s">
        <v>728</v>
      </c>
      <c r="G14" s="2415"/>
      <c r="H14" s="2416"/>
      <c r="I14" s="2414" t="s">
        <v>721</v>
      </c>
      <c r="J14" s="2415"/>
      <c r="K14" s="2415"/>
      <c r="L14" s="2422" t="s">
        <v>722</v>
      </c>
      <c r="M14" s="2415"/>
      <c r="N14" s="2416"/>
      <c r="O14" s="2415" t="s">
        <v>52</v>
      </c>
      <c r="P14" s="2415"/>
      <c r="Q14" s="2416"/>
      <c r="X14" s="470"/>
      <c r="Y14" s="470"/>
      <c r="Z14" s="470"/>
      <c r="AA14" s="470"/>
      <c r="AB14" s="470"/>
      <c r="AC14" s="470"/>
      <c r="AD14" s="470"/>
      <c r="AE14" s="470"/>
      <c r="AF14" s="470"/>
      <c r="AG14" s="470"/>
      <c r="AH14" s="470"/>
      <c r="AI14" s="470"/>
    </row>
    <row r="15" spans="1:46" s="471" customFormat="1" ht="28.5" customHeight="1" x14ac:dyDescent="0.25">
      <c r="A15" s="2445"/>
      <c r="B15" s="2446"/>
      <c r="C15" s="1236" t="s">
        <v>224</v>
      </c>
      <c r="D15" s="1367" t="s">
        <v>86</v>
      </c>
      <c r="E15" s="1376" t="s">
        <v>225</v>
      </c>
      <c r="F15" s="1367" t="s">
        <v>399</v>
      </c>
      <c r="G15" s="1367" t="s">
        <v>86</v>
      </c>
      <c r="H15" s="1376" t="s">
        <v>225</v>
      </c>
      <c r="I15" s="1367" t="s">
        <v>399</v>
      </c>
      <c r="J15" s="1367" t="s">
        <v>86</v>
      </c>
      <c r="K15" s="1375" t="s">
        <v>225</v>
      </c>
      <c r="L15" s="1377" t="s">
        <v>399</v>
      </c>
      <c r="M15" s="1367" t="s">
        <v>86</v>
      </c>
      <c r="N15" s="1366" t="s">
        <v>225</v>
      </c>
      <c r="O15" s="1376" t="s">
        <v>399</v>
      </c>
      <c r="P15" s="1367" t="s">
        <v>86</v>
      </c>
      <c r="Q15" s="1366" t="s">
        <v>225</v>
      </c>
      <c r="S15"/>
      <c r="X15" s="470"/>
      <c r="Y15" s="470"/>
      <c r="Z15" s="470"/>
      <c r="AA15" s="470"/>
      <c r="AB15" s="470"/>
      <c r="AC15" s="470"/>
      <c r="AD15" s="470"/>
      <c r="AE15" s="470"/>
      <c r="AF15" s="470"/>
      <c r="AG15" s="470"/>
      <c r="AH15" s="470"/>
      <c r="AI15" s="470"/>
    </row>
    <row r="16" spans="1:46" s="471" customFormat="1" ht="15" customHeight="1" x14ac:dyDescent="0.15">
      <c r="A16" s="2002" t="s">
        <v>250</v>
      </c>
      <c r="B16" s="1378" t="s">
        <v>907</v>
      </c>
      <c r="C16" s="1379">
        <f t="shared" ref="C16:C42" si="0">SUM(D16:E16)</f>
        <v>0</v>
      </c>
      <c r="D16" s="1380">
        <f>+G16+J16</f>
        <v>0</v>
      </c>
      <c r="E16" s="1381">
        <f t="shared" ref="E16:E42" si="1">+H16+K16</f>
        <v>0</v>
      </c>
      <c r="F16" s="1379">
        <f>SUM(G16:H16)</f>
        <v>0</v>
      </c>
      <c r="G16" s="1382"/>
      <c r="H16" s="1383"/>
      <c r="I16" s="1379">
        <f>SUM(J16:K16)</f>
        <v>0</v>
      </c>
      <c r="J16" s="1382"/>
      <c r="K16" s="1383"/>
      <c r="L16" s="1384">
        <f>SUM(M16:N16)</f>
        <v>0</v>
      </c>
      <c r="M16" s="1382"/>
      <c r="N16" s="1383"/>
      <c r="O16" s="1385">
        <f>SUM(P16:Q16)</f>
        <v>0</v>
      </c>
      <c r="P16" s="1382"/>
      <c r="Q16" s="1383"/>
      <c r="R16" s="471" t="str">
        <f t="shared" ref="R16:R40" si="2">AJ16&amp;AK16&amp;AL16&amp;AM16</f>
        <v/>
      </c>
      <c r="X16" s="470"/>
      <c r="Y16" s="470"/>
      <c r="Z16" s="470"/>
      <c r="AA16" s="470"/>
      <c r="AB16" s="470"/>
      <c r="AC16" s="470"/>
      <c r="AD16" s="470"/>
      <c r="AE16" s="470"/>
      <c r="AF16" s="470"/>
      <c r="AG16" s="470"/>
      <c r="AH16" s="470"/>
      <c r="AI16" s="470"/>
      <c r="AJ16" s="620" t="str">
        <f>IF(AND(D16&gt;0,OR(M16=""))," * No olvide digitar la variable Pueblos Originarios Hombres. Digite Cero si no tiene.",IF(M16&gt;D16," * La variable Pueblos Originarios Hombres no puede ser Mayor al Total Hombres.",""))</f>
        <v/>
      </c>
      <c r="AK16" s="620" t="str">
        <f t="shared" ref="AK16:AK18" si="3">IF(AND(E16&gt;0,OR(N16=""))," * No olvide digitar la variable Pueblos Originarios Mujeres. Digite Cero si no tiene.",IF(N16&gt;E16," * La variable Pueblos Originarios Mujeres no puede ser Mayor al Total Mujeres.",""))</f>
        <v/>
      </c>
      <c r="AL16" s="620" t="str">
        <f t="shared" ref="AL16:AL18" si="4">IF(AND($D16&gt;0,OR(P16=""))," * No olvide digitar la variable Migrantes Hombres. Digite Cero si no tiene.",IF(P16&gt;$D16," * La variable Migrantes Hombres no puede ser Mayor al Total Hombres.",""))</f>
        <v/>
      </c>
      <c r="AM16" s="620" t="str">
        <f>IF(AND($E16&gt;0,OR(Q16=""))," * No olvide digitar la variable Migrantes Mujeres. Digite Cero si no tiene.",IF(Q16&gt;$E16," * La variable Migrantes Mujeres no puede ser Mayor al Total Mujeres.",""))</f>
        <v/>
      </c>
      <c r="AN16" s="470"/>
      <c r="AO16" s="470"/>
      <c r="AP16" s="470"/>
      <c r="AQ16" s="501">
        <f t="shared" ref="AQ16:AQ18" si="5">IF(AND($D16&gt;0,OR(M16="")),1,IF(M16&gt;$D16,1,0))</f>
        <v>0</v>
      </c>
      <c r="AR16" s="501">
        <f t="shared" ref="AR16:AR18" si="6">IF(AND($E16&gt;0,OR(N16="")),1,IF(N16&gt;$E16,1,0))</f>
        <v>0</v>
      </c>
      <c r="AS16" s="501">
        <f t="shared" ref="AS16:AS18" si="7">IF(AND($D16&gt;0,OR(P16="")),1,IF(P16&gt;$D16,1,0))</f>
        <v>0</v>
      </c>
      <c r="AT16" s="501">
        <f t="shared" ref="AT16:AT18" si="8">IF(AND($E16&gt;0,OR(Q16="")),1,IF(Q16&gt;$E16,1,0))</f>
        <v>0</v>
      </c>
    </row>
    <row r="17" spans="1:46" s="471" customFormat="1" ht="15" customHeight="1" x14ac:dyDescent="0.25">
      <c r="A17" s="2002"/>
      <c r="B17" s="1386" t="s">
        <v>729</v>
      </c>
      <c r="C17" s="1387">
        <f t="shared" si="0"/>
        <v>0</v>
      </c>
      <c r="D17" s="1388">
        <f t="shared" ref="D17:D22" si="9">+G17+J17</f>
        <v>0</v>
      </c>
      <c r="E17" s="1381">
        <f>+H17+K17</f>
        <v>0</v>
      </c>
      <c r="F17" s="1387">
        <f>SUM(G17:H17)</f>
        <v>0</v>
      </c>
      <c r="G17" s="1389"/>
      <c r="H17" s="1390"/>
      <c r="I17" s="1387">
        <f>SUM(J17:K17)</f>
        <v>0</v>
      </c>
      <c r="J17" s="1389"/>
      <c r="K17" s="1390"/>
      <c r="L17" s="1391">
        <f>SUM(M17:N17)</f>
        <v>0</v>
      </c>
      <c r="M17" s="1389"/>
      <c r="N17" s="1390"/>
      <c r="O17" s="1392">
        <f>SUM(P17:Q17)</f>
        <v>0</v>
      </c>
      <c r="P17" s="1389"/>
      <c r="Q17" s="1390"/>
      <c r="R17" s="471" t="str">
        <f t="shared" si="2"/>
        <v/>
      </c>
      <c r="S17"/>
      <c r="X17" s="470"/>
      <c r="Y17" s="470"/>
      <c r="Z17" s="470"/>
      <c r="AA17" s="470"/>
      <c r="AB17" s="470"/>
      <c r="AC17" s="470"/>
      <c r="AD17" s="470"/>
      <c r="AE17" s="470"/>
      <c r="AF17" s="470"/>
      <c r="AG17" s="470"/>
      <c r="AH17" s="470"/>
      <c r="AI17" s="470"/>
      <c r="AJ17" s="620" t="str">
        <f t="shared" ref="AJ17:AJ18" si="10">IF(AND(D17&gt;0,OR(M17=""))," * No olvide digitar la variable Pueblos Originarios Hombres. Digite Cero si no tiene.",IF(M17&gt;D17," * La variable Pueblos Originarios Hombres no puede ser Mayor al Total Hombres.",""))</f>
        <v/>
      </c>
      <c r="AK17" s="620" t="str">
        <f t="shared" si="3"/>
        <v/>
      </c>
      <c r="AL17" s="620" t="str">
        <f t="shared" si="4"/>
        <v/>
      </c>
      <c r="AM17" s="620" t="str">
        <f>IF(AND($E17&gt;0,OR(Q17=""))," * No olvide digitar la variable Migrantes Mujeres. Digite Cero si no tiene.",IF(Q17&gt;$E17," * La variable Migrantes Mujeres no puede ser Mayor al Total Mujeres.",""))</f>
        <v/>
      </c>
      <c r="AN17" s="470"/>
      <c r="AO17" s="470"/>
      <c r="AP17" s="470"/>
      <c r="AQ17" s="501">
        <f t="shared" si="5"/>
        <v>0</v>
      </c>
      <c r="AR17" s="501">
        <f t="shared" si="6"/>
        <v>0</v>
      </c>
      <c r="AS17" s="501">
        <f t="shared" si="7"/>
        <v>0</v>
      </c>
      <c r="AT17" s="501">
        <f t="shared" si="8"/>
        <v>0</v>
      </c>
    </row>
    <row r="18" spans="1:46" s="471" customFormat="1" ht="15" customHeight="1" x14ac:dyDescent="0.15">
      <c r="A18" s="2002"/>
      <c r="B18" s="1393" t="s">
        <v>730</v>
      </c>
      <c r="C18" s="1394">
        <f t="shared" si="0"/>
        <v>0</v>
      </c>
      <c r="D18" s="1395">
        <f t="shared" si="9"/>
        <v>0</v>
      </c>
      <c r="E18" s="1396">
        <f t="shared" si="1"/>
        <v>0</v>
      </c>
      <c r="F18" s="1394">
        <f>SUM(G18:H18)</f>
        <v>0</v>
      </c>
      <c r="G18" s="1397"/>
      <c r="H18" s="1398"/>
      <c r="I18" s="1394">
        <f>SUM(J18:K18)</f>
        <v>0</v>
      </c>
      <c r="J18" s="1397"/>
      <c r="K18" s="1398"/>
      <c r="L18" s="1399">
        <f>SUM(M18:N18)</f>
        <v>0</v>
      </c>
      <c r="M18" s="1397"/>
      <c r="N18" s="1398"/>
      <c r="O18" s="1396">
        <f>SUM(P18:Q18)</f>
        <v>0</v>
      </c>
      <c r="P18" s="1397"/>
      <c r="Q18" s="1398"/>
      <c r="R18" s="471" t="str">
        <f t="shared" si="2"/>
        <v/>
      </c>
      <c r="X18" s="470"/>
      <c r="Y18" s="470"/>
      <c r="Z18" s="470"/>
      <c r="AA18" s="470"/>
      <c r="AB18" s="470"/>
      <c r="AC18" s="470"/>
      <c r="AD18" s="470"/>
      <c r="AE18" s="470"/>
      <c r="AF18" s="470"/>
      <c r="AG18" s="470"/>
      <c r="AH18" s="470"/>
      <c r="AI18" s="470"/>
      <c r="AJ18" s="620" t="str">
        <f t="shared" si="10"/>
        <v/>
      </c>
      <c r="AK18" s="620" t="str">
        <f t="shared" si="3"/>
        <v/>
      </c>
      <c r="AL18" s="620" t="str">
        <f t="shared" si="4"/>
        <v/>
      </c>
      <c r="AM18" s="620" t="str">
        <f t="shared" ref="AM18" si="11">IF(AND($E18&gt;0,OR(Q18=""))," * No olvide digitar la variable Migrantes Mujeres. Digite Cero si no tiene.",IF(Q18&gt;$E18," * La variable Migrantes Mujeres no puede ser Mayor al Total Hombres.",""))</f>
        <v/>
      </c>
      <c r="AN18" s="470"/>
      <c r="AO18" s="470"/>
      <c r="AP18" s="470"/>
      <c r="AQ18" s="501">
        <f t="shared" si="5"/>
        <v>0</v>
      </c>
      <c r="AR18" s="501">
        <f t="shared" si="6"/>
        <v>0</v>
      </c>
      <c r="AS18" s="501">
        <f t="shared" si="7"/>
        <v>0</v>
      </c>
      <c r="AT18" s="501">
        <f t="shared" si="8"/>
        <v>0</v>
      </c>
    </row>
    <row r="19" spans="1:46" s="471" customFormat="1" ht="15" customHeight="1" x14ac:dyDescent="0.15">
      <c r="A19" s="2002"/>
      <c r="B19" s="1400" t="s">
        <v>731</v>
      </c>
      <c r="C19" s="1401">
        <f t="shared" si="0"/>
        <v>0</v>
      </c>
      <c r="D19" s="1402">
        <f>+G19+J19</f>
        <v>0</v>
      </c>
      <c r="E19" s="1403">
        <f>+H19+K19</f>
        <v>0</v>
      </c>
      <c r="F19" s="1401">
        <f t="shared" ref="F19:Q19" si="12">SUM(F16:F18)</f>
        <v>0</v>
      </c>
      <c r="G19" s="1402">
        <f t="shared" si="12"/>
        <v>0</v>
      </c>
      <c r="H19" s="1403">
        <f t="shared" si="12"/>
        <v>0</v>
      </c>
      <c r="I19" s="1401">
        <f t="shared" si="12"/>
        <v>0</v>
      </c>
      <c r="J19" s="1402">
        <f t="shared" si="12"/>
        <v>0</v>
      </c>
      <c r="K19" s="1404">
        <f t="shared" si="12"/>
        <v>0</v>
      </c>
      <c r="L19" s="1405">
        <f t="shared" si="12"/>
        <v>0</v>
      </c>
      <c r="M19" s="1402">
        <f t="shared" si="12"/>
        <v>0</v>
      </c>
      <c r="N19" s="1403">
        <f t="shared" si="12"/>
        <v>0</v>
      </c>
      <c r="O19" s="1403">
        <f t="shared" si="12"/>
        <v>0</v>
      </c>
      <c r="P19" s="1402">
        <f t="shared" si="12"/>
        <v>0</v>
      </c>
      <c r="Q19" s="1406">
        <f t="shared" si="12"/>
        <v>0</v>
      </c>
      <c r="X19" s="470"/>
      <c r="Y19" s="470"/>
      <c r="Z19" s="470"/>
      <c r="AA19" s="470"/>
      <c r="AB19" s="470"/>
      <c r="AC19" s="470"/>
      <c r="AD19" s="470"/>
      <c r="AE19" s="470"/>
      <c r="AF19" s="470"/>
      <c r="AG19" s="470"/>
      <c r="AH19" s="470"/>
      <c r="AI19" s="470"/>
      <c r="AJ19" s="470"/>
      <c r="AK19" s="470"/>
      <c r="AL19" s="470"/>
    </row>
    <row r="20" spans="1:46" s="471" customFormat="1" ht="15" customHeight="1" x14ac:dyDescent="0.15">
      <c r="A20" s="2002"/>
      <c r="B20" s="1407" t="s">
        <v>732</v>
      </c>
      <c r="C20" s="1379">
        <f t="shared" si="0"/>
        <v>0</v>
      </c>
      <c r="D20" s="1380">
        <f t="shared" si="9"/>
        <v>0</v>
      </c>
      <c r="E20" s="1381">
        <f t="shared" si="1"/>
        <v>0</v>
      </c>
      <c r="F20" s="1379">
        <f>SUM(G20:H20)</f>
        <v>0</v>
      </c>
      <c r="G20" s="1408"/>
      <c r="H20" s="1409"/>
      <c r="I20" s="1379">
        <f>SUM(J20:K20)</f>
        <v>0</v>
      </c>
      <c r="J20" s="1408"/>
      <c r="K20" s="1410"/>
      <c r="L20" s="1411">
        <f>SUM(M20:N20)</f>
        <v>0</v>
      </c>
      <c r="M20" s="1408"/>
      <c r="N20" s="1409"/>
      <c r="O20" s="1381">
        <f>SUM(P20:Q20)</f>
        <v>0</v>
      </c>
      <c r="P20" s="1408"/>
      <c r="Q20" s="1409"/>
      <c r="R20" s="471" t="str">
        <f t="shared" si="2"/>
        <v/>
      </c>
      <c r="X20" s="470"/>
      <c r="Y20" s="470"/>
      <c r="Z20" s="470"/>
      <c r="AA20" s="470"/>
      <c r="AB20" s="470"/>
      <c r="AC20" s="470"/>
      <c r="AD20" s="470"/>
      <c r="AE20" s="470"/>
      <c r="AF20" s="470"/>
      <c r="AG20" s="470"/>
      <c r="AH20" s="470"/>
      <c r="AI20" s="470"/>
      <c r="AJ20" s="620" t="str">
        <f>IF(AND(D20&gt;0,OR(M20=""))," * No olvide digitar la variable Pueblos Originarios Hombres. Digite Cero si no tiene.",IF(M20&gt;D20," * La variable Pueblos Originarios Hombres no puede ser Mayor al Total Hombres.",""))</f>
        <v/>
      </c>
      <c r="AK20" s="620" t="str">
        <f>IF(AND(E20&gt;0,OR(N20=""))," * No olvide digitar la variable Pueblos Originarios Mujeres. Digite Cero si no tiene.",IF(N20&gt;E20," * La variable Pueblos Originarios Mujeres no puede ser Mayor al Total Mujeres.",""))</f>
        <v/>
      </c>
      <c r="AL20" s="620" t="str">
        <f>IF(AND($D20&gt;0,OR(P20=""))," * No olvide digitar la variable Migrantes Hombres. Digite Cero si no tiene.",IF(P20&gt;$D20," * La variable Migrantes Hombres no puede ser Mayor al Total Hombres.",""))</f>
        <v/>
      </c>
      <c r="AM20" s="620" t="str">
        <f>IF(AND($E20&gt;0,OR(Q20=""))," * No olvide digitar la variable Migrantes Mujeres. Digite Cero si no tiene.",IF(Q20&gt;$E20," * La variable Migrantes Mujeres no puede ser Mayor al Total Mujeres.",""))</f>
        <v/>
      </c>
      <c r="AN20" s="470"/>
      <c r="AO20" s="470"/>
      <c r="AP20" s="470"/>
      <c r="AQ20" s="501">
        <f>IF(AND($D20&gt;0,OR(M20="")),1,IF(M20&gt;$D20,1,0))</f>
        <v>0</v>
      </c>
      <c r="AR20" s="501">
        <f>IF(AND($E20&gt;0,OR(N20="")),1,IF(N20&gt;$E20,1,0))</f>
        <v>0</v>
      </c>
      <c r="AS20" s="501">
        <f>IF(AND($D20&gt;0,OR(P20="")),1,IF(P20&gt;$D20,1,0))</f>
        <v>0</v>
      </c>
      <c r="AT20" s="501">
        <f>IF(AND($E20&gt;0,OR(Q20="")),1,IF(Q20&gt;$E20,1,0))</f>
        <v>0</v>
      </c>
    </row>
    <row r="21" spans="1:46" s="471" customFormat="1" ht="15" customHeight="1" x14ac:dyDescent="0.15">
      <c r="A21" s="2002"/>
      <c r="B21" s="1412" t="s">
        <v>733</v>
      </c>
      <c r="C21" s="1413">
        <f t="shared" si="0"/>
        <v>0</v>
      </c>
      <c r="D21" s="1414">
        <f t="shared" si="9"/>
        <v>0</v>
      </c>
      <c r="E21" s="1415">
        <f t="shared" si="1"/>
        <v>0</v>
      </c>
      <c r="F21" s="1413">
        <f>SUM(G21:H21)</f>
        <v>0</v>
      </c>
      <c r="G21" s="1416"/>
      <c r="H21" s="1417"/>
      <c r="I21" s="1413">
        <f>SUM(J21:K21)</f>
        <v>0</v>
      </c>
      <c r="J21" s="1416"/>
      <c r="K21" s="1418"/>
      <c r="L21" s="1419">
        <f>SUM(M21:N21)</f>
        <v>0</v>
      </c>
      <c r="M21" s="1416"/>
      <c r="N21" s="1417"/>
      <c r="O21" s="1420">
        <f>SUM(P21:Q21)</f>
        <v>0</v>
      </c>
      <c r="P21" s="1416"/>
      <c r="Q21" s="1417"/>
      <c r="R21" s="471" t="str">
        <f t="shared" si="2"/>
        <v/>
      </c>
      <c r="X21" s="470"/>
      <c r="Y21" s="470"/>
      <c r="Z21" s="470"/>
      <c r="AA21" s="470"/>
      <c r="AB21" s="470"/>
      <c r="AC21" s="470"/>
      <c r="AD21" s="470"/>
      <c r="AE21" s="470"/>
      <c r="AF21" s="470"/>
      <c r="AG21" s="470"/>
      <c r="AH21" s="470"/>
      <c r="AI21" s="470"/>
      <c r="AJ21" s="620" t="str">
        <f>IF(AND(D21&gt;0,OR(M21=""))," * No olvide digitar la variable Pueblos Originarios Hombres. Digite Cero si no tiene.",IF(M21&gt;D21," * La variable Pueblos Originarios Hombres no puede ser Mayor al Total Hombres.",""))</f>
        <v/>
      </c>
      <c r="AK21" s="620" t="str">
        <f>IF(AND(E21&gt;0,OR(N21=""))," * No olvide digitar la variable Pueblos Originarios Mujeres. Digite Cero si no tiene.",IF(N21&gt;E21," * La variable Pueblos Originarios Mujeres no puede ser Mayor al Total Mujeres.",""))</f>
        <v/>
      </c>
      <c r="AL21" s="620" t="str">
        <f>IF(AND($D21&gt;0,OR(P21=""))," * No olvide digitar la variable Migrantes Hombres. Digite Cero si no tiene.",IF(P21&gt;$D21," * La variable Migrantes Hombres no puede ser Mayor al Total Hombres.",""))</f>
        <v/>
      </c>
      <c r="AM21" s="620" t="str">
        <f>IF(AND($E21&gt;0,OR(Q21=""))," * No olvide digitar la variable Migrantes Mujeres. Digite Cero si no tiene.",IF(Q21&gt;$E21," * La variable Migrantes Mujeres no puede ser Mayor al Total Mujeres.",""))</f>
        <v/>
      </c>
      <c r="AN21" s="470"/>
      <c r="AO21" s="470"/>
      <c r="AP21" s="470"/>
      <c r="AQ21" s="501">
        <f>IF(AND($D21&gt;0,OR(M21="")),1,IF(M21&gt;$D21,1,0))</f>
        <v>0</v>
      </c>
      <c r="AR21" s="501">
        <f>IF(AND($E21&gt;0,OR(N21="")),1,IF(N21&gt;$E21,1,0))</f>
        <v>0</v>
      </c>
      <c r="AS21" s="501">
        <f>IF(AND($D21&gt;0,OR(P21="")),1,IF(P21&gt;$D21,1,0))</f>
        <v>0</v>
      </c>
      <c r="AT21" s="501">
        <f>IF(AND($E21&gt;0,OR(Q21="")),1,IF(Q21&gt;$E21,1,0))</f>
        <v>0</v>
      </c>
    </row>
    <row r="22" spans="1:46" s="471" customFormat="1" ht="15" customHeight="1" x14ac:dyDescent="0.15">
      <c r="A22" s="2002"/>
      <c r="B22" s="923" t="s">
        <v>731</v>
      </c>
      <c r="C22" s="1369">
        <f t="shared" si="0"/>
        <v>0</v>
      </c>
      <c r="D22" s="1370">
        <f t="shared" si="9"/>
        <v>0</v>
      </c>
      <c r="E22" s="1371">
        <f t="shared" si="1"/>
        <v>0</v>
      </c>
      <c r="F22" s="1369">
        <f t="shared" ref="F22:K22" si="13">SUM(F20:F21)</f>
        <v>0</v>
      </c>
      <c r="G22" s="1370">
        <f>SUM(G20:G21)</f>
        <v>0</v>
      </c>
      <c r="H22" s="1371">
        <f>SUM(H20:H21)</f>
        <v>0</v>
      </c>
      <c r="I22" s="1369">
        <f t="shared" si="13"/>
        <v>0</v>
      </c>
      <c r="J22" s="1370">
        <f t="shared" si="13"/>
        <v>0</v>
      </c>
      <c r="K22" s="1421">
        <f t="shared" si="13"/>
        <v>0</v>
      </c>
      <c r="L22" s="1422">
        <f t="shared" ref="L22:Q22" si="14">SUM(L20:L21)</f>
        <v>0</v>
      </c>
      <c r="M22" s="1370">
        <f t="shared" si="14"/>
        <v>0</v>
      </c>
      <c r="N22" s="1371">
        <f t="shared" si="14"/>
        <v>0</v>
      </c>
      <c r="O22" s="1371">
        <f t="shared" si="14"/>
        <v>0</v>
      </c>
      <c r="P22" s="1370">
        <f t="shared" si="14"/>
        <v>0</v>
      </c>
      <c r="Q22" s="1423">
        <f t="shared" si="14"/>
        <v>0</v>
      </c>
      <c r="X22" s="470"/>
      <c r="Y22" s="470"/>
      <c r="Z22" s="470"/>
      <c r="AA22" s="470"/>
      <c r="AB22" s="470"/>
      <c r="AC22" s="470"/>
      <c r="AD22" s="470"/>
      <c r="AE22" s="470"/>
      <c r="AF22" s="470"/>
      <c r="AG22" s="470"/>
      <c r="AH22" s="470"/>
      <c r="AI22" s="470"/>
      <c r="AJ22" s="470"/>
      <c r="AK22" s="470"/>
      <c r="AL22" s="470"/>
    </row>
    <row r="23" spans="1:46" s="471" customFormat="1" ht="15" customHeight="1" x14ac:dyDescent="0.15">
      <c r="A23" s="2003"/>
      <c r="B23" s="1424" t="s">
        <v>734</v>
      </c>
      <c r="C23" s="1369">
        <f t="shared" si="0"/>
        <v>0</v>
      </c>
      <c r="D23" s="1370">
        <f>+G23+J23</f>
        <v>0</v>
      </c>
      <c r="E23" s="1371">
        <f t="shared" si="1"/>
        <v>0</v>
      </c>
      <c r="F23" s="1369">
        <f>SUM(G23:H23)</f>
        <v>0</v>
      </c>
      <c r="G23" s="1425"/>
      <c r="H23" s="1426"/>
      <c r="I23" s="1369">
        <f>SUM(J23:K23)</f>
        <v>0</v>
      </c>
      <c r="J23" s="1425"/>
      <c r="K23" s="1427"/>
      <c r="L23" s="1422">
        <f>SUM(M23:N23)</f>
        <v>0</v>
      </c>
      <c r="M23" s="1425"/>
      <c r="N23" s="1426"/>
      <c r="O23" s="1371">
        <f>SUM(P23:Q23)</f>
        <v>0</v>
      </c>
      <c r="P23" s="1425"/>
      <c r="Q23" s="1426"/>
      <c r="R23" s="471" t="str">
        <f t="shared" si="2"/>
        <v/>
      </c>
      <c r="X23" s="470"/>
      <c r="Y23" s="470"/>
      <c r="Z23" s="470"/>
      <c r="AA23" s="470"/>
      <c r="AB23" s="470"/>
      <c r="AC23" s="470"/>
      <c r="AD23" s="470"/>
      <c r="AE23" s="470"/>
      <c r="AF23" s="470"/>
      <c r="AG23" s="470"/>
      <c r="AH23" s="470"/>
      <c r="AI23" s="470"/>
      <c r="AJ23" s="620" t="str">
        <f t="shared" ref="AJ23:AJ25" si="15">IF(AND(D23&gt;0,OR(M23=""))," * No olvide digitar la variable Pueblos Originarios Hombres. Digite Cero si no tiene.",IF(M23&gt;D23," * La variable Pueblos Originarios Hombres no puede ser Mayor al Total Hombres.",""))</f>
        <v/>
      </c>
      <c r="AK23" s="620" t="str">
        <f t="shared" ref="AK23:AK25" si="16">IF(AND(E23&gt;0,OR(N23=""))," * No olvide digitar la variable Pueblos Originarios Mujeres. Digite Cero si no tiene.",IF(N23&gt;E23," * La variable Pueblos Originarios Mujeres no puede ser Mayor al Total Mujeres.",""))</f>
        <v/>
      </c>
      <c r="AL23" s="620" t="str">
        <f t="shared" ref="AL23:AL25" si="17">IF(AND($D23&gt;0,OR(P23=""))," * No olvide digitar la variable Migrantes Hombres. Digite Cero si no tiene.",IF(P23&gt;$D23," * La variable Migrantes Hombres no puede ser Mayor al Total Hombres.",""))</f>
        <v/>
      </c>
      <c r="AM23" s="1428" t="str">
        <f>IF(AND($E23&gt;0,OR(Q23=""))," * No olvide digitar la variable Migrantes Mujeres. Digite Cero si no tiene.",IF(Q23&gt;$E23," * La variable Migrantes Mujeres no puede ser Mayor al Total Mujeres.",""))</f>
        <v/>
      </c>
      <c r="AN23" s="470"/>
      <c r="AO23" s="470"/>
      <c r="AP23" s="470"/>
      <c r="AQ23" s="501">
        <f t="shared" ref="AQ23:AQ25" si="18">IF(AND($D23&gt;0,OR(M23="")),1,IF(M23&gt;$D23,1,0))</f>
        <v>0</v>
      </c>
      <c r="AR23" s="501">
        <f t="shared" ref="AR23:AR25" si="19">IF(AND($E23&gt;0,OR(N23="")),1,IF(N23&gt;$E23,1,0))</f>
        <v>0</v>
      </c>
      <c r="AS23" s="501">
        <f t="shared" ref="AS23:AS25" si="20">IF(AND($D23&gt;0,OR(P23="")),1,IF(P23&gt;$D23,1,0))</f>
        <v>0</v>
      </c>
      <c r="AT23" s="501">
        <f t="shared" ref="AT23:AT25" si="21">IF(AND($E23&gt;0,OR(Q23="")),1,IF(Q23&gt;$E23,1,0))</f>
        <v>0</v>
      </c>
    </row>
    <row r="24" spans="1:46" s="471" customFormat="1" ht="15" customHeight="1" x14ac:dyDescent="0.15">
      <c r="A24" s="2001" t="s">
        <v>233</v>
      </c>
      <c r="B24" s="1429" t="s">
        <v>735</v>
      </c>
      <c r="C24" s="1430">
        <f t="shared" si="0"/>
        <v>0</v>
      </c>
      <c r="D24" s="1380">
        <f t="shared" ref="D24:D39" si="22">+G24+J24</f>
        <v>0</v>
      </c>
      <c r="E24" s="1381">
        <f t="shared" si="1"/>
        <v>0</v>
      </c>
      <c r="F24" s="1430">
        <f>SUM(G24:H24)</f>
        <v>0</v>
      </c>
      <c r="G24" s="1408"/>
      <c r="H24" s="1409"/>
      <c r="I24" s="1430">
        <f>SUM(J24:K24)</f>
        <v>0</v>
      </c>
      <c r="J24" s="1408"/>
      <c r="K24" s="1410"/>
      <c r="L24" s="1431">
        <f>SUM(M24:N24)</f>
        <v>0</v>
      </c>
      <c r="M24" s="1408"/>
      <c r="N24" s="1409"/>
      <c r="O24" s="1432">
        <f>SUM(P24:Q24)</f>
        <v>0</v>
      </c>
      <c r="P24" s="1408"/>
      <c r="Q24" s="1409"/>
      <c r="R24" s="471" t="str">
        <f t="shared" si="2"/>
        <v/>
      </c>
      <c r="X24" s="470"/>
      <c r="Y24" s="470"/>
      <c r="Z24" s="470"/>
      <c r="AA24" s="470"/>
      <c r="AB24" s="470"/>
      <c r="AC24" s="470"/>
      <c r="AD24" s="470"/>
      <c r="AE24" s="470"/>
      <c r="AF24" s="470"/>
      <c r="AG24" s="470"/>
      <c r="AH24" s="470"/>
      <c r="AI24" s="470"/>
      <c r="AJ24" s="620" t="str">
        <f t="shared" si="15"/>
        <v/>
      </c>
      <c r="AK24" s="620" t="str">
        <f t="shared" si="16"/>
        <v/>
      </c>
      <c r="AL24" s="620" t="str">
        <f t="shared" si="17"/>
        <v/>
      </c>
      <c r="AM24" s="1428" t="str">
        <f>IF(AND($E24&gt;0,OR(Q24=""))," * No olvide digitar la variable Migrantes Mujeres. Digite Cero si no tiene.",IF(Q24&gt;$E24," * La variable Migrantes Mujeres no puede ser Mayor al Total Mujeres.",""))</f>
        <v/>
      </c>
      <c r="AN24" s="470"/>
      <c r="AO24" s="470"/>
      <c r="AP24" s="470"/>
      <c r="AQ24" s="501">
        <f t="shared" si="18"/>
        <v>0</v>
      </c>
      <c r="AR24" s="501">
        <f t="shared" si="19"/>
        <v>0</v>
      </c>
      <c r="AS24" s="501">
        <f t="shared" si="20"/>
        <v>0</v>
      </c>
      <c r="AT24" s="501">
        <f t="shared" si="21"/>
        <v>0</v>
      </c>
    </row>
    <row r="25" spans="1:46" s="471" customFormat="1" ht="15" customHeight="1" x14ac:dyDescent="0.15">
      <c r="A25" s="2002"/>
      <c r="B25" s="1386" t="s">
        <v>736</v>
      </c>
      <c r="C25" s="1433">
        <f t="shared" si="0"/>
        <v>0</v>
      </c>
      <c r="D25" s="1414">
        <f t="shared" si="22"/>
        <v>0</v>
      </c>
      <c r="E25" s="1415">
        <f t="shared" si="1"/>
        <v>0</v>
      </c>
      <c r="F25" s="1433">
        <f>SUM(G25:H25)</f>
        <v>0</v>
      </c>
      <c r="G25" s="1397"/>
      <c r="H25" s="1398"/>
      <c r="I25" s="1434">
        <f>SUM(J25:K25)</f>
        <v>0</v>
      </c>
      <c r="J25" s="1397"/>
      <c r="K25" s="1435"/>
      <c r="L25" s="1436">
        <f>SUM(M25:N25)</f>
        <v>0</v>
      </c>
      <c r="M25" s="1397"/>
      <c r="N25" s="1398"/>
      <c r="O25" s="1437">
        <f>SUM(P25:Q25)</f>
        <v>0</v>
      </c>
      <c r="P25" s="1397"/>
      <c r="Q25" s="1398"/>
      <c r="R25" s="471" t="str">
        <f t="shared" si="2"/>
        <v/>
      </c>
      <c r="X25" s="470"/>
      <c r="Y25" s="470"/>
      <c r="Z25" s="470"/>
      <c r="AA25" s="470"/>
      <c r="AB25" s="470"/>
      <c r="AC25" s="470"/>
      <c r="AD25" s="470"/>
      <c r="AE25" s="470"/>
      <c r="AF25" s="470"/>
      <c r="AG25" s="470"/>
      <c r="AH25" s="470"/>
      <c r="AI25" s="470"/>
      <c r="AJ25" s="620" t="str">
        <f t="shared" si="15"/>
        <v/>
      </c>
      <c r="AK25" s="620" t="str">
        <f t="shared" si="16"/>
        <v/>
      </c>
      <c r="AL25" s="620" t="str">
        <f t="shared" si="17"/>
        <v/>
      </c>
      <c r="AM25" s="1428" t="str">
        <f>IF(AND($E25&gt;0,OR(Q25=""))," * No olvide digitar la variable Migrantes Mujeres. Digite Cero si no tiene.",IF(Q25&gt;$E25," * La variable Migrantes Mujeres no puede ser Mayor al Total Mujeres.",""))</f>
        <v/>
      </c>
      <c r="AN25" s="470"/>
      <c r="AO25" s="470"/>
      <c r="AP25" s="470"/>
      <c r="AQ25" s="501">
        <f t="shared" si="18"/>
        <v>0</v>
      </c>
      <c r="AR25" s="501">
        <f t="shared" si="19"/>
        <v>0</v>
      </c>
      <c r="AS25" s="501">
        <f t="shared" si="20"/>
        <v>0</v>
      </c>
      <c r="AT25" s="501">
        <f t="shared" si="21"/>
        <v>0</v>
      </c>
    </row>
    <row r="26" spans="1:46" s="471" customFormat="1" ht="15" customHeight="1" x14ac:dyDescent="0.15">
      <c r="A26" s="2002"/>
      <c r="B26" s="1438" t="s">
        <v>731</v>
      </c>
      <c r="C26" s="988">
        <f t="shared" si="0"/>
        <v>0</v>
      </c>
      <c r="D26" s="1370">
        <f t="shared" si="22"/>
        <v>0</v>
      </c>
      <c r="E26" s="1371">
        <f t="shared" si="1"/>
        <v>0</v>
      </c>
      <c r="F26" s="1369">
        <f t="shared" ref="F26:Q26" si="23">SUM(F24:F25)</f>
        <v>0</v>
      </c>
      <c r="G26" s="1370">
        <f>SUM(G24:G25)</f>
        <v>0</v>
      </c>
      <c r="H26" s="1371">
        <f>SUM(H24:H25)</f>
        <v>0</v>
      </c>
      <c r="I26" s="1369">
        <f>SUM(I24:I25)</f>
        <v>0</v>
      </c>
      <c r="J26" s="1370">
        <f t="shared" si="23"/>
        <v>0</v>
      </c>
      <c r="K26" s="1421">
        <f t="shared" si="23"/>
        <v>0</v>
      </c>
      <c r="L26" s="1422">
        <f>SUM(L24:L25)</f>
        <v>0</v>
      </c>
      <c r="M26" s="1370">
        <f t="shared" si="23"/>
        <v>0</v>
      </c>
      <c r="N26" s="1371">
        <f t="shared" si="23"/>
        <v>0</v>
      </c>
      <c r="O26" s="1371">
        <f>SUM(O24:O25)</f>
        <v>0</v>
      </c>
      <c r="P26" s="1370">
        <f t="shared" si="23"/>
        <v>0</v>
      </c>
      <c r="Q26" s="1423">
        <f t="shared" si="23"/>
        <v>0</v>
      </c>
      <c r="X26" s="470"/>
      <c r="Y26" s="470"/>
      <c r="Z26" s="470"/>
      <c r="AA26" s="470"/>
      <c r="AB26" s="470"/>
      <c r="AC26" s="470"/>
      <c r="AD26" s="470"/>
      <c r="AE26" s="470"/>
      <c r="AF26" s="470"/>
      <c r="AG26" s="470"/>
      <c r="AH26" s="470"/>
      <c r="AI26" s="470"/>
      <c r="AJ26" s="470"/>
      <c r="AK26" s="470"/>
      <c r="AL26" s="470"/>
    </row>
    <row r="27" spans="1:46" s="471" customFormat="1" ht="15" customHeight="1" x14ac:dyDescent="0.15">
      <c r="A27" s="2002"/>
      <c r="B27" s="1378" t="s">
        <v>737</v>
      </c>
      <c r="C27" s="1430">
        <f t="shared" si="0"/>
        <v>0</v>
      </c>
      <c r="D27" s="1380">
        <f t="shared" si="22"/>
        <v>0</v>
      </c>
      <c r="E27" s="1381">
        <f t="shared" si="1"/>
        <v>0</v>
      </c>
      <c r="F27" s="1430">
        <f>SUM(G27:H27)</f>
        <v>0</v>
      </c>
      <c r="G27" s="1408"/>
      <c r="H27" s="1409"/>
      <c r="I27" s="1430">
        <f>SUM(J27:K27)</f>
        <v>0</v>
      </c>
      <c r="J27" s="1408"/>
      <c r="K27" s="1439"/>
      <c r="L27" s="1431">
        <f>SUM(M27:N27)</f>
        <v>0</v>
      </c>
      <c r="M27" s="1408"/>
      <c r="N27" s="1409"/>
      <c r="O27" s="1432">
        <f>SUM(P27:Q27)</f>
        <v>0</v>
      </c>
      <c r="P27" s="1408"/>
      <c r="Q27" s="1409"/>
      <c r="R27" s="471" t="str">
        <f t="shared" si="2"/>
        <v/>
      </c>
      <c r="X27" s="470"/>
      <c r="Y27" s="470"/>
      <c r="Z27" s="470"/>
      <c r="AA27" s="470"/>
      <c r="AB27" s="470"/>
      <c r="AC27" s="470"/>
      <c r="AD27" s="470"/>
      <c r="AE27" s="470"/>
      <c r="AF27" s="470"/>
      <c r="AG27" s="470"/>
      <c r="AH27" s="470"/>
      <c r="AI27" s="470"/>
      <c r="AJ27" s="620" t="str">
        <f t="shared" ref="AJ27:AJ28" si="24">IF(AND(D27&gt;0,OR(M27=""))," * No olvide digitar la variable Pueblos Originarios Hombres. Digite Cero si no tiene.",IF(M27&gt;D27," * La variable Pueblos Originarios Hombres no puede ser Mayor al Total Hombres.",""))</f>
        <v/>
      </c>
      <c r="AK27" s="620" t="str">
        <f t="shared" ref="AK27:AK28" si="25">IF(AND(E27&gt;0,OR(N27=""))," * No olvide digitar la variable Pueblos Originarios Mujeres. Digite Cero si no tiene.",IF(N27&gt;E27," * La variable Pueblos Originarios Mujeres no puede ser Mayor al Total Mujeres.",""))</f>
        <v/>
      </c>
      <c r="AL27" s="620" t="str">
        <f t="shared" ref="AL27:AL28" si="26">IF(AND($D27&gt;0,OR(P27=""))," * No olvide digitar la variable Migrantes Hombres. Digite Cero si no tiene.",IF(P27&gt;$D27," * La variable Migrantes Hombres no puede ser Mayor al Total Hombres.",""))</f>
        <v/>
      </c>
      <c r="AM27" s="1428" t="str">
        <f>IF(AND($E27&gt;0,OR(Q27=""))," * No olvide digitar la variable Migrantes Mujeres. Digite Cero si no tiene.",IF(Q27&gt;$E27," * La variable Migrantes Mujeres no puede ser Mayor al Total Mujeres.",""))</f>
        <v/>
      </c>
      <c r="AN27" s="470"/>
      <c r="AO27" s="470"/>
      <c r="AP27" s="470"/>
      <c r="AQ27" s="501">
        <f t="shared" ref="AQ27:AQ28" si="27">IF(AND($D27&gt;0,OR(M27="")),1,IF(M27&gt;$D27,1,0))</f>
        <v>0</v>
      </c>
      <c r="AR27" s="501">
        <f t="shared" ref="AR27:AR28" si="28">IF(AND($E27&gt;0,OR(N27="")),1,IF(N27&gt;$E27,1,0))</f>
        <v>0</v>
      </c>
      <c r="AS27" s="501">
        <f t="shared" ref="AS27:AS28" si="29">IF(AND($D27&gt;0,OR(P27="")),1,IF(P27&gt;$D27,1,0))</f>
        <v>0</v>
      </c>
      <c r="AT27" s="501">
        <f t="shared" ref="AT27:AT28" si="30">IF(AND($E27&gt;0,OR(Q27="")),1,IF(Q27&gt;$E27,1,0))</f>
        <v>0</v>
      </c>
    </row>
    <row r="28" spans="1:46" s="471" customFormat="1" ht="15" customHeight="1" x14ac:dyDescent="0.15">
      <c r="A28" s="2002"/>
      <c r="B28" s="1440" t="s">
        <v>908</v>
      </c>
      <c r="C28" s="1433">
        <f t="shared" si="0"/>
        <v>0</v>
      </c>
      <c r="D28" s="1414">
        <f t="shared" si="22"/>
        <v>0</v>
      </c>
      <c r="E28" s="1415">
        <f t="shared" si="1"/>
        <v>0</v>
      </c>
      <c r="F28" s="1433">
        <f>SUM(G28:H28)</f>
        <v>0</v>
      </c>
      <c r="G28" s="1416"/>
      <c r="H28" s="1417"/>
      <c r="I28" s="1433">
        <f>SUM(J28:K28)</f>
        <v>0</v>
      </c>
      <c r="J28" s="1416"/>
      <c r="K28" s="1435"/>
      <c r="L28" s="1441">
        <f>SUM(M28:N28)</f>
        <v>0</v>
      </c>
      <c r="M28" s="1416"/>
      <c r="N28" s="1417"/>
      <c r="O28" s="1442">
        <f>SUM(P28:Q28)</f>
        <v>0</v>
      </c>
      <c r="P28" s="1416"/>
      <c r="Q28" s="1417"/>
      <c r="R28" s="471" t="str">
        <f t="shared" si="2"/>
        <v/>
      </c>
      <c r="X28" s="470"/>
      <c r="Y28" s="470"/>
      <c r="Z28" s="470"/>
      <c r="AA28" s="470"/>
      <c r="AB28" s="470"/>
      <c r="AC28" s="470"/>
      <c r="AD28" s="470"/>
      <c r="AE28" s="470"/>
      <c r="AF28" s="470"/>
      <c r="AG28" s="470"/>
      <c r="AH28" s="470"/>
      <c r="AI28" s="470"/>
      <c r="AJ28" s="620" t="str">
        <f t="shared" si="24"/>
        <v/>
      </c>
      <c r="AK28" s="620" t="str">
        <f t="shared" si="25"/>
        <v/>
      </c>
      <c r="AL28" s="620" t="str">
        <f t="shared" si="26"/>
        <v/>
      </c>
      <c r="AM28" s="1428" t="str">
        <f>IF(AND($E28&gt;0,OR(Q28=""))," * No olvide digitar la variable Migrantes Mujeres. Digite Cero si no tiene.",IF(Q28&gt;$E28," * La variable Migrantes Mujeres no puede ser Mayor al Total Mujeres.",""))</f>
        <v/>
      </c>
      <c r="AN28" s="470"/>
      <c r="AO28" s="470"/>
      <c r="AP28" s="470"/>
      <c r="AQ28" s="501">
        <f t="shared" si="27"/>
        <v>0</v>
      </c>
      <c r="AR28" s="501">
        <f t="shared" si="28"/>
        <v>0</v>
      </c>
      <c r="AS28" s="501">
        <f t="shared" si="29"/>
        <v>0</v>
      </c>
      <c r="AT28" s="501">
        <f t="shared" si="30"/>
        <v>0</v>
      </c>
    </row>
    <row r="29" spans="1:46" s="471" customFormat="1" ht="15" customHeight="1" x14ac:dyDescent="0.15">
      <c r="A29" s="2002"/>
      <c r="B29" s="1443" t="s">
        <v>731</v>
      </c>
      <c r="C29" s="1369">
        <f t="shared" si="0"/>
        <v>0</v>
      </c>
      <c r="D29" s="1370">
        <f t="shared" si="22"/>
        <v>0</v>
      </c>
      <c r="E29" s="1371">
        <f t="shared" si="1"/>
        <v>0</v>
      </c>
      <c r="F29" s="1369">
        <f t="shared" ref="F29:Q29" si="31">SUM(F27:F28)</f>
        <v>0</v>
      </c>
      <c r="G29" s="1370">
        <f>SUM(G27:G28)</f>
        <v>0</v>
      </c>
      <c r="H29" s="1371">
        <f t="shared" si="31"/>
        <v>0</v>
      </c>
      <c r="I29" s="1369">
        <f>SUM(I27:I28)</f>
        <v>0</v>
      </c>
      <c r="J29" s="1370">
        <f t="shared" si="31"/>
        <v>0</v>
      </c>
      <c r="K29" s="1421">
        <f t="shared" si="31"/>
        <v>0</v>
      </c>
      <c r="L29" s="1422">
        <f t="shared" si="31"/>
        <v>0</v>
      </c>
      <c r="M29" s="1370">
        <f t="shared" si="31"/>
        <v>0</v>
      </c>
      <c r="N29" s="1371">
        <f t="shared" si="31"/>
        <v>0</v>
      </c>
      <c r="O29" s="1371">
        <f>SUM(O27:O28)</f>
        <v>0</v>
      </c>
      <c r="P29" s="1370">
        <f t="shared" si="31"/>
        <v>0</v>
      </c>
      <c r="Q29" s="1423">
        <f t="shared" si="31"/>
        <v>0</v>
      </c>
      <c r="X29" s="470"/>
      <c r="Y29" s="470"/>
      <c r="Z29" s="470"/>
      <c r="AA29" s="470"/>
      <c r="AB29" s="470"/>
      <c r="AC29" s="470"/>
      <c r="AD29" s="470"/>
      <c r="AE29" s="470"/>
      <c r="AF29" s="470"/>
      <c r="AG29" s="470"/>
      <c r="AH29" s="470"/>
      <c r="AI29" s="470"/>
      <c r="AJ29" s="470"/>
      <c r="AK29" s="470"/>
      <c r="AL29" s="470"/>
    </row>
    <row r="30" spans="1:46" s="471" customFormat="1" ht="15" customHeight="1" x14ac:dyDescent="0.15">
      <c r="A30" s="2003"/>
      <c r="B30" s="1444" t="s">
        <v>738</v>
      </c>
      <c r="C30" s="1445">
        <f t="shared" si="0"/>
        <v>0</v>
      </c>
      <c r="D30" s="1402">
        <f t="shared" si="22"/>
        <v>0</v>
      </c>
      <c r="E30" s="1403">
        <f>+H30+K30</f>
        <v>0</v>
      </c>
      <c r="F30" s="1445">
        <f>SUM(G30:H30)</f>
        <v>0</v>
      </c>
      <c r="G30" s="1389"/>
      <c r="H30" s="1390"/>
      <c r="I30" s="1445">
        <f>SUM(J30:K30)</f>
        <v>0</v>
      </c>
      <c r="J30" s="1425"/>
      <c r="K30" s="1427"/>
      <c r="L30" s="1446">
        <f>SUM(M30:N30)</f>
        <v>0</v>
      </c>
      <c r="M30" s="1425"/>
      <c r="N30" s="1426"/>
      <c r="O30" s="1447">
        <f>SUM(P30:Q30)</f>
        <v>0</v>
      </c>
      <c r="P30" s="1425"/>
      <c r="Q30" s="1426"/>
      <c r="R30" s="471" t="str">
        <f t="shared" si="2"/>
        <v/>
      </c>
      <c r="X30" s="470"/>
      <c r="Y30" s="470"/>
      <c r="Z30" s="470"/>
      <c r="AA30" s="470"/>
      <c r="AB30" s="470"/>
      <c r="AC30" s="470"/>
      <c r="AD30" s="470"/>
      <c r="AE30" s="470"/>
      <c r="AF30" s="470"/>
      <c r="AG30" s="470"/>
      <c r="AH30" s="470"/>
      <c r="AI30" s="470"/>
      <c r="AJ30" s="620" t="str">
        <f t="shared" ref="AJ30:AJ33" si="32">IF(AND(D30&gt;0,OR(M30=""))," * No olvide digitar la variable Pueblos Originarios Hombres. Digite Cero si no tiene.",IF(M30&gt;D30," * La variable Pueblos Originarios Hombres no puede ser Mayor al Total Hombres.",""))</f>
        <v/>
      </c>
      <c r="AK30" s="620" t="str">
        <f t="shared" ref="AK30:AK33" si="33">IF(AND(E30&gt;0,OR(N30=""))," * No olvide digitar la variable Pueblos Originarios Mujeres. Digite Cero si no tiene.",IF(N30&gt;E30," * La variable Pueblos Originarios Mujeres no puede ser Mayor al Total Mujeres.",""))</f>
        <v/>
      </c>
      <c r="AL30" s="620" t="str">
        <f t="shared" ref="AL30:AL33" si="34">IF(AND($D30&gt;0,OR(P30=""))," * No olvide digitar la variable Migrantes Hombres. Digite Cero si no tiene.",IF(P30&gt;$D30," * La variable Migrantes Hombres no puede ser Mayor al Total Hombres.",""))</f>
        <v/>
      </c>
      <c r="AM30" s="1428" t="str">
        <f>IF(AND($E30&gt;0,OR(Q30=""))," * No olvide digitar la variable Migrantes Mujeres. Digite Cero si no tiene.",IF(Q30&gt;$E30," * La variable Migrantes Mujeres no puede ser Mayor al Total Mujeres.",""))</f>
        <v/>
      </c>
      <c r="AN30" s="470"/>
      <c r="AO30" s="470"/>
      <c r="AP30" s="470"/>
      <c r="AQ30" s="501">
        <f t="shared" ref="AQ30:AQ33" si="35">IF(AND($D30&gt;0,OR(M30="")),1,IF(M30&gt;$D30,1,0))</f>
        <v>0</v>
      </c>
      <c r="AR30" s="501">
        <f t="shared" ref="AR30:AR33" si="36">IF(AND($E30&gt;0,OR(N30="")),1,IF(N30&gt;$E30,1,0))</f>
        <v>0</v>
      </c>
      <c r="AS30" s="501">
        <f t="shared" ref="AS30:AS33" si="37">IF(AND($D30&gt;0,OR(P30="")),1,IF(P30&gt;$D30,1,0))</f>
        <v>0</v>
      </c>
      <c r="AT30" s="501">
        <f t="shared" ref="AT30:AT33" si="38">IF(AND($E30&gt;0,OR(Q30="")),1,IF(Q30&gt;$E30,1,0))</f>
        <v>0</v>
      </c>
    </row>
    <row r="31" spans="1:46" s="471" customFormat="1" ht="15" customHeight="1" x14ac:dyDescent="0.15">
      <c r="A31" s="2001" t="s">
        <v>739</v>
      </c>
      <c r="B31" s="850" t="s">
        <v>740</v>
      </c>
      <c r="C31" s="1430">
        <f t="shared" si="0"/>
        <v>0</v>
      </c>
      <c r="D31" s="1380">
        <f t="shared" si="22"/>
        <v>0</v>
      </c>
      <c r="E31" s="1381">
        <f t="shared" si="1"/>
        <v>0</v>
      </c>
      <c r="F31" s="1430">
        <f>SUM(G31:H31)</f>
        <v>0</v>
      </c>
      <c r="G31" s="1382"/>
      <c r="H31" s="1383"/>
      <c r="I31" s="1448">
        <f>SUM(J31:K31)</f>
        <v>0</v>
      </c>
      <c r="J31" s="1382"/>
      <c r="K31" s="1439"/>
      <c r="L31" s="1449">
        <f>SUM(M31:N31)</f>
        <v>0</v>
      </c>
      <c r="M31" s="1382"/>
      <c r="N31" s="1383"/>
      <c r="O31" s="1450">
        <f>SUM(P31:Q31)</f>
        <v>0</v>
      </c>
      <c r="P31" s="1382"/>
      <c r="Q31" s="1383"/>
      <c r="R31" s="471" t="str">
        <f t="shared" si="2"/>
        <v/>
      </c>
      <c r="X31" s="470"/>
      <c r="Y31" s="470"/>
      <c r="Z31" s="470"/>
      <c r="AA31" s="470"/>
      <c r="AB31" s="470"/>
      <c r="AC31" s="470"/>
      <c r="AD31" s="470"/>
      <c r="AE31" s="470"/>
      <c r="AF31" s="470"/>
      <c r="AG31" s="470"/>
      <c r="AH31" s="470"/>
      <c r="AI31" s="470"/>
      <c r="AJ31" s="620" t="str">
        <f t="shared" si="32"/>
        <v/>
      </c>
      <c r="AK31" s="620" t="str">
        <f t="shared" si="33"/>
        <v/>
      </c>
      <c r="AL31" s="620" t="str">
        <f t="shared" si="34"/>
        <v/>
      </c>
      <c r="AM31" s="1428" t="str">
        <f>IF(AND($E31&gt;0,OR(Q31=""))," * No olvide digitar la variable Migrantes Mujeres. Digite Cero si no tiene.",IF(Q31&gt;$E31," * La variable Migrantes Mujeres no puede ser Mayor al Total Mujeres.",""))</f>
        <v/>
      </c>
      <c r="AN31" s="470"/>
      <c r="AO31" s="470"/>
      <c r="AP31" s="470"/>
      <c r="AQ31" s="501">
        <f t="shared" si="35"/>
        <v>0</v>
      </c>
      <c r="AR31" s="501">
        <f t="shared" si="36"/>
        <v>0</v>
      </c>
      <c r="AS31" s="501">
        <f t="shared" si="37"/>
        <v>0</v>
      </c>
      <c r="AT31" s="501">
        <f t="shared" si="38"/>
        <v>0</v>
      </c>
    </row>
    <row r="32" spans="1:46" s="471" customFormat="1" ht="15" customHeight="1" x14ac:dyDescent="0.15">
      <c r="A32" s="2002"/>
      <c r="B32" s="1451" t="s">
        <v>741</v>
      </c>
      <c r="C32" s="1452">
        <f t="shared" si="0"/>
        <v>0</v>
      </c>
      <c r="D32" s="1388">
        <f t="shared" si="22"/>
        <v>0</v>
      </c>
      <c r="E32" s="1381">
        <f t="shared" si="1"/>
        <v>0</v>
      </c>
      <c r="F32" s="1452">
        <f>SUM(G32:H32)</f>
        <v>0</v>
      </c>
      <c r="G32" s="1389"/>
      <c r="H32" s="1390"/>
      <c r="I32" s="1452">
        <f>SUM(J32:K32)</f>
        <v>0</v>
      </c>
      <c r="J32" s="1389"/>
      <c r="K32" s="1453"/>
      <c r="L32" s="1454">
        <f>SUM(M32:N32)</f>
        <v>0</v>
      </c>
      <c r="M32" s="1389"/>
      <c r="N32" s="1390"/>
      <c r="O32" s="1455">
        <f>SUM(P32:Q32)</f>
        <v>0</v>
      </c>
      <c r="P32" s="1389"/>
      <c r="Q32" s="1390"/>
      <c r="R32" s="471" t="str">
        <f t="shared" si="2"/>
        <v/>
      </c>
      <c r="X32" s="470"/>
      <c r="Y32" s="470"/>
      <c r="Z32" s="470"/>
      <c r="AA32" s="470"/>
      <c r="AB32" s="470"/>
      <c r="AC32" s="470"/>
      <c r="AD32" s="470"/>
      <c r="AE32" s="470"/>
      <c r="AF32" s="470"/>
      <c r="AG32" s="470"/>
      <c r="AH32" s="470"/>
      <c r="AI32" s="470"/>
      <c r="AJ32" s="620" t="str">
        <f t="shared" si="32"/>
        <v/>
      </c>
      <c r="AK32" s="620" t="str">
        <f t="shared" si="33"/>
        <v/>
      </c>
      <c r="AL32" s="620" t="str">
        <f t="shared" si="34"/>
        <v/>
      </c>
      <c r="AM32" s="1428" t="str">
        <f>IF(AND($E32&gt;0,OR(Q32=""))," * No olvide digitar la variable Migrantes Mujeres. Digite Cero si no tiene.",IF(Q32&gt;$E32," * La variable Migrantes Mujeres no puede ser Mayor al Total Mujeres.",""))</f>
        <v/>
      </c>
      <c r="AN32" s="470"/>
      <c r="AO32" s="470"/>
      <c r="AP32" s="470"/>
      <c r="AQ32" s="501">
        <f t="shared" si="35"/>
        <v>0</v>
      </c>
      <c r="AR32" s="501">
        <f t="shared" si="36"/>
        <v>0</v>
      </c>
      <c r="AS32" s="501">
        <f t="shared" si="37"/>
        <v>0</v>
      </c>
      <c r="AT32" s="501">
        <f t="shared" si="38"/>
        <v>0</v>
      </c>
    </row>
    <row r="33" spans="1:46" s="471" customFormat="1" ht="15" customHeight="1" x14ac:dyDescent="0.15">
      <c r="A33" s="2002"/>
      <c r="B33" s="1424" t="s">
        <v>742</v>
      </c>
      <c r="C33" s="1433">
        <f t="shared" si="0"/>
        <v>0</v>
      </c>
      <c r="D33" s="1414">
        <f t="shared" si="22"/>
        <v>0</v>
      </c>
      <c r="E33" s="1415">
        <f t="shared" si="1"/>
        <v>0</v>
      </c>
      <c r="F33" s="1433">
        <f>SUM(G33:H33)</f>
        <v>0</v>
      </c>
      <c r="G33" s="1397"/>
      <c r="H33" s="1398"/>
      <c r="I33" s="1434">
        <f>SUM(J33:K33)</f>
        <v>0</v>
      </c>
      <c r="J33" s="1397"/>
      <c r="K33" s="1435"/>
      <c r="L33" s="1436">
        <f>SUM(M33:N33)</f>
        <v>0</v>
      </c>
      <c r="M33" s="1397"/>
      <c r="N33" s="1398"/>
      <c r="O33" s="1437">
        <f>SUM(P33:Q33)</f>
        <v>0</v>
      </c>
      <c r="P33" s="1397"/>
      <c r="Q33" s="1398"/>
      <c r="R33" s="471" t="str">
        <f t="shared" si="2"/>
        <v/>
      </c>
      <c r="X33" s="470"/>
      <c r="Y33" s="470"/>
      <c r="Z33" s="470"/>
      <c r="AA33" s="470"/>
      <c r="AB33" s="470"/>
      <c r="AC33" s="470"/>
      <c r="AD33" s="470"/>
      <c r="AE33" s="470"/>
      <c r="AF33" s="470"/>
      <c r="AG33" s="470"/>
      <c r="AH33" s="470"/>
      <c r="AI33" s="470"/>
      <c r="AJ33" s="620" t="str">
        <f t="shared" si="32"/>
        <v/>
      </c>
      <c r="AK33" s="620" t="str">
        <f t="shared" si="33"/>
        <v/>
      </c>
      <c r="AL33" s="620" t="str">
        <f t="shared" si="34"/>
        <v/>
      </c>
      <c r="AM33" s="1428" t="str">
        <f>IF(AND($E33&gt;0,OR(Q33=""))," * No olvide digitar la variable Migrantes Mujeres. Digite Cero si no tiene.",IF(Q33&gt;$E33," * La variable Migrantes Mujeres no puede ser Mayor al Total Mujeres.",""))</f>
        <v/>
      </c>
      <c r="AN33" s="470"/>
      <c r="AO33" s="470"/>
      <c r="AP33" s="470"/>
      <c r="AQ33" s="501">
        <f t="shared" si="35"/>
        <v>0</v>
      </c>
      <c r="AR33" s="501">
        <f t="shared" si="36"/>
        <v>0</v>
      </c>
      <c r="AS33" s="501">
        <f t="shared" si="37"/>
        <v>0</v>
      </c>
      <c r="AT33" s="501">
        <f t="shared" si="38"/>
        <v>0</v>
      </c>
    </row>
    <row r="34" spans="1:46" s="471" customFormat="1" ht="15" customHeight="1" x14ac:dyDescent="0.15">
      <c r="A34" s="2003"/>
      <c r="B34" s="841" t="s">
        <v>49</v>
      </c>
      <c r="C34" s="1369">
        <f t="shared" si="0"/>
        <v>0</v>
      </c>
      <c r="D34" s="1370">
        <f t="shared" si="22"/>
        <v>0</v>
      </c>
      <c r="E34" s="1371">
        <f t="shared" si="1"/>
        <v>0</v>
      </c>
      <c r="F34" s="1369">
        <f>SUM(F31:F33)</f>
        <v>0</v>
      </c>
      <c r="G34" s="1370">
        <f>SUM(G31:G33)</f>
        <v>0</v>
      </c>
      <c r="H34" s="1371">
        <f t="shared" ref="H34:Q34" si="39">SUM(H31:H33)</f>
        <v>0</v>
      </c>
      <c r="I34" s="1369">
        <f>SUM(I31:I33)</f>
        <v>0</v>
      </c>
      <c r="J34" s="1370">
        <f t="shared" si="39"/>
        <v>0</v>
      </c>
      <c r="K34" s="1456">
        <f t="shared" si="39"/>
        <v>0</v>
      </c>
      <c r="L34" s="1422">
        <f>SUM(L31:L33)</f>
        <v>0</v>
      </c>
      <c r="M34" s="1370">
        <f t="shared" si="39"/>
        <v>0</v>
      </c>
      <c r="N34" s="1371">
        <f t="shared" si="39"/>
        <v>0</v>
      </c>
      <c r="O34" s="1371">
        <f>SUM(O31:O33)</f>
        <v>0</v>
      </c>
      <c r="P34" s="1370">
        <f t="shared" si="39"/>
        <v>0</v>
      </c>
      <c r="Q34" s="1423">
        <f t="shared" si="39"/>
        <v>0</v>
      </c>
      <c r="X34" s="470"/>
      <c r="Y34" s="470"/>
      <c r="Z34" s="470"/>
      <c r="AA34" s="470"/>
      <c r="AB34" s="470"/>
      <c r="AC34" s="470"/>
      <c r="AD34" s="470"/>
      <c r="AE34" s="470"/>
      <c r="AF34" s="470"/>
      <c r="AG34" s="470"/>
      <c r="AH34" s="470"/>
      <c r="AI34" s="470"/>
      <c r="AJ34" s="470"/>
      <c r="AK34" s="470"/>
      <c r="AL34" s="470"/>
    </row>
    <row r="35" spans="1:46" s="471" customFormat="1" ht="15" customHeight="1" x14ac:dyDescent="0.15">
      <c r="A35" s="2002" t="s">
        <v>902</v>
      </c>
      <c r="B35" s="1457" t="s">
        <v>743</v>
      </c>
      <c r="C35" s="1430">
        <f t="shared" si="0"/>
        <v>0</v>
      </c>
      <c r="D35" s="1380">
        <f>+G35+J35</f>
        <v>0</v>
      </c>
      <c r="E35" s="1381">
        <f>+H35+K35</f>
        <v>0</v>
      </c>
      <c r="F35" s="1430">
        <f t="shared" ref="F35:F40" si="40">SUM(G35:H35)</f>
        <v>0</v>
      </c>
      <c r="G35" s="1389"/>
      <c r="H35" s="1390"/>
      <c r="I35" s="1448">
        <f t="shared" ref="I35:I40" si="41">SUM(J35:K35)</f>
        <v>0</v>
      </c>
      <c r="J35" s="1389"/>
      <c r="K35" s="1458"/>
      <c r="L35" s="1449">
        <f t="shared" ref="L35:L40" si="42">SUM(M35:N35)</f>
        <v>0</v>
      </c>
      <c r="M35" s="1389"/>
      <c r="N35" s="1383"/>
      <c r="O35" s="1450">
        <f t="shared" ref="O35:O40" si="43">SUM(P35:Q35)</f>
        <v>0</v>
      </c>
      <c r="P35" s="1389"/>
      <c r="Q35" s="1390"/>
      <c r="R35" s="471" t="str">
        <f t="shared" si="2"/>
        <v/>
      </c>
      <c r="X35" s="470"/>
      <c r="Y35" s="470"/>
      <c r="Z35" s="470"/>
      <c r="AA35" s="470"/>
      <c r="AB35" s="470"/>
      <c r="AC35" s="470"/>
      <c r="AD35" s="470"/>
      <c r="AE35" s="470"/>
      <c r="AF35" s="470"/>
      <c r="AG35" s="470"/>
      <c r="AH35" s="470"/>
      <c r="AI35" s="470"/>
      <c r="AJ35" s="620" t="str">
        <f t="shared" ref="AJ35:AJ40" si="44">IF(AND(D35&gt;0,OR(M35=""))," * No olvide digitar la variable Pueblos Originarios Hombres. Digite Cero si no tiene.",IF(M35&gt;D35," * La variable Pueblos Originarios Hombres no puede ser Mayor al Total Hombres.",""))</f>
        <v/>
      </c>
      <c r="AK35" s="620" t="str">
        <f t="shared" ref="AK35:AK40" si="45">IF(AND(E35&gt;0,OR(N35=""))," * No olvide digitar la variable Pueblos Originarios Mujeres. Digite Cero si no tiene.",IF(N35&gt;E35," * La variable Pueblos Originarios Mujeres no puede ser Mayor al Total Mujeres.",""))</f>
        <v/>
      </c>
      <c r="AL35" s="620" t="str">
        <f t="shared" ref="AL35:AL40" si="46">IF(AND($D35&gt;0,OR(P35=""))," * No olvide digitar la variable Migrantes Hombres. Digite Cero si no tiene.",IF(P35&gt;$D35," * La variable Migrantes Hombres no puede ser Mayor al Total Hombres.",""))</f>
        <v/>
      </c>
      <c r="AM35" s="1428" t="str">
        <f t="shared" ref="AM35:AM40" si="47">IF(AND($E35&gt;0,OR(Q35=""))," * No olvide digitar la variable Migrantes Mujeres. Digite Cero si no tiene.",IF(Q35&gt;$E35," * La variable Migrantes Mujeres no puede ser Mayor al Total Mujeres.",""))</f>
        <v/>
      </c>
      <c r="AN35" s="470"/>
      <c r="AO35" s="470"/>
      <c r="AP35" s="470"/>
      <c r="AQ35" s="501">
        <f t="shared" ref="AQ35:AQ40" si="48">IF(AND($D35&gt;0,OR(M35="")),1,IF(M35&gt;$D35,1,0))</f>
        <v>0</v>
      </c>
      <c r="AR35" s="501">
        <f t="shared" ref="AR35:AR40" si="49">IF(AND($E35&gt;0,OR(N35="")),1,IF(N35&gt;$E35,1,0))</f>
        <v>0</v>
      </c>
      <c r="AS35" s="501">
        <f t="shared" ref="AS35:AS40" si="50">IF(AND($D35&gt;0,OR(P35="")),1,IF(P35&gt;$D35,1,0))</f>
        <v>0</v>
      </c>
      <c r="AT35" s="501">
        <f t="shared" ref="AT35:AT40" si="51">IF(AND($E35&gt;0,OR(Q35="")),1,IF(Q35&gt;$E35,1,0))</f>
        <v>0</v>
      </c>
    </row>
    <row r="36" spans="1:46" s="471" customFormat="1" ht="15" customHeight="1" x14ac:dyDescent="0.15">
      <c r="A36" s="2002"/>
      <c r="B36" s="817" t="s">
        <v>236</v>
      </c>
      <c r="C36" s="1452">
        <f t="shared" si="0"/>
        <v>0</v>
      </c>
      <c r="D36" s="1388">
        <f t="shared" si="22"/>
        <v>0</v>
      </c>
      <c r="E36" s="1381">
        <f t="shared" si="1"/>
        <v>0</v>
      </c>
      <c r="F36" s="1452">
        <f t="shared" si="40"/>
        <v>0</v>
      </c>
      <c r="G36" s="1389"/>
      <c r="H36" s="1390"/>
      <c r="I36" s="1452">
        <f t="shared" si="41"/>
        <v>0</v>
      </c>
      <c r="J36" s="1389"/>
      <c r="K36" s="1458"/>
      <c r="L36" s="1454">
        <f t="shared" si="42"/>
        <v>0</v>
      </c>
      <c r="M36" s="1389"/>
      <c r="N36" s="1390"/>
      <c r="O36" s="1455">
        <f t="shared" si="43"/>
        <v>0</v>
      </c>
      <c r="P36" s="1389"/>
      <c r="Q36" s="1390"/>
      <c r="R36" s="471" t="str">
        <f t="shared" si="2"/>
        <v/>
      </c>
      <c r="X36" s="470"/>
      <c r="Y36" s="470"/>
      <c r="Z36" s="470"/>
      <c r="AA36" s="470"/>
      <c r="AB36" s="470"/>
      <c r="AC36" s="470"/>
      <c r="AD36" s="470"/>
      <c r="AE36" s="470"/>
      <c r="AF36" s="470"/>
      <c r="AG36" s="470"/>
      <c r="AH36" s="470"/>
      <c r="AI36" s="470"/>
      <c r="AJ36" s="620" t="str">
        <f t="shared" si="44"/>
        <v/>
      </c>
      <c r="AK36" s="620" t="str">
        <f t="shared" si="45"/>
        <v/>
      </c>
      <c r="AL36" s="620" t="str">
        <f t="shared" si="46"/>
        <v/>
      </c>
      <c r="AM36" s="1428" t="str">
        <f t="shared" si="47"/>
        <v/>
      </c>
      <c r="AN36" s="470"/>
      <c r="AO36" s="470"/>
      <c r="AP36" s="470"/>
      <c r="AQ36" s="501">
        <f t="shared" si="48"/>
        <v>0</v>
      </c>
      <c r="AR36" s="501">
        <f t="shared" si="49"/>
        <v>0</v>
      </c>
      <c r="AS36" s="501">
        <f t="shared" si="50"/>
        <v>0</v>
      </c>
      <c r="AT36" s="501">
        <f t="shared" si="51"/>
        <v>0</v>
      </c>
    </row>
    <row r="37" spans="1:46" s="471" customFormat="1" ht="15" customHeight="1" x14ac:dyDescent="0.15">
      <c r="A37" s="2002"/>
      <c r="B37" s="1451" t="s">
        <v>744</v>
      </c>
      <c r="C37" s="1452">
        <f t="shared" si="0"/>
        <v>0</v>
      </c>
      <c r="D37" s="1388">
        <f t="shared" si="22"/>
        <v>0</v>
      </c>
      <c r="E37" s="1381">
        <f t="shared" si="1"/>
        <v>0</v>
      </c>
      <c r="F37" s="1452">
        <f t="shared" si="40"/>
        <v>0</v>
      </c>
      <c r="G37" s="1389"/>
      <c r="H37" s="1390"/>
      <c r="I37" s="1452">
        <f t="shared" si="41"/>
        <v>0</v>
      </c>
      <c r="J37" s="1389"/>
      <c r="K37" s="1458"/>
      <c r="L37" s="1454">
        <f t="shared" si="42"/>
        <v>0</v>
      </c>
      <c r="M37" s="1389"/>
      <c r="N37" s="1390"/>
      <c r="O37" s="1455">
        <f t="shared" si="43"/>
        <v>0</v>
      </c>
      <c r="P37" s="1389"/>
      <c r="Q37" s="1390"/>
      <c r="R37" s="471" t="str">
        <f t="shared" si="2"/>
        <v/>
      </c>
      <c r="X37" s="470"/>
      <c r="Y37" s="470"/>
      <c r="Z37" s="470"/>
      <c r="AA37" s="470"/>
      <c r="AB37" s="470"/>
      <c r="AC37" s="470"/>
      <c r="AD37" s="470"/>
      <c r="AE37" s="470"/>
      <c r="AF37" s="470"/>
      <c r="AG37" s="470"/>
      <c r="AH37" s="470"/>
      <c r="AI37" s="470"/>
      <c r="AJ37" s="620" t="str">
        <f t="shared" si="44"/>
        <v/>
      </c>
      <c r="AK37" s="620" t="str">
        <f t="shared" si="45"/>
        <v/>
      </c>
      <c r="AL37" s="620" t="str">
        <f t="shared" si="46"/>
        <v/>
      </c>
      <c r="AM37" s="1428" t="str">
        <f t="shared" si="47"/>
        <v/>
      </c>
      <c r="AN37" s="470"/>
      <c r="AO37" s="470"/>
      <c r="AP37" s="470"/>
      <c r="AQ37" s="501">
        <f t="shared" si="48"/>
        <v>0</v>
      </c>
      <c r="AR37" s="501">
        <f t="shared" si="49"/>
        <v>0</v>
      </c>
      <c r="AS37" s="501">
        <f t="shared" si="50"/>
        <v>0</v>
      </c>
      <c r="AT37" s="501">
        <f t="shared" si="51"/>
        <v>0</v>
      </c>
    </row>
    <row r="38" spans="1:46" s="471" customFormat="1" ht="15" customHeight="1" x14ac:dyDescent="0.15">
      <c r="A38" s="2002"/>
      <c r="B38" s="817" t="s">
        <v>238</v>
      </c>
      <c r="C38" s="1452">
        <f t="shared" si="0"/>
        <v>0</v>
      </c>
      <c r="D38" s="1388">
        <f t="shared" si="22"/>
        <v>0</v>
      </c>
      <c r="E38" s="1381">
        <f t="shared" si="1"/>
        <v>0</v>
      </c>
      <c r="F38" s="1452">
        <f t="shared" si="40"/>
        <v>0</v>
      </c>
      <c r="G38" s="1389"/>
      <c r="H38" s="1390"/>
      <c r="I38" s="1452">
        <f t="shared" si="41"/>
        <v>0</v>
      </c>
      <c r="J38" s="1389"/>
      <c r="K38" s="1458"/>
      <c r="L38" s="1454">
        <f t="shared" si="42"/>
        <v>0</v>
      </c>
      <c r="M38" s="1389"/>
      <c r="N38" s="1390"/>
      <c r="O38" s="1455">
        <f t="shared" si="43"/>
        <v>0</v>
      </c>
      <c r="P38" s="1389"/>
      <c r="Q38" s="1390"/>
      <c r="R38" s="471" t="str">
        <f t="shared" si="2"/>
        <v/>
      </c>
      <c r="X38" s="470"/>
      <c r="Y38" s="470"/>
      <c r="Z38" s="470"/>
      <c r="AA38" s="470"/>
      <c r="AB38" s="470"/>
      <c r="AC38" s="470"/>
      <c r="AD38" s="470"/>
      <c r="AE38" s="470"/>
      <c r="AF38" s="470"/>
      <c r="AG38" s="470"/>
      <c r="AH38" s="470"/>
      <c r="AI38" s="470"/>
      <c r="AJ38" s="620" t="str">
        <f t="shared" si="44"/>
        <v/>
      </c>
      <c r="AK38" s="620" t="str">
        <f t="shared" si="45"/>
        <v/>
      </c>
      <c r="AL38" s="620" t="str">
        <f t="shared" si="46"/>
        <v/>
      </c>
      <c r="AM38" s="1428" t="str">
        <f t="shared" si="47"/>
        <v/>
      </c>
      <c r="AN38" s="470"/>
      <c r="AO38" s="470"/>
      <c r="AP38" s="470"/>
      <c r="AQ38" s="501">
        <f t="shared" si="48"/>
        <v>0</v>
      </c>
      <c r="AR38" s="501">
        <f t="shared" si="49"/>
        <v>0</v>
      </c>
      <c r="AS38" s="501">
        <f t="shared" si="50"/>
        <v>0</v>
      </c>
      <c r="AT38" s="501">
        <f t="shared" si="51"/>
        <v>0</v>
      </c>
    </row>
    <row r="39" spans="1:46" s="471" customFormat="1" ht="15" customHeight="1" x14ac:dyDescent="0.15">
      <c r="A39" s="2002"/>
      <c r="B39" s="817" t="s">
        <v>745</v>
      </c>
      <c r="C39" s="1452">
        <f t="shared" si="0"/>
        <v>0</v>
      </c>
      <c r="D39" s="1388">
        <f t="shared" si="22"/>
        <v>0</v>
      </c>
      <c r="E39" s="1381">
        <f t="shared" si="1"/>
        <v>0</v>
      </c>
      <c r="F39" s="1452">
        <f t="shared" si="40"/>
        <v>0</v>
      </c>
      <c r="G39" s="1389"/>
      <c r="H39" s="1390"/>
      <c r="I39" s="1452">
        <f t="shared" si="41"/>
        <v>0</v>
      </c>
      <c r="J39" s="1389"/>
      <c r="K39" s="1458"/>
      <c r="L39" s="1454">
        <f t="shared" si="42"/>
        <v>0</v>
      </c>
      <c r="M39" s="1389"/>
      <c r="N39" s="1390"/>
      <c r="O39" s="1455">
        <f t="shared" si="43"/>
        <v>0</v>
      </c>
      <c r="P39" s="1389"/>
      <c r="Q39" s="1390"/>
      <c r="R39" s="471" t="str">
        <f t="shared" si="2"/>
        <v/>
      </c>
      <c r="X39" s="470"/>
      <c r="Y39" s="470"/>
      <c r="Z39" s="470"/>
      <c r="AA39" s="470"/>
      <c r="AB39" s="470"/>
      <c r="AC39" s="470"/>
      <c r="AD39" s="470"/>
      <c r="AE39" s="470"/>
      <c r="AF39" s="470"/>
      <c r="AG39" s="470"/>
      <c r="AH39" s="470"/>
      <c r="AI39" s="470"/>
      <c r="AJ39" s="620" t="str">
        <f t="shared" si="44"/>
        <v/>
      </c>
      <c r="AK39" s="620" t="str">
        <f t="shared" si="45"/>
        <v/>
      </c>
      <c r="AL39" s="620" t="str">
        <f t="shared" si="46"/>
        <v/>
      </c>
      <c r="AM39" s="1428" t="str">
        <f t="shared" si="47"/>
        <v/>
      </c>
      <c r="AN39" s="470"/>
      <c r="AO39" s="470"/>
      <c r="AP39" s="470"/>
      <c r="AQ39" s="501">
        <f t="shared" si="48"/>
        <v>0</v>
      </c>
      <c r="AR39" s="501">
        <f t="shared" si="49"/>
        <v>0</v>
      </c>
      <c r="AS39" s="501">
        <f t="shared" si="50"/>
        <v>0</v>
      </c>
      <c r="AT39" s="501">
        <f t="shared" si="51"/>
        <v>0</v>
      </c>
    </row>
    <row r="40" spans="1:46" s="471" customFormat="1" ht="15" customHeight="1" x14ac:dyDescent="0.15">
      <c r="A40" s="2002"/>
      <c r="B40" s="830" t="s">
        <v>746</v>
      </c>
      <c r="C40" s="1433">
        <f t="shared" si="0"/>
        <v>0</v>
      </c>
      <c r="D40" s="1414">
        <f>+G40+J40</f>
        <v>0</v>
      </c>
      <c r="E40" s="1415">
        <f t="shared" si="1"/>
        <v>0</v>
      </c>
      <c r="F40" s="1433">
        <f t="shared" si="40"/>
        <v>0</v>
      </c>
      <c r="G40" s="1389"/>
      <c r="H40" s="1390"/>
      <c r="I40" s="1434">
        <f t="shared" si="41"/>
        <v>0</v>
      </c>
      <c r="J40" s="1389"/>
      <c r="K40" s="1458"/>
      <c r="L40" s="1436">
        <f t="shared" si="42"/>
        <v>0</v>
      </c>
      <c r="M40" s="1389"/>
      <c r="N40" s="1398"/>
      <c r="O40" s="1437">
        <f t="shared" si="43"/>
        <v>0</v>
      </c>
      <c r="P40" s="1389"/>
      <c r="Q40" s="1390"/>
      <c r="R40" s="471" t="str">
        <f t="shared" si="2"/>
        <v/>
      </c>
      <c r="X40" s="470"/>
      <c r="Y40" s="470"/>
      <c r="Z40" s="470"/>
      <c r="AA40" s="470"/>
      <c r="AB40" s="470"/>
      <c r="AC40" s="470"/>
      <c r="AD40" s="470"/>
      <c r="AE40" s="470"/>
      <c r="AF40" s="470"/>
      <c r="AG40" s="470"/>
      <c r="AH40" s="470"/>
      <c r="AI40" s="470"/>
      <c r="AJ40" s="620" t="str">
        <f t="shared" si="44"/>
        <v/>
      </c>
      <c r="AK40" s="620" t="str">
        <f t="shared" si="45"/>
        <v/>
      </c>
      <c r="AL40" s="620" t="str">
        <f t="shared" si="46"/>
        <v/>
      </c>
      <c r="AM40" s="1428" t="str">
        <f t="shared" si="47"/>
        <v/>
      </c>
      <c r="AN40" s="470"/>
      <c r="AO40" s="470"/>
      <c r="AP40" s="470"/>
      <c r="AQ40" s="501">
        <f t="shared" si="48"/>
        <v>0</v>
      </c>
      <c r="AR40" s="501">
        <f t="shared" si="49"/>
        <v>0</v>
      </c>
      <c r="AS40" s="501">
        <f t="shared" si="50"/>
        <v>0</v>
      </c>
      <c r="AT40" s="501">
        <f t="shared" si="51"/>
        <v>0</v>
      </c>
    </row>
    <row r="41" spans="1:46" s="471" customFormat="1" ht="15" customHeight="1" x14ac:dyDescent="0.15">
      <c r="A41" s="2002"/>
      <c r="B41" s="857" t="s">
        <v>239</v>
      </c>
      <c r="C41" s="1369">
        <f t="shared" si="0"/>
        <v>0</v>
      </c>
      <c r="D41" s="1370">
        <f>+G41+J41</f>
        <v>0</v>
      </c>
      <c r="E41" s="1371">
        <f t="shared" si="1"/>
        <v>0</v>
      </c>
      <c r="F41" s="1369">
        <f t="shared" ref="F41:Q41" si="52">SUM(F35:F40)</f>
        <v>0</v>
      </c>
      <c r="G41" s="1370">
        <f>SUM(G35:G40)</f>
        <v>0</v>
      </c>
      <c r="H41" s="1371">
        <f t="shared" si="52"/>
        <v>0</v>
      </c>
      <c r="I41" s="1369">
        <f>SUM(I35:I40)</f>
        <v>0</v>
      </c>
      <c r="J41" s="1370">
        <f>SUM(J35:J40)</f>
        <v>0</v>
      </c>
      <c r="K41" s="1459">
        <f t="shared" si="52"/>
        <v>0</v>
      </c>
      <c r="L41" s="1422">
        <f t="shared" si="52"/>
        <v>0</v>
      </c>
      <c r="M41" s="1370">
        <f>SUM(M35:M40)</f>
        <v>0</v>
      </c>
      <c r="N41" s="1423">
        <f>SUM(N35:N40)</f>
        <v>0</v>
      </c>
      <c r="O41" s="1371">
        <f>SUM(O35:O40)</f>
        <v>0</v>
      </c>
      <c r="P41" s="1370">
        <f t="shared" si="52"/>
        <v>0</v>
      </c>
      <c r="Q41" s="1423">
        <f t="shared" si="52"/>
        <v>0</v>
      </c>
      <c r="X41" s="470"/>
      <c r="Y41" s="470"/>
      <c r="Z41" s="47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  <c r="AK41" s="470"/>
      <c r="AL41" s="470"/>
    </row>
    <row r="42" spans="1:46" s="471" customFormat="1" ht="15" customHeight="1" x14ac:dyDescent="0.15">
      <c r="A42" s="2002"/>
      <c r="B42" s="1460" t="s">
        <v>747</v>
      </c>
      <c r="C42" s="1461">
        <f t="shared" si="0"/>
        <v>0</v>
      </c>
      <c r="D42" s="1462">
        <f>+G42+J42</f>
        <v>0</v>
      </c>
      <c r="E42" s="1415">
        <f t="shared" si="1"/>
        <v>0</v>
      </c>
      <c r="F42" s="1463">
        <f>SUM(G42:H42)</f>
        <v>0</v>
      </c>
      <c r="G42" s="1464"/>
      <c r="H42" s="1465"/>
      <c r="I42" s="1463">
        <f>SUM(J42:K42)</f>
        <v>0</v>
      </c>
      <c r="J42" s="1464"/>
      <c r="K42" s="1466"/>
      <c r="L42" s="1467">
        <f>SUM(M42:N42)</f>
        <v>0</v>
      </c>
      <c r="M42" s="1464"/>
      <c r="N42" s="1465"/>
      <c r="O42" s="1468">
        <f>SUM(P42:Q42)</f>
        <v>0</v>
      </c>
      <c r="P42" s="1464"/>
      <c r="Q42" s="1465"/>
      <c r="R42" s="471" t="str">
        <f>AJ42&amp;AK42&amp;AL42&amp;AM42</f>
        <v/>
      </c>
      <c r="X42" s="470"/>
      <c r="Y42" s="470"/>
      <c r="Z42" s="470"/>
      <c r="AA42" s="470"/>
      <c r="AB42" s="470"/>
      <c r="AC42" s="470"/>
      <c r="AD42" s="470"/>
      <c r="AE42" s="470"/>
      <c r="AF42" s="470"/>
      <c r="AG42" s="470"/>
      <c r="AH42" s="470"/>
      <c r="AI42" s="470"/>
      <c r="AJ42" s="620" t="str">
        <f>IF(AND(D42&gt;0,OR(M42=""))," * No olvide digitar la variable Pueblos Originarios Hombres. Digite Cero si no tiene.",IF(M42&gt;D42," * La variable Pueblos Originarios Hombres no puede ser Mayor al Total Hombres.",""))</f>
        <v/>
      </c>
      <c r="AK42" s="620" t="str">
        <f>IF(AND(E42&gt;0,OR(N42=""))," * No olvide digitar la variable Pueblos Originarios Mujeres. Digite Cero si no tiene.",IF(N42&gt;E42," * La variable Pueblos Originarios Mujeres no puede ser Mayor al Total Mujeres.",""))</f>
        <v/>
      </c>
      <c r="AL42" s="620" t="str">
        <f>IF(AND($D42&gt;0,OR(P42=""))," * No olvide digitar la variable Migrantes Hombres. Digite Cero si no tiene.",IF(P42&gt;$D42," * La variable Migrantes Hombres no puede ser Mayor al Total Hombres.",""))</f>
        <v/>
      </c>
      <c r="AM42" s="1428" t="str">
        <f>IF(AND($E42&gt;0,OR(Q42=""))," * No olvide digitar la variable Migrantes Mujeres. Digite Cero si no tiene.",IF(Q42&gt;$E42," * La variable Migrantes Mujeres no puede ser Mayor al Total Mujeres.",""))</f>
        <v/>
      </c>
      <c r="AN42" s="470"/>
      <c r="AO42" s="470"/>
      <c r="AP42" s="470"/>
      <c r="AQ42" s="501">
        <f>IF(AND($D42&gt;0,OR(M42="")),1,IF(M42&gt;$D42,1,0))</f>
        <v>0</v>
      </c>
      <c r="AR42" s="501">
        <f>IF(AND($E42&gt;0,OR(N42="")),1,IF(N42&gt;$E42,1,0))</f>
        <v>0</v>
      </c>
      <c r="AS42" s="501">
        <f>IF(AND($D42&gt;0,OR(P42="")),1,IF(P42&gt;$D42,1,0))</f>
        <v>0</v>
      </c>
      <c r="AT42" s="501">
        <f>IF(AND($E42&gt;0,OR(Q42="")),1,IF(Q42&gt;$E42,1,0))</f>
        <v>0</v>
      </c>
    </row>
    <row r="43" spans="1:46" s="471" customFormat="1" ht="15" customHeight="1" x14ac:dyDescent="0.15">
      <c r="A43" s="2003"/>
      <c r="B43" s="923" t="s">
        <v>603</v>
      </c>
      <c r="C43" s="1369">
        <f>SUM(C35:C40)+C42</f>
        <v>0</v>
      </c>
      <c r="D43" s="1370">
        <f t="shared" ref="D43:I43" si="53">SUM(D35:D40)+D42</f>
        <v>0</v>
      </c>
      <c r="E43" s="1469">
        <f t="shared" si="53"/>
        <v>0</v>
      </c>
      <c r="F43" s="1369">
        <f t="shared" si="53"/>
        <v>0</v>
      </c>
      <c r="G43" s="1370">
        <f>SUM(G35:G40)+G42</f>
        <v>0</v>
      </c>
      <c r="H43" s="1469">
        <f t="shared" si="53"/>
        <v>0</v>
      </c>
      <c r="I43" s="1369">
        <f t="shared" si="53"/>
        <v>0</v>
      </c>
      <c r="J43" s="1370">
        <f t="shared" ref="J43:Q43" si="54">SUM(J35:J40)+J42</f>
        <v>0</v>
      </c>
      <c r="K43" s="1459">
        <f t="shared" si="54"/>
        <v>0</v>
      </c>
      <c r="L43" s="1422">
        <f t="shared" si="54"/>
        <v>0</v>
      </c>
      <c r="M43" s="1370">
        <f t="shared" si="54"/>
        <v>0</v>
      </c>
      <c r="N43" s="1423">
        <f t="shared" si="54"/>
        <v>0</v>
      </c>
      <c r="O43" s="1371">
        <f t="shared" si="54"/>
        <v>0</v>
      </c>
      <c r="P43" s="1370">
        <f t="shared" si="54"/>
        <v>0</v>
      </c>
      <c r="Q43" s="1423">
        <f t="shared" si="54"/>
        <v>0</v>
      </c>
      <c r="X43" s="470"/>
      <c r="Y43" s="470"/>
      <c r="Z43" s="470"/>
      <c r="AA43" s="470"/>
      <c r="AB43" s="470"/>
      <c r="AC43" s="470"/>
      <c r="AD43" s="470"/>
      <c r="AE43" s="470"/>
      <c r="AF43" s="470"/>
      <c r="AG43" s="470"/>
      <c r="AH43" s="470"/>
      <c r="AI43" s="470"/>
      <c r="AJ43" s="470"/>
      <c r="AK43" s="470"/>
      <c r="AL43" s="470"/>
    </row>
    <row r="44" spans="1:46" s="471" customFormat="1" ht="17.100000000000001" customHeight="1" x14ac:dyDescent="0.15">
      <c r="A44" s="2403" t="s">
        <v>748</v>
      </c>
      <c r="B44" s="2403"/>
      <c r="C44" s="2403"/>
      <c r="D44" s="2403"/>
      <c r="E44" s="2403"/>
      <c r="F44" s="2403"/>
      <c r="G44" s="2403"/>
      <c r="H44" s="2403"/>
      <c r="I44" s="2403"/>
      <c r="J44" s="2403"/>
      <c r="K44" s="2403"/>
      <c r="L44" s="2403"/>
      <c r="M44" s="2403"/>
      <c r="N44" s="2403"/>
      <c r="O44" s="2403"/>
      <c r="P44" s="2403"/>
      <c r="Q44" s="2403"/>
      <c r="AA44" s="470"/>
      <c r="AB44" s="470"/>
      <c r="AC44" s="470"/>
      <c r="AD44" s="470"/>
      <c r="AE44" s="470"/>
      <c r="AF44" s="470"/>
      <c r="AG44" s="470"/>
      <c r="AH44" s="470"/>
      <c r="AI44" s="470"/>
      <c r="AJ44" s="470"/>
      <c r="AK44" s="470"/>
      <c r="AL44" s="470"/>
    </row>
    <row r="45" spans="1:46" s="471" customFormat="1" ht="12" customHeight="1" x14ac:dyDescent="0.15">
      <c r="A45" s="2397" t="s">
        <v>749</v>
      </c>
      <c r="B45" s="2398"/>
      <c r="C45" s="2428" t="s">
        <v>49</v>
      </c>
      <c r="D45" s="2429"/>
      <c r="E45" s="2430"/>
      <c r="F45" s="2364" t="s">
        <v>750</v>
      </c>
      <c r="G45" s="2374"/>
      <c r="H45" s="2360"/>
      <c r="I45" s="2364" t="s">
        <v>751</v>
      </c>
      <c r="J45" s="2374"/>
      <c r="K45" s="2423"/>
      <c r="L45" s="2359" t="s">
        <v>722</v>
      </c>
      <c r="M45" s="2374"/>
      <c r="N45" s="2360"/>
      <c r="O45" s="2374" t="s">
        <v>52</v>
      </c>
      <c r="P45" s="2374"/>
      <c r="Q45" s="2360"/>
      <c r="X45" s="470"/>
      <c r="Y45" s="470"/>
      <c r="Z45" s="470"/>
      <c r="AA45" s="470"/>
      <c r="AB45" s="470"/>
      <c r="AC45" s="470"/>
      <c r="AD45" s="470"/>
      <c r="AE45" s="470"/>
      <c r="AF45" s="470"/>
      <c r="AG45" s="470"/>
      <c r="AH45" s="470"/>
      <c r="AI45" s="470"/>
      <c r="AJ45" s="470"/>
      <c r="AK45" s="470"/>
      <c r="AL45" s="470"/>
    </row>
    <row r="46" spans="1:46" s="471" customFormat="1" ht="15" customHeight="1" x14ac:dyDescent="0.15">
      <c r="A46" s="2440"/>
      <c r="B46" s="2441"/>
      <c r="C46" s="2431"/>
      <c r="D46" s="2432"/>
      <c r="E46" s="2433"/>
      <c r="F46" s="2435"/>
      <c r="G46" s="2434"/>
      <c r="H46" s="2373"/>
      <c r="I46" s="2435"/>
      <c r="J46" s="2434"/>
      <c r="K46" s="2436"/>
      <c r="L46" s="2372"/>
      <c r="M46" s="2434"/>
      <c r="N46" s="2373"/>
      <c r="O46" s="2434"/>
      <c r="P46" s="2434"/>
      <c r="Q46" s="2373"/>
      <c r="X46" s="470"/>
      <c r="Y46" s="470"/>
      <c r="Z46" s="470"/>
      <c r="AA46" s="470"/>
      <c r="AB46" s="470"/>
      <c r="AC46" s="470"/>
      <c r="AD46" s="470"/>
      <c r="AE46" s="470"/>
      <c r="AF46" s="470"/>
      <c r="AG46" s="470"/>
      <c r="AH46" s="470"/>
      <c r="AI46" s="470"/>
      <c r="AJ46" s="470"/>
      <c r="AK46" s="470"/>
      <c r="AL46" s="470"/>
    </row>
    <row r="47" spans="1:46" s="471" customFormat="1" ht="0.75" customHeight="1" x14ac:dyDescent="0.15">
      <c r="A47" s="2440"/>
      <c r="B47" s="2441"/>
      <c r="C47" s="2431"/>
      <c r="D47" s="2432"/>
      <c r="E47" s="2433"/>
      <c r="F47" s="2365"/>
      <c r="G47" s="2375"/>
      <c r="H47" s="2362"/>
      <c r="I47" s="2365"/>
      <c r="J47" s="2375"/>
      <c r="K47" s="2437"/>
      <c r="L47" s="2361"/>
      <c r="M47" s="2375"/>
      <c r="N47" s="2362"/>
      <c r="O47" s="2375"/>
      <c r="P47" s="2375"/>
      <c r="Q47" s="2362"/>
      <c r="X47" s="470"/>
      <c r="Y47" s="470"/>
      <c r="Z47" s="470"/>
      <c r="AA47" s="470"/>
      <c r="AB47" s="470"/>
      <c r="AC47" s="470"/>
      <c r="AD47" s="470"/>
      <c r="AE47" s="470"/>
      <c r="AF47" s="470"/>
      <c r="AG47" s="470"/>
      <c r="AH47" s="470"/>
      <c r="AI47" s="470"/>
      <c r="AJ47" s="470"/>
      <c r="AK47" s="470"/>
      <c r="AL47" s="470"/>
    </row>
    <row r="48" spans="1:46" s="471" customFormat="1" ht="24" customHeight="1" x14ac:dyDescent="0.15">
      <c r="A48" s="2399"/>
      <c r="B48" s="2400"/>
      <c r="C48" s="1367" t="s">
        <v>224</v>
      </c>
      <c r="D48" s="1367" t="s">
        <v>752</v>
      </c>
      <c r="E48" s="1376" t="s">
        <v>85</v>
      </c>
      <c r="F48" s="1367" t="s">
        <v>224</v>
      </c>
      <c r="G48" s="1367" t="s">
        <v>752</v>
      </c>
      <c r="H48" s="1376" t="s">
        <v>85</v>
      </c>
      <c r="I48" s="1367" t="s">
        <v>224</v>
      </c>
      <c r="J48" s="1367" t="s">
        <v>752</v>
      </c>
      <c r="K48" s="1368" t="s">
        <v>85</v>
      </c>
      <c r="L48" s="1367" t="s">
        <v>224</v>
      </c>
      <c r="M48" s="1367" t="s">
        <v>752</v>
      </c>
      <c r="N48" s="1366" t="s">
        <v>85</v>
      </c>
      <c r="O48" s="1470" t="s">
        <v>224</v>
      </c>
      <c r="P48" s="1367" t="s">
        <v>752</v>
      </c>
      <c r="Q48" s="1366" t="s">
        <v>85</v>
      </c>
      <c r="X48" s="470"/>
      <c r="Y48" s="470"/>
      <c r="Z48" s="470"/>
      <c r="AA48" s="470"/>
      <c r="AB48" s="470"/>
      <c r="AC48" s="470"/>
      <c r="AD48" s="470"/>
      <c r="AE48" s="470"/>
      <c r="AF48" s="470"/>
      <c r="AG48" s="470"/>
      <c r="AH48" s="470"/>
      <c r="AI48" s="470"/>
      <c r="AJ48" s="470"/>
      <c r="AK48" s="470"/>
      <c r="AL48" s="470"/>
    </row>
    <row r="49" spans="1:46" s="471" customFormat="1" ht="15" customHeight="1" x14ac:dyDescent="0.15">
      <c r="A49" s="2426" t="s">
        <v>753</v>
      </c>
      <c r="B49" s="2427"/>
      <c r="C49" s="1471">
        <f t="shared" ref="C49:C54" si="55">SUM(D49:E49)</f>
        <v>0</v>
      </c>
      <c r="D49" s="1472">
        <f>+G49+J49</f>
        <v>0</v>
      </c>
      <c r="E49" s="1471">
        <f>+H49+K49</f>
        <v>0</v>
      </c>
      <c r="F49" s="1473">
        <f t="shared" ref="F49:F54" si="56">SUM(G49:H49)</f>
        <v>0</v>
      </c>
      <c r="G49" s="1474"/>
      <c r="H49" s="1383"/>
      <c r="I49" s="1473">
        <f t="shared" ref="I49:I54" si="57">SUM(J49:K49)</f>
        <v>0</v>
      </c>
      <c r="J49" s="1474"/>
      <c r="K49" s="1475"/>
      <c r="L49" s="1476">
        <f t="shared" ref="L49:L54" si="58">SUM(M49:N49)</f>
        <v>0</v>
      </c>
      <c r="M49" s="1474"/>
      <c r="N49" s="1383"/>
      <c r="O49" s="1450">
        <f t="shared" ref="O49:O54" si="59">SUM(P49:Q49)</f>
        <v>0</v>
      </c>
      <c r="P49" s="1474"/>
      <c r="Q49" s="1383"/>
      <c r="R49" s="471" t="str">
        <f t="shared" ref="R49:R54" si="60">AJ49&amp;AK49&amp;AL49&amp;AM49</f>
        <v/>
      </c>
      <c r="X49" s="470"/>
      <c r="Y49" s="470"/>
      <c r="Z49" s="470"/>
      <c r="AA49" s="470"/>
      <c r="AB49" s="470"/>
      <c r="AC49" s="470"/>
      <c r="AD49" s="470"/>
      <c r="AE49" s="470"/>
      <c r="AF49" s="470"/>
      <c r="AG49" s="470"/>
      <c r="AH49" s="470"/>
      <c r="AI49" s="470"/>
      <c r="AJ49" s="620" t="str">
        <f t="shared" ref="AJ49:AJ54" si="61">IF(AND(D49&gt;0,OR(M49=""))," * No olvide digitar la variable Pueblos Originarios Hombres. Digite Cero si no tiene.",IF(M49&gt;D49," * La variable Pueblos Originarios Hombres no puede ser Mayor al Total Hombres.",""))</f>
        <v/>
      </c>
      <c r="AK49" s="620" t="str">
        <f t="shared" ref="AK49:AK54" si="62">IF(AND(E49&gt;0,OR(N49=""))," * No olvide digitar la variable Pueblos Originarios Mujeres. Digite Cero si no tiene.",IF(N49&gt;E49," * La variable Pueblos Originarios Mujeres no puede ser Mayor al Total Mujeres.",""))</f>
        <v/>
      </c>
      <c r="AL49" s="620" t="str">
        <f t="shared" ref="AL49:AL54" si="63">IF(AND($D49&gt;0,OR(P49=""))," * No olvide digitar la variable Migrantes Hombres. Digite Cero si no tiene.",IF(P49&gt;$D49," * La variable Migrantes Hombres no puede ser Mayor al Total Hombres.",""))</f>
        <v/>
      </c>
      <c r="AM49" s="1428" t="str">
        <f t="shared" ref="AM49:AM54" si="64">IF(AND($E49&gt;0,OR(Q49=""))," * No olvide digitar la variable Migrantes Mujeres. Digite Cero si no tiene.",IF(Q49&gt;$E49," * La variable Migrantes Mujeres no puede ser Mayor al Total Mujeres.",""))</f>
        <v/>
      </c>
      <c r="AN49" s="470"/>
      <c r="AO49" s="470"/>
      <c r="AP49" s="470"/>
      <c r="AQ49" s="501">
        <f t="shared" ref="AQ49:AQ54" si="65">IF(AND($D49&gt;0,OR(M49="")),1,IF(M49&gt;$D49,1,0))</f>
        <v>0</v>
      </c>
      <c r="AR49" s="501">
        <f t="shared" ref="AR49:AR54" si="66">IF(AND($E49&gt;0,OR(N49="")),1,IF(N49&gt;$E49,1,0))</f>
        <v>0</v>
      </c>
      <c r="AS49" s="501">
        <f t="shared" ref="AS49:AS54" si="67">IF(AND($D49&gt;0,OR(P49="")),1,IF(P49&gt;$D49,1,0))</f>
        <v>0</v>
      </c>
      <c r="AT49" s="501">
        <f t="shared" ref="AT49:AT54" si="68">IF(AND($E49&gt;0,OR(Q49="")),1,IF(Q49&gt;$E49,1,0))</f>
        <v>0</v>
      </c>
    </row>
    <row r="50" spans="1:46" s="471" customFormat="1" ht="15" customHeight="1" x14ac:dyDescent="0.15">
      <c r="A50" s="2404" t="s">
        <v>754</v>
      </c>
      <c r="B50" s="2405"/>
      <c r="C50" s="1477">
        <f t="shared" si="55"/>
        <v>0</v>
      </c>
      <c r="D50" s="1478">
        <f>+G50+J50</f>
        <v>0</v>
      </c>
      <c r="E50" s="1477">
        <f t="shared" ref="D50:E54" si="69">+H50+K50</f>
        <v>0</v>
      </c>
      <c r="F50" s="1479">
        <f t="shared" si="56"/>
        <v>0</v>
      </c>
      <c r="G50" s="1480"/>
      <c r="H50" s="1409"/>
      <c r="I50" s="1479">
        <f t="shared" si="57"/>
        <v>0</v>
      </c>
      <c r="J50" s="1480"/>
      <c r="K50" s="1481"/>
      <c r="L50" s="1482">
        <f t="shared" si="58"/>
        <v>0</v>
      </c>
      <c r="M50" s="1480"/>
      <c r="N50" s="1409"/>
      <c r="O50" s="1455">
        <f t="shared" si="59"/>
        <v>0</v>
      </c>
      <c r="P50" s="1480"/>
      <c r="Q50" s="1409"/>
      <c r="R50" s="471" t="str">
        <f t="shared" si="60"/>
        <v/>
      </c>
      <c r="X50" s="470"/>
      <c r="Y50" s="470"/>
      <c r="Z50" s="470"/>
      <c r="AA50" s="470"/>
      <c r="AB50" s="470"/>
      <c r="AC50" s="470"/>
      <c r="AD50" s="470"/>
      <c r="AE50" s="470"/>
      <c r="AF50" s="470"/>
      <c r="AG50" s="470"/>
      <c r="AH50" s="470"/>
      <c r="AI50" s="470"/>
      <c r="AJ50" s="620" t="str">
        <f t="shared" si="61"/>
        <v/>
      </c>
      <c r="AK50" s="620" t="str">
        <f t="shared" si="62"/>
        <v/>
      </c>
      <c r="AL50" s="620" t="str">
        <f t="shared" si="63"/>
        <v/>
      </c>
      <c r="AM50" s="1428" t="str">
        <f t="shared" si="64"/>
        <v/>
      </c>
      <c r="AN50" s="470"/>
      <c r="AO50" s="470"/>
      <c r="AP50" s="470"/>
      <c r="AQ50" s="501">
        <f t="shared" si="65"/>
        <v>0</v>
      </c>
      <c r="AR50" s="501">
        <f t="shared" si="66"/>
        <v>0</v>
      </c>
      <c r="AS50" s="501">
        <f t="shared" si="67"/>
        <v>0</v>
      </c>
      <c r="AT50" s="501">
        <f t="shared" si="68"/>
        <v>0</v>
      </c>
    </row>
    <row r="51" spans="1:46" s="471" customFormat="1" ht="15" customHeight="1" x14ac:dyDescent="0.15">
      <c r="A51" s="2404" t="s">
        <v>755</v>
      </c>
      <c r="B51" s="2405"/>
      <c r="C51" s="1477">
        <f t="shared" si="55"/>
        <v>0</v>
      </c>
      <c r="D51" s="1478">
        <f>+G51</f>
        <v>0</v>
      </c>
      <c r="E51" s="1477">
        <f>+H51</f>
        <v>0</v>
      </c>
      <c r="F51" s="1479">
        <f t="shared" si="56"/>
        <v>0</v>
      </c>
      <c r="G51" s="1480"/>
      <c r="H51" s="1409"/>
      <c r="I51" s="1479">
        <f>SUM(J51:K51)</f>
        <v>0</v>
      </c>
      <c r="J51" s="1483"/>
      <c r="K51" s="1484"/>
      <c r="L51" s="1482">
        <f t="shared" si="58"/>
        <v>0</v>
      </c>
      <c r="M51" s="1480"/>
      <c r="N51" s="1409"/>
      <c r="O51" s="1455">
        <f t="shared" si="59"/>
        <v>0</v>
      </c>
      <c r="P51" s="1480"/>
      <c r="Q51" s="1409"/>
      <c r="R51" s="471" t="str">
        <f t="shared" si="60"/>
        <v/>
      </c>
      <c r="X51" s="470"/>
      <c r="Y51" s="470"/>
      <c r="Z51" s="470"/>
      <c r="AA51" s="470"/>
      <c r="AB51" s="470"/>
      <c r="AC51" s="470"/>
      <c r="AD51" s="470"/>
      <c r="AE51" s="470"/>
      <c r="AF51" s="470"/>
      <c r="AG51" s="470"/>
      <c r="AH51" s="470"/>
      <c r="AI51" s="470"/>
      <c r="AJ51" s="620" t="str">
        <f t="shared" si="61"/>
        <v/>
      </c>
      <c r="AK51" s="620" t="str">
        <f t="shared" si="62"/>
        <v/>
      </c>
      <c r="AL51" s="620" t="str">
        <f t="shared" si="63"/>
        <v/>
      </c>
      <c r="AM51" s="1428" t="str">
        <f t="shared" si="64"/>
        <v/>
      </c>
      <c r="AN51" s="470"/>
      <c r="AO51" s="470"/>
      <c r="AP51" s="470"/>
      <c r="AQ51" s="501">
        <f t="shared" si="65"/>
        <v>0</v>
      </c>
      <c r="AR51" s="501">
        <f t="shared" si="66"/>
        <v>0</v>
      </c>
      <c r="AS51" s="501">
        <f t="shared" si="67"/>
        <v>0</v>
      </c>
      <c r="AT51" s="501">
        <f t="shared" si="68"/>
        <v>0</v>
      </c>
    </row>
    <row r="52" spans="1:46" s="471" customFormat="1" ht="15" customHeight="1" x14ac:dyDescent="0.15">
      <c r="A52" s="2404" t="s">
        <v>756</v>
      </c>
      <c r="B52" s="2405"/>
      <c r="C52" s="1477">
        <f>SUM(D52:E52)</f>
        <v>0</v>
      </c>
      <c r="D52" s="1478">
        <f>+J52</f>
        <v>0</v>
      </c>
      <c r="E52" s="1477">
        <f>+K52</f>
        <v>0</v>
      </c>
      <c r="F52" s="1479">
        <f>SUM(G52:H52)</f>
        <v>0</v>
      </c>
      <c r="G52" s="1483"/>
      <c r="H52" s="1485"/>
      <c r="I52" s="1479">
        <f t="shared" si="57"/>
        <v>0</v>
      </c>
      <c r="J52" s="1480"/>
      <c r="K52" s="1481"/>
      <c r="L52" s="1482">
        <f t="shared" si="58"/>
        <v>0</v>
      </c>
      <c r="M52" s="1480"/>
      <c r="N52" s="1409"/>
      <c r="O52" s="1455">
        <f t="shared" si="59"/>
        <v>0</v>
      </c>
      <c r="P52" s="1480"/>
      <c r="Q52" s="1409"/>
      <c r="R52" s="471" t="str">
        <f t="shared" si="60"/>
        <v/>
      </c>
      <c r="X52" s="470"/>
      <c r="Y52" s="470"/>
      <c r="Z52" s="470"/>
      <c r="AA52" s="470"/>
      <c r="AB52" s="470"/>
      <c r="AC52" s="470"/>
      <c r="AD52" s="470"/>
      <c r="AE52" s="470"/>
      <c r="AF52" s="470"/>
      <c r="AG52" s="470"/>
      <c r="AH52" s="470"/>
      <c r="AI52" s="470"/>
      <c r="AJ52" s="620" t="str">
        <f t="shared" si="61"/>
        <v/>
      </c>
      <c r="AK52" s="620" t="str">
        <f t="shared" si="62"/>
        <v/>
      </c>
      <c r="AL52" s="620" t="str">
        <f t="shared" si="63"/>
        <v/>
      </c>
      <c r="AM52" s="1428" t="str">
        <f t="shared" si="64"/>
        <v/>
      </c>
      <c r="AN52" s="470"/>
      <c r="AO52" s="470"/>
      <c r="AP52" s="470"/>
      <c r="AQ52" s="501">
        <f t="shared" si="65"/>
        <v>0</v>
      </c>
      <c r="AR52" s="501">
        <f t="shared" si="66"/>
        <v>0</v>
      </c>
      <c r="AS52" s="501">
        <f t="shared" si="67"/>
        <v>0</v>
      </c>
      <c r="AT52" s="501">
        <f t="shared" si="68"/>
        <v>0</v>
      </c>
    </row>
    <row r="53" spans="1:46" s="471" customFormat="1" ht="15" customHeight="1" x14ac:dyDescent="0.15">
      <c r="A53" s="2404" t="s">
        <v>757</v>
      </c>
      <c r="B53" s="2405"/>
      <c r="C53" s="1477">
        <f t="shared" si="55"/>
        <v>0</v>
      </c>
      <c r="D53" s="1478">
        <f t="shared" si="69"/>
        <v>0</v>
      </c>
      <c r="E53" s="1477">
        <f t="shared" si="69"/>
        <v>0</v>
      </c>
      <c r="F53" s="1479">
        <f t="shared" si="56"/>
        <v>0</v>
      </c>
      <c r="G53" s="1480"/>
      <c r="H53" s="1409"/>
      <c r="I53" s="1479">
        <f t="shared" si="57"/>
        <v>0</v>
      </c>
      <c r="J53" s="1480"/>
      <c r="K53" s="1481"/>
      <c r="L53" s="1454">
        <f t="shared" si="58"/>
        <v>0</v>
      </c>
      <c r="M53" s="1480"/>
      <c r="N53" s="1409"/>
      <c r="O53" s="1455">
        <f t="shared" si="59"/>
        <v>0</v>
      </c>
      <c r="P53" s="1480"/>
      <c r="Q53" s="1409"/>
      <c r="R53" s="471" t="str">
        <f t="shared" si="60"/>
        <v/>
      </c>
      <c r="X53" s="470"/>
      <c r="Y53" s="470"/>
      <c r="Z53" s="470"/>
      <c r="AA53" s="470"/>
      <c r="AB53" s="470"/>
      <c r="AC53" s="470"/>
      <c r="AD53" s="470"/>
      <c r="AE53" s="470"/>
      <c r="AF53" s="470"/>
      <c r="AG53" s="470"/>
      <c r="AH53" s="470"/>
      <c r="AI53" s="470"/>
      <c r="AJ53" s="620" t="str">
        <f t="shared" si="61"/>
        <v/>
      </c>
      <c r="AK53" s="620" t="str">
        <f t="shared" si="62"/>
        <v/>
      </c>
      <c r="AL53" s="620" t="str">
        <f t="shared" si="63"/>
        <v/>
      </c>
      <c r="AM53" s="1428" t="str">
        <f t="shared" si="64"/>
        <v/>
      </c>
      <c r="AN53" s="470"/>
      <c r="AO53" s="470"/>
      <c r="AP53" s="470"/>
      <c r="AQ53" s="501">
        <f t="shared" si="65"/>
        <v>0</v>
      </c>
      <c r="AR53" s="501">
        <f t="shared" si="66"/>
        <v>0</v>
      </c>
      <c r="AS53" s="501">
        <f t="shared" si="67"/>
        <v>0</v>
      </c>
      <c r="AT53" s="501">
        <f t="shared" si="68"/>
        <v>0</v>
      </c>
    </row>
    <row r="54" spans="1:46" s="471" customFormat="1" ht="15" customHeight="1" x14ac:dyDescent="0.15">
      <c r="A54" s="2424" t="s">
        <v>758</v>
      </c>
      <c r="B54" s="2425"/>
      <c r="C54" s="1486">
        <f t="shared" si="55"/>
        <v>0</v>
      </c>
      <c r="D54" s="1487">
        <f t="shared" si="69"/>
        <v>0</v>
      </c>
      <c r="E54" s="1486">
        <f t="shared" si="69"/>
        <v>0</v>
      </c>
      <c r="F54" s="1488">
        <f t="shared" si="56"/>
        <v>0</v>
      </c>
      <c r="G54" s="1489"/>
      <c r="H54" s="1490"/>
      <c r="I54" s="1488">
        <f t="shared" si="57"/>
        <v>0</v>
      </c>
      <c r="J54" s="1491"/>
      <c r="K54" s="1492"/>
      <c r="L54" s="1436">
        <f t="shared" si="58"/>
        <v>0</v>
      </c>
      <c r="M54" s="1491"/>
      <c r="N54" s="1398"/>
      <c r="O54" s="1437">
        <f t="shared" si="59"/>
        <v>0</v>
      </c>
      <c r="P54" s="1491"/>
      <c r="Q54" s="1398"/>
      <c r="R54" s="471" t="str">
        <f t="shared" si="60"/>
        <v/>
      </c>
      <c r="X54" s="470"/>
      <c r="Y54" s="470"/>
      <c r="Z54" s="470"/>
      <c r="AA54" s="470"/>
      <c r="AB54" s="470"/>
      <c r="AC54" s="470"/>
      <c r="AD54" s="470"/>
      <c r="AE54" s="470"/>
      <c r="AF54" s="470"/>
      <c r="AG54" s="470"/>
      <c r="AH54" s="470"/>
      <c r="AI54" s="470"/>
      <c r="AJ54" s="620" t="str">
        <f t="shared" si="61"/>
        <v/>
      </c>
      <c r="AK54" s="620" t="str">
        <f t="shared" si="62"/>
        <v/>
      </c>
      <c r="AL54" s="620" t="str">
        <f t="shared" si="63"/>
        <v/>
      </c>
      <c r="AM54" s="1428" t="str">
        <f t="shared" si="64"/>
        <v/>
      </c>
      <c r="AN54" s="470"/>
      <c r="AO54" s="470"/>
      <c r="AP54" s="470"/>
      <c r="AQ54" s="501">
        <f t="shared" si="65"/>
        <v>0</v>
      </c>
      <c r="AR54" s="501">
        <f t="shared" si="66"/>
        <v>0</v>
      </c>
      <c r="AS54" s="501">
        <f t="shared" si="67"/>
        <v>0</v>
      </c>
      <c r="AT54" s="501">
        <f t="shared" si="68"/>
        <v>0</v>
      </c>
    </row>
    <row r="55" spans="1:46" s="471" customFormat="1" ht="17.100000000000001" customHeight="1" x14ac:dyDescent="0.15">
      <c r="A55" s="2403" t="s">
        <v>759</v>
      </c>
      <c r="B55" s="2403"/>
      <c r="C55" s="2403"/>
      <c r="D55" s="2403"/>
      <c r="E55" s="2403"/>
      <c r="F55" s="2403"/>
      <c r="G55" s="2403"/>
      <c r="H55" s="2403"/>
      <c r="I55" s="2403"/>
      <c r="J55" s="2403"/>
      <c r="K55" s="2403"/>
      <c r="L55" s="2403"/>
      <c r="M55" s="2403"/>
      <c r="N55" s="2403"/>
      <c r="O55" s="2403"/>
      <c r="P55" s="2403"/>
      <c r="Q55" s="2403"/>
      <c r="AA55" s="470"/>
      <c r="AB55" s="470"/>
      <c r="AC55" s="470"/>
      <c r="AD55" s="470"/>
      <c r="AE55" s="470"/>
      <c r="AF55" s="470"/>
      <c r="AG55" s="470"/>
      <c r="AH55" s="470"/>
      <c r="AI55" s="470"/>
      <c r="AJ55" s="470"/>
      <c r="AK55" s="470"/>
      <c r="AL55" s="470"/>
    </row>
    <row r="56" spans="1:46" s="471" customFormat="1" ht="18" customHeight="1" x14ac:dyDescent="0.15">
      <c r="A56" s="2442" t="s">
        <v>760</v>
      </c>
      <c r="B56" s="2442"/>
      <c r="C56" s="2428" t="s">
        <v>49</v>
      </c>
      <c r="D56" s="2429"/>
      <c r="E56" s="2430"/>
      <c r="F56" s="2364" t="s">
        <v>750</v>
      </c>
      <c r="G56" s="2374"/>
      <c r="H56" s="2360"/>
      <c r="I56" s="2364" t="s">
        <v>751</v>
      </c>
      <c r="J56" s="2374"/>
      <c r="K56" s="2423"/>
      <c r="L56" s="2374" t="s">
        <v>722</v>
      </c>
      <c r="M56" s="2374"/>
      <c r="N56" s="2360"/>
      <c r="O56" s="2364" t="s">
        <v>52</v>
      </c>
      <c r="P56" s="2374"/>
      <c r="Q56" s="2360"/>
      <c r="X56" s="470"/>
      <c r="Y56" s="470"/>
      <c r="Z56" s="470"/>
      <c r="AA56" s="470"/>
      <c r="AB56" s="470"/>
      <c r="AC56" s="470"/>
      <c r="AD56" s="470"/>
      <c r="AE56" s="470"/>
      <c r="AF56" s="470"/>
      <c r="AG56" s="470"/>
      <c r="AH56" s="470"/>
      <c r="AI56" s="470"/>
      <c r="AJ56" s="470"/>
      <c r="AK56" s="470"/>
      <c r="AL56" s="470"/>
    </row>
    <row r="57" spans="1:46" s="471" customFormat="1" ht="27" customHeight="1" x14ac:dyDescent="0.15">
      <c r="A57" s="2442"/>
      <c r="B57" s="2442"/>
      <c r="C57" s="1367" t="s">
        <v>224</v>
      </c>
      <c r="D57" s="1367" t="s">
        <v>752</v>
      </c>
      <c r="E57" s="1376" t="s">
        <v>85</v>
      </c>
      <c r="F57" s="1367" t="s">
        <v>224</v>
      </c>
      <c r="G57" s="1367" t="s">
        <v>752</v>
      </c>
      <c r="H57" s="1376" t="s">
        <v>85</v>
      </c>
      <c r="I57" s="1367" t="s">
        <v>224</v>
      </c>
      <c r="J57" s="1367" t="s">
        <v>752</v>
      </c>
      <c r="K57" s="1368" t="s">
        <v>85</v>
      </c>
      <c r="L57" s="1376" t="s">
        <v>224</v>
      </c>
      <c r="M57" s="1367" t="s">
        <v>752</v>
      </c>
      <c r="N57" s="1366" t="s">
        <v>85</v>
      </c>
      <c r="O57" s="1470" t="s">
        <v>224</v>
      </c>
      <c r="P57" s="1367" t="s">
        <v>752</v>
      </c>
      <c r="Q57" s="1493" t="s">
        <v>85</v>
      </c>
      <c r="X57" s="470"/>
      <c r="Y57" s="470"/>
      <c r="Z57" s="470"/>
      <c r="AA57" s="470"/>
      <c r="AB57" s="470"/>
      <c r="AC57" s="470"/>
      <c r="AD57" s="470"/>
      <c r="AE57" s="470"/>
      <c r="AF57" s="470"/>
      <c r="AG57" s="470"/>
      <c r="AH57" s="470"/>
      <c r="AI57" s="470"/>
      <c r="AJ57" s="470"/>
      <c r="AK57" s="470"/>
      <c r="AL57" s="470"/>
    </row>
    <row r="58" spans="1:46" s="471" customFormat="1" ht="15" customHeight="1" x14ac:dyDescent="0.15">
      <c r="A58" s="2426" t="s">
        <v>761</v>
      </c>
      <c r="B58" s="2427"/>
      <c r="C58" s="1494">
        <f t="shared" ref="C58:C67" si="70">SUM(D58:E58)</f>
        <v>0</v>
      </c>
      <c r="D58" s="1495">
        <f>+G58+J58</f>
        <v>0</v>
      </c>
      <c r="E58" s="1496">
        <f t="shared" ref="E58:E67" si="71">+H58+K58</f>
        <v>0</v>
      </c>
      <c r="F58" s="1494">
        <f t="shared" ref="F58:F67" si="72">SUM(G58:H58)</f>
        <v>0</v>
      </c>
      <c r="G58" s="1480"/>
      <c r="H58" s="1409"/>
      <c r="I58" s="1494">
        <f t="shared" ref="I58:I67" si="73">SUM(J58:K58)</f>
        <v>0</v>
      </c>
      <c r="J58" s="1480"/>
      <c r="K58" s="1410"/>
      <c r="L58" s="1497">
        <f t="shared" ref="L58:L67" si="74">SUM(M58:N58)</f>
        <v>0</v>
      </c>
      <c r="M58" s="1480"/>
      <c r="N58" s="1409"/>
      <c r="O58" s="1496">
        <f t="shared" ref="O58:O67" si="75">SUM(P58:Q58)</f>
        <v>0</v>
      </c>
      <c r="P58" s="1480"/>
      <c r="Q58" s="1409"/>
      <c r="R58" s="471" t="str">
        <f t="shared" ref="R58:R67" si="76">AJ58&amp;AK58&amp;AL58&amp;AM58</f>
        <v/>
      </c>
      <c r="X58" s="470"/>
      <c r="Y58" s="470"/>
      <c r="Z58" s="470"/>
      <c r="AA58" s="470"/>
      <c r="AB58" s="470"/>
      <c r="AC58" s="470"/>
      <c r="AD58" s="470"/>
      <c r="AE58" s="470"/>
      <c r="AF58" s="470"/>
      <c r="AG58" s="470"/>
      <c r="AH58" s="470"/>
      <c r="AI58" s="470"/>
      <c r="AJ58" s="620" t="str">
        <f t="shared" ref="AJ58:AJ67" si="77">IF(AND(D58&gt;0,OR(M58=""))," * No olvide digitar la variable Pueblos Originarios Hombres. Digite Cero si no tiene.",IF(M58&gt;D58," * La variable Pueblos Originarios Hombres no puede ser Mayor al Total Hombres.",""))</f>
        <v/>
      </c>
      <c r="AK58" s="620" t="str">
        <f t="shared" ref="AK58:AK67" si="78">IF(AND(E58&gt;0,OR(N58=""))," * No olvide digitar la variable Pueblos Originarios Mujeres. Digite Cero si no tiene.",IF(N58&gt;E58," * La variable Pueblos Originarios Mujeres no puede ser Mayor al Total Mujeres.",""))</f>
        <v/>
      </c>
      <c r="AL58" s="620" t="str">
        <f t="shared" ref="AL58:AL67" si="79">IF(AND($D58&gt;0,OR(P58=""))," * No olvide digitar la variable Migrantes Hombres. Digite Cero si no tiene.",IF(P58&gt;$D58," * La variable Migrantes Hombres no puede ser Mayor al Total Hombres.",""))</f>
        <v/>
      </c>
      <c r="AM58" s="1428" t="str">
        <f t="shared" ref="AM58:AM67" si="80">IF(AND($E58&gt;0,OR(Q58=""))," * No olvide digitar la variable Migrantes Mujeres. Digite Cero si no tiene.",IF(Q58&gt;$E58," * La variable Migrantes Mujeres no puede ser Mayor al Total Mujeres.",""))</f>
        <v/>
      </c>
      <c r="AN58" s="470"/>
      <c r="AO58" s="470"/>
      <c r="AP58" s="470"/>
      <c r="AQ58" s="501">
        <f t="shared" ref="AQ58:AQ67" si="81">IF(AND($D58&gt;0,OR(M58="")),1,IF(M58&gt;$D58,1,0))</f>
        <v>0</v>
      </c>
      <c r="AR58" s="501">
        <f t="shared" ref="AR58:AR67" si="82">IF(AND($E58&gt;0,OR(N58="")),1,IF(N58&gt;$E58,1,0))</f>
        <v>0</v>
      </c>
      <c r="AS58" s="501">
        <f t="shared" ref="AS58:AS67" si="83">IF(AND($D58&gt;0,OR(P58="")),1,IF(P58&gt;$D58,1,0))</f>
        <v>0</v>
      </c>
      <c r="AT58" s="501">
        <f t="shared" ref="AT58:AT67" si="84">IF(AND($E58&gt;0,OR(Q58="")),1,IF(Q58&gt;$E58,1,0))</f>
        <v>0</v>
      </c>
    </row>
    <row r="59" spans="1:46" s="471" customFormat="1" ht="15" customHeight="1" x14ac:dyDescent="0.15">
      <c r="A59" s="1966" t="s">
        <v>762</v>
      </c>
      <c r="B59" s="1967"/>
      <c r="C59" s="1498">
        <f t="shared" si="70"/>
        <v>0</v>
      </c>
      <c r="D59" s="1499">
        <f t="shared" ref="D59:D67" si="85">+G59+J59</f>
        <v>0</v>
      </c>
      <c r="E59" s="1455">
        <f>+H59+K59</f>
        <v>0</v>
      </c>
      <c r="F59" s="1498">
        <f t="shared" si="72"/>
        <v>0</v>
      </c>
      <c r="G59" s="1480"/>
      <c r="H59" s="1409"/>
      <c r="I59" s="1479">
        <f t="shared" si="73"/>
        <v>0</v>
      </c>
      <c r="J59" s="1480"/>
      <c r="K59" s="1410"/>
      <c r="L59" s="1482">
        <f t="shared" si="74"/>
        <v>0</v>
      </c>
      <c r="M59" s="1480"/>
      <c r="N59" s="1409"/>
      <c r="O59" s="1477">
        <f t="shared" si="75"/>
        <v>0</v>
      </c>
      <c r="P59" s="1480"/>
      <c r="Q59" s="1409"/>
      <c r="R59" s="471" t="str">
        <f t="shared" si="76"/>
        <v/>
      </c>
      <c r="X59" s="470"/>
      <c r="Y59" s="470"/>
      <c r="Z59" s="470"/>
      <c r="AA59" s="470"/>
      <c r="AB59" s="470"/>
      <c r="AC59" s="470"/>
      <c r="AD59" s="470"/>
      <c r="AE59" s="470"/>
      <c r="AF59" s="470"/>
      <c r="AG59" s="470"/>
      <c r="AH59" s="470"/>
      <c r="AI59" s="470"/>
      <c r="AJ59" s="620" t="str">
        <f t="shared" si="77"/>
        <v/>
      </c>
      <c r="AK59" s="620" t="str">
        <f t="shared" si="78"/>
        <v/>
      </c>
      <c r="AL59" s="620" t="str">
        <f t="shared" si="79"/>
        <v/>
      </c>
      <c r="AM59" s="1428" t="str">
        <f t="shared" si="80"/>
        <v/>
      </c>
      <c r="AN59" s="470"/>
      <c r="AO59" s="470"/>
      <c r="AP59" s="470"/>
      <c r="AQ59" s="501">
        <f t="shared" si="81"/>
        <v>0</v>
      </c>
      <c r="AR59" s="501">
        <f t="shared" si="82"/>
        <v>0</v>
      </c>
      <c r="AS59" s="501">
        <f t="shared" si="83"/>
        <v>0</v>
      </c>
      <c r="AT59" s="501">
        <f t="shared" si="84"/>
        <v>0</v>
      </c>
    </row>
    <row r="60" spans="1:46" s="471" customFormat="1" ht="15" customHeight="1" x14ac:dyDescent="0.15">
      <c r="A60" s="1966" t="s">
        <v>763</v>
      </c>
      <c r="B60" s="1967"/>
      <c r="C60" s="1455">
        <f t="shared" si="70"/>
        <v>0</v>
      </c>
      <c r="D60" s="1499">
        <f t="shared" si="85"/>
        <v>0</v>
      </c>
      <c r="E60" s="1455">
        <f t="shared" si="71"/>
        <v>0</v>
      </c>
      <c r="F60" s="1455">
        <f t="shared" si="72"/>
        <v>0</v>
      </c>
      <c r="G60" s="1480"/>
      <c r="H60" s="1409"/>
      <c r="I60" s="1479">
        <f t="shared" si="73"/>
        <v>0</v>
      </c>
      <c r="J60" s="1480"/>
      <c r="K60" s="1410"/>
      <c r="L60" s="1482">
        <f t="shared" si="74"/>
        <v>0</v>
      </c>
      <c r="M60" s="1480"/>
      <c r="N60" s="1409"/>
      <c r="O60" s="1477">
        <f t="shared" si="75"/>
        <v>0</v>
      </c>
      <c r="P60" s="1480"/>
      <c r="Q60" s="1409"/>
      <c r="R60" s="471" t="str">
        <f t="shared" si="76"/>
        <v/>
      </c>
      <c r="X60" s="470"/>
      <c r="Y60" s="470"/>
      <c r="Z60" s="470"/>
      <c r="AA60" s="470"/>
      <c r="AB60" s="470"/>
      <c r="AC60" s="470"/>
      <c r="AD60" s="470"/>
      <c r="AE60" s="470"/>
      <c r="AF60" s="470"/>
      <c r="AG60" s="470"/>
      <c r="AH60" s="470"/>
      <c r="AI60" s="470"/>
      <c r="AJ60" s="620" t="str">
        <f t="shared" si="77"/>
        <v/>
      </c>
      <c r="AK60" s="620" t="str">
        <f t="shared" si="78"/>
        <v/>
      </c>
      <c r="AL60" s="620" t="str">
        <f t="shared" si="79"/>
        <v/>
      </c>
      <c r="AM60" s="1428" t="str">
        <f t="shared" si="80"/>
        <v/>
      </c>
      <c r="AN60" s="470"/>
      <c r="AO60" s="470"/>
      <c r="AP60" s="470"/>
      <c r="AQ60" s="501">
        <f t="shared" si="81"/>
        <v>0</v>
      </c>
      <c r="AR60" s="501">
        <f t="shared" si="82"/>
        <v>0</v>
      </c>
      <c r="AS60" s="501">
        <f t="shared" si="83"/>
        <v>0</v>
      </c>
      <c r="AT60" s="501">
        <f t="shared" si="84"/>
        <v>0</v>
      </c>
    </row>
    <row r="61" spans="1:46" s="471" customFormat="1" ht="15" customHeight="1" x14ac:dyDescent="0.15">
      <c r="A61" s="1966" t="s">
        <v>764</v>
      </c>
      <c r="B61" s="1967"/>
      <c r="C61" s="1455">
        <f t="shared" si="70"/>
        <v>0</v>
      </c>
      <c r="D61" s="1499">
        <f t="shared" si="85"/>
        <v>0</v>
      </c>
      <c r="E61" s="1455">
        <f t="shared" si="71"/>
        <v>0</v>
      </c>
      <c r="F61" s="1455">
        <f t="shared" si="72"/>
        <v>0</v>
      </c>
      <c r="G61" s="1480"/>
      <c r="H61" s="1409"/>
      <c r="I61" s="1479">
        <f>SUM(J61:K61)</f>
        <v>0</v>
      </c>
      <c r="J61" s="1480"/>
      <c r="K61" s="1410"/>
      <c r="L61" s="1482">
        <f t="shared" si="74"/>
        <v>0</v>
      </c>
      <c r="M61" s="1480"/>
      <c r="N61" s="1409"/>
      <c r="O61" s="1477">
        <f t="shared" si="75"/>
        <v>0</v>
      </c>
      <c r="P61" s="1480"/>
      <c r="Q61" s="1409"/>
      <c r="R61" s="471" t="str">
        <f t="shared" si="76"/>
        <v/>
      </c>
      <c r="X61" s="470"/>
      <c r="Y61" s="470"/>
      <c r="Z61" s="470"/>
      <c r="AA61" s="470"/>
      <c r="AB61" s="470"/>
      <c r="AC61" s="470"/>
      <c r="AD61" s="470"/>
      <c r="AE61" s="470"/>
      <c r="AF61" s="470"/>
      <c r="AG61" s="470"/>
      <c r="AH61" s="470"/>
      <c r="AI61" s="470"/>
      <c r="AJ61" s="620" t="str">
        <f t="shared" si="77"/>
        <v/>
      </c>
      <c r="AK61" s="620" t="str">
        <f t="shared" si="78"/>
        <v/>
      </c>
      <c r="AL61" s="620" t="str">
        <f t="shared" si="79"/>
        <v/>
      </c>
      <c r="AM61" s="1428" t="str">
        <f t="shared" si="80"/>
        <v/>
      </c>
      <c r="AN61" s="470"/>
      <c r="AO61" s="470"/>
      <c r="AP61" s="470"/>
      <c r="AQ61" s="501">
        <f t="shared" si="81"/>
        <v>0</v>
      </c>
      <c r="AR61" s="501">
        <f t="shared" si="82"/>
        <v>0</v>
      </c>
      <c r="AS61" s="501">
        <f t="shared" si="83"/>
        <v>0</v>
      </c>
      <c r="AT61" s="501">
        <f t="shared" si="84"/>
        <v>0</v>
      </c>
    </row>
    <row r="62" spans="1:46" s="471" customFormat="1" ht="15" customHeight="1" x14ac:dyDescent="0.15">
      <c r="A62" s="1966" t="s">
        <v>765</v>
      </c>
      <c r="B62" s="1967"/>
      <c r="C62" s="1455">
        <f>SUM(D62:E62)</f>
        <v>0</v>
      </c>
      <c r="D62" s="1499">
        <f t="shared" ref="D62" si="86">+G62+J62</f>
        <v>0</v>
      </c>
      <c r="E62" s="1455">
        <f t="shared" ref="E62" si="87">+H62+K62</f>
        <v>0</v>
      </c>
      <c r="F62" s="1455">
        <f>SUM(G62:H62)</f>
        <v>0</v>
      </c>
      <c r="G62" s="1480"/>
      <c r="H62" s="1409"/>
      <c r="I62" s="1479">
        <f>SUM(J62:K62)</f>
        <v>0</v>
      </c>
      <c r="J62" s="1480"/>
      <c r="K62" s="1410"/>
      <c r="L62" s="1482">
        <f>SUM(M62:N62)</f>
        <v>0</v>
      </c>
      <c r="M62" s="1480"/>
      <c r="N62" s="1409"/>
      <c r="O62" s="1477">
        <f>SUM(P62:Q62)</f>
        <v>0</v>
      </c>
      <c r="P62" s="1480"/>
      <c r="Q62" s="1409"/>
      <c r="R62" s="471" t="str">
        <f t="shared" si="76"/>
        <v/>
      </c>
      <c r="X62" s="470"/>
      <c r="Y62" s="470"/>
      <c r="Z62" s="470"/>
      <c r="AA62" s="470"/>
      <c r="AB62" s="470"/>
      <c r="AC62" s="470"/>
      <c r="AD62" s="470"/>
      <c r="AE62" s="470"/>
      <c r="AF62" s="470"/>
      <c r="AG62" s="470"/>
      <c r="AH62" s="470"/>
      <c r="AI62" s="470"/>
      <c r="AJ62" s="620" t="str">
        <f t="shared" si="77"/>
        <v/>
      </c>
      <c r="AK62" s="620" t="str">
        <f t="shared" si="78"/>
        <v/>
      </c>
      <c r="AL62" s="620" t="str">
        <f t="shared" si="79"/>
        <v/>
      </c>
      <c r="AM62" s="1428" t="str">
        <f t="shared" si="80"/>
        <v/>
      </c>
      <c r="AN62" s="470"/>
      <c r="AO62" s="470"/>
      <c r="AP62" s="470"/>
      <c r="AQ62" s="501">
        <f t="shared" si="81"/>
        <v>0</v>
      </c>
      <c r="AR62" s="501">
        <f t="shared" si="82"/>
        <v>0</v>
      </c>
      <c r="AS62" s="501">
        <f t="shared" si="83"/>
        <v>0</v>
      </c>
      <c r="AT62" s="501">
        <f t="shared" si="84"/>
        <v>0</v>
      </c>
    </row>
    <row r="63" spans="1:46" s="471" customFormat="1" ht="15" customHeight="1" x14ac:dyDescent="0.15">
      <c r="A63" s="1966" t="s">
        <v>766</v>
      </c>
      <c r="B63" s="1967"/>
      <c r="C63" s="1455">
        <f t="shared" si="70"/>
        <v>0</v>
      </c>
      <c r="D63" s="1499">
        <f t="shared" si="85"/>
        <v>0</v>
      </c>
      <c r="E63" s="1455">
        <f t="shared" si="71"/>
        <v>0</v>
      </c>
      <c r="F63" s="1455">
        <f t="shared" si="72"/>
        <v>0</v>
      </c>
      <c r="G63" s="1480"/>
      <c r="H63" s="1409"/>
      <c r="I63" s="1479">
        <f t="shared" si="73"/>
        <v>0</v>
      </c>
      <c r="J63" s="1480"/>
      <c r="K63" s="1410"/>
      <c r="L63" s="1482">
        <f t="shared" si="74"/>
        <v>0</v>
      </c>
      <c r="M63" s="1480"/>
      <c r="N63" s="1409"/>
      <c r="O63" s="1477">
        <f t="shared" si="75"/>
        <v>0</v>
      </c>
      <c r="P63" s="1480"/>
      <c r="Q63" s="1409"/>
      <c r="R63" s="471" t="str">
        <f t="shared" si="76"/>
        <v/>
      </c>
      <c r="X63" s="470"/>
      <c r="Y63" s="470"/>
      <c r="Z63" s="470"/>
      <c r="AA63" s="470"/>
      <c r="AB63" s="470"/>
      <c r="AC63" s="470"/>
      <c r="AD63" s="470"/>
      <c r="AE63" s="470"/>
      <c r="AF63" s="470"/>
      <c r="AG63" s="470"/>
      <c r="AH63" s="470"/>
      <c r="AI63" s="470"/>
      <c r="AJ63" s="620" t="str">
        <f t="shared" si="77"/>
        <v/>
      </c>
      <c r="AK63" s="620" t="str">
        <f t="shared" si="78"/>
        <v/>
      </c>
      <c r="AL63" s="620" t="str">
        <f t="shared" si="79"/>
        <v/>
      </c>
      <c r="AM63" s="1428" t="str">
        <f t="shared" si="80"/>
        <v/>
      </c>
      <c r="AN63" s="470"/>
      <c r="AO63" s="470"/>
      <c r="AP63" s="470"/>
      <c r="AQ63" s="501">
        <f t="shared" si="81"/>
        <v>0</v>
      </c>
      <c r="AR63" s="501">
        <f t="shared" si="82"/>
        <v>0</v>
      </c>
      <c r="AS63" s="501">
        <f t="shared" si="83"/>
        <v>0</v>
      </c>
      <c r="AT63" s="501">
        <f t="shared" si="84"/>
        <v>0</v>
      </c>
    </row>
    <row r="64" spans="1:46" s="471" customFormat="1" ht="15" customHeight="1" x14ac:dyDescent="0.15">
      <c r="A64" s="2404" t="s">
        <v>767</v>
      </c>
      <c r="B64" s="2405"/>
      <c r="C64" s="1479">
        <f t="shared" si="70"/>
        <v>0</v>
      </c>
      <c r="D64" s="1478">
        <f t="shared" si="85"/>
        <v>0</v>
      </c>
      <c r="E64" s="1477">
        <f t="shared" si="71"/>
        <v>0</v>
      </c>
      <c r="F64" s="1479">
        <f t="shared" si="72"/>
        <v>0</v>
      </c>
      <c r="G64" s="1480"/>
      <c r="H64" s="1409"/>
      <c r="I64" s="1479">
        <f t="shared" si="73"/>
        <v>0</v>
      </c>
      <c r="J64" s="1480"/>
      <c r="K64" s="1410"/>
      <c r="L64" s="1482">
        <f t="shared" si="74"/>
        <v>0</v>
      </c>
      <c r="M64" s="1480"/>
      <c r="N64" s="1409"/>
      <c r="O64" s="1477">
        <f t="shared" si="75"/>
        <v>0</v>
      </c>
      <c r="P64" s="1480"/>
      <c r="Q64" s="1409"/>
      <c r="R64" s="471" t="str">
        <f t="shared" si="76"/>
        <v/>
      </c>
      <c r="X64" s="470"/>
      <c r="Y64" s="470"/>
      <c r="Z64" s="470"/>
      <c r="AA64" s="470"/>
      <c r="AB64" s="470"/>
      <c r="AC64" s="470"/>
      <c r="AD64" s="470"/>
      <c r="AE64" s="470"/>
      <c r="AF64" s="470"/>
      <c r="AG64" s="470"/>
      <c r="AH64" s="470"/>
      <c r="AI64" s="470"/>
      <c r="AJ64" s="620" t="str">
        <f t="shared" si="77"/>
        <v/>
      </c>
      <c r="AK64" s="620" t="str">
        <f t="shared" si="78"/>
        <v/>
      </c>
      <c r="AL64" s="620" t="str">
        <f t="shared" si="79"/>
        <v/>
      </c>
      <c r="AM64" s="1428" t="str">
        <f t="shared" si="80"/>
        <v/>
      </c>
      <c r="AN64" s="470"/>
      <c r="AO64" s="470"/>
      <c r="AP64" s="470"/>
      <c r="AQ64" s="501">
        <f t="shared" si="81"/>
        <v>0</v>
      </c>
      <c r="AR64" s="501">
        <f t="shared" si="82"/>
        <v>0</v>
      </c>
      <c r="AS64" s="501">
        <f t="shared" si="83"/>
        <v>0</v>
      </c>
      <c r="AT64" s="501">
        <f t="shared" si="84"/>
        <v>0</v>
      </c>
    </row>
    <row r="65" spans="1:46" s="471" customFormat="1" ht="15" customHeight="1" x14ac:dyDescent="0.15">
      <c r="A65" s="2404" t="s">
        <v>768</v>
      </c>
      <c r="B65" s="2405"/>
      <c r="C65" s="1479">
        <f t="shared" si="70"/>
        <v>0</v>
      </c>
      <c r="D65" s="1478">
        <f t="shared" si="85"/>
        <v>0</v>
      </c>
      <c r="E65" s="1477">
        <f t="shared" si="71"/>
        <v>0</v>
      </c>
      <c r="F65" s="1479">
        <f t="shared" si="72"/>
        <v>0</v>
      </c>
      <c r="G65" s="1500"/>
      <c r="H65" s="1390"/>
      <c r="I65" s="1479">
        <f t="shared" si="73"/>
        <v>0</v>
      </c>
      <c r="J65" s="1500"/>
      <c r="K65" s="1453"/>
      <c r="L65" s="1482">
        <f t="shared" si="74"/>
        <v>0</v>
      </c>
      <c r="M65" s="1500"/>
      <c r="N65" s="1390"/>
      <c r="O65" s="1477">
        <f t="shared" si="75"/>
        <v>0</v>
      </c>
      <c r="P65" s="1500"/>
      <c r="Q65" s="1390"/>
      <c r="R65" s="471" t="str">
        <f t="shared" si="76"/>
        <v/>
      </c>
      <c r="X65" s="470"/>
      <c r="Y65" s="470"/>
      <c r="Z65" s="470"/>
      <c r="AA65" s="470"/>
      <c r="AB65" s="470"/>
      <c r="AC65" s="470"/>
      <c r="AD65" s="470"/>
      <c r="AE65" s="470"/>
      <c r="AF65" s="470"/>
      <c r="AG65" s="470"/>
      <c r="AH65" s="470"/>
      <c r="AI65" s="470"/>
      <c r="AJ65" s="620" t="str">
        <f t="shared" si="77"/>
        <v/>
      </c>
      <c r="AK65" s="620" t="str">
        <f t="shared" si="78"/>
        <v/>
      </c>
      <c r="AL65" s="620" t="str">
        <f t="shared" si="79"/>
        <v/>
      </c>
      <c r="AM65" s="1428" t="str">
        <f t="shared" si="80"/>
        <v/>
      </c>
      <c r="AN65" s="470"/>
      <c r="AO65" s="470"/>
      <c r="AP65" s="470"/>
      <c r="AQ65" s="501">
        <f t="shared" si="81"/>
        <v>0</v>
      </c>
      <c r="AR65" s="501">
        <f t="shared" si="82"/>
        <v>0</v>
      </c>
      <c r="AS65" s="501">
        <f t="shared" si="83"/>
        <v>0</v>
      </c>
      <c r="AT65" s="501">
        <f t="shared" si="84"/>
        <v>0</v>
      </c>
    </row>
    <row r="66" spans="1:46" s="471" customFormat="1" ht="15" customHeight="1" x14ac:dyDescent="0.15">
      <c r="A66" s="2404" t="s">
        <v>769</v>
      </c>
      <c r="B66" s="2405"/>
      <c r="C66" s="1479">
        <f t="shared" si="70"/>
        <v>0</v>
      </c>
      <c r="D66" s="1478">
        <f>+G66+J66</f>
        <v>0</v>
      </c>
      <c r="E66" s="1477">
        <f t="shared" si="71"/>
        <v>0</v>
      </c>
      <c r="F66" s="1479">
        <f t="shared" si="72"/>
        <v>0</v>
      </c>
      <c r="G66" s="1500"/>
      <c r="H66" s="1390"/>
      <c r="I66" s="1479">
        <f t="shared" si="73"/>
        <v>0</v>
      </c>
      <c r="J66" s="1500"/>
      <c r="K66" s="1453"/>
      <c r="L66" s="1482">
        <f t="shared" si="74"/>
        <v>0</v>
      </c>
      <c r="M66" s="1500"/>
      <c r="N66" s="1390"/>
      <c r="O66" s="1477">
        <f t="shared" si="75"/>
        <v>0</v>
      </c>
      <c r="P66" s="1500"/>
      <c r="Q66" s="1390"/>
      <c r="R66" s="471" t="str">
        <f t="shared" si="76"/>
        <v/>
      </c>
      <c r="X66" s="470"/>
      <c r="Y66" s="470"/>
      <c r="Z66" s="470"/>
      <c r="AA66" s="470"/>
      <c r="AB66" s="470"/>
      <c r="AC66" s="470"/>
      <c r="AD66" s="470"/>
      <c r="AE66" s="470"/>
      <c r="AF66" s="470"/>
      <c r="AG66" s="470"/>
      <c r="AH66" s="470"/>
      <c r="AI66" s="470"/>
      <c r="AJ66" s="620" t="str">
        <f t="shared" si="77"/>
        <v/>
      </c>
      <c r="AK66" s="620" t="str">
        <f t="shared" si="78"/>
        <v/>
      </c>
      <c r="AL66" s="620" t="str">
        <f t="shared" si="79"/>
        <v/>
      </c>
      <c r="AM66" s="1428" t="str">
        <f t="shared" si="80"/>
        <v/>
      </c>
      <c r="AN66" s="470"/>
      <c r="AO66" s="470"/>
      <c r="AP66" s="470"/>
      <c r="AQ66" s="501">
        <f t="shared" si="81"/>
        <v>0</v>
      </c>
      <c r="AR66" s="501">
        <f t="shared" si="82"/>
        <v>0</v>
      </c>
      <c r="AS66" s="501">
        <f t="shared" si="83"/>
        <v>0</v>
      </c>
      <c r="AT66" s="501">
        <f t="shared" si="84"/>
        <v>0</v>
      </c>
    </row>
    <row r="67" spans="1:46" s="471" customFormat="1" ht="15" customHeight="1" x14ac:dyDescent="0.15">
      <c r="A67" s="2424" t="s">
        <v>770</v>
      </c>
      <c r="B67" s="2425"/>
      <c r="C67" s="1501">
        <f t="shared" si="70"/>
        <v>0</v>
      </c>
      <c r="D67" s="1502">
        <f t="shared" si="85"/>
        <v>0</v>
      </c>
      <c r="E67" s="1503">
        <f t="shared" si="71"/>
        <v>0</v>
      </c>
      <c r="F67" s="1501">
        <f t="shared" si="72"/>
        <v>0</v>
      </c>
      <c r="G67" s="1504"/>
      <c r="H67" s="1490"/>
      <c r="I67" s="1501">
        <f t="shared" si="73"/>
        <v>0</v>
      </c>
      <c r="J67" s="1489"/>
      <c r="K67" s="1505"/>
      <c r="L67" s="1506">
        <f t="shared" si="74"/>
        <v>0</v>
      </c>
      <c r="M67" s="1489"/>
      <c r="N67" s="1490"/>
      <c r="O67" s="1503">
        <f t="shared" si="75"/>
        <v>0</v>
      </c>
      <c r="P67" s="1489"/>
      <c r="Q67" s="1490"/>
      <c r="R67" s="471" t="str">
        <f t="shared" si="76"/>
        <v/>
      </c>
      <c r="X67" s="470"/>
      <c r="Y67" s="470"/>
      <c r="Z67" s="470"/>
      <c r="AA67" s="470"/>
      <c r="AB67" s="470"/>
      <c r="AC67" s="470"/>
      <c r="AD67" s="470"/>
      <c r="AE67" s="470"/>
      <c r="AF67" s="470"/>
      <c r="AG67" s="470"/>
      <c r="AH67" s="470"/>
      <c r="AI67" s="470"/>
      <c r="AJ67" s="620" t="str">
        <f t="shared" si="77"/>
        <v/>
      </c>
      <c r="AK67" s="620" t="str">
        <f t="shared" si="78"/>
        <v/>
      </c>
      <c r="AL67" s="620" t="str">
        <f t="shared" si="79"/>
        <v/>
      </c>
      <c r="AM67" s="1428" t="str">
        <f t="shared" si="80"/>
        <v/>
      </c>
      <c r="AN67" s="470"/>
      <c r="AO67" s="470"/>
      <c r="AP67" s="470"/>
      <c r="AQ67" s="501">
        <f t="shared" si="81"/>
        <v>0</v>
      </c>
      <c r="AR67" s="501">
        <f t="shared" si="82"/>
        <v>0</v>
      </c>
      <c r="AS67" s="501">
        <f t="shared" si="83"/>
        <v>0</v>
      </c>
      <c r="AT67" s="501">
        <f t="shared" si="84"/>
        <v>0</v>
      </c>
    </row>
    <row r="68" spans="1:46" s="471" customFormat="1" ht="17.100000000000001" customHeight="1" x14ac:dyDescent="0.15">
      <c r="A68" s="2403" t="s">
        <v>771</v>
      </c>
      <c r="B68" s="2403"/>
      <c r="C68" s="2403"/>
      <c r="D68" s="2403"/>
      <c r="E68" s="2403"/>
      <c r="F68" s="2403"/>
      <c r="G68" s="2403"/>
      <c r="H68" s="2403"/>
      <c r="I68" s="2403"/>
      <c r="J68" s="2403"/>
      <c r="K68" s="2403"/>
      <c r="L68" s="2403"/>
      <c r="M68" s="2403"/>
      <c r="N68" s="2403"/>
      <c r="O68" s="2403"/>
      <c r="P68" s="2403"/>
      <c r="Q68" s="2403"/>
      <c r="AA68" s="470"/>
      <c r="AB68" s="470"/>
      <c r="AC68" s="470"/>
      <c r="AD68" s="470"/>
      <c r="AE68" s="470"/>
      <c r="AF68" s="470"/>
      <c r="AG68" s="470"/>
      <c r="AH68" s="470"/>
      <c r="AI68" s="470"/>
      <c r="AJ68" s="470"/>
      <c r="AK68" s="470"/>
      <c r="AL68" s="470"/>
    </row>
    <row r="69" spans="1:46" s="471" customFormat="1" ht="17.25" customHeight="1" x14ac:dyDescent="0.15">
      <c r="A69" s="2397" t="s">
        <v>772</v>
      </c>
      <c r="B69" s="2398"/>
      <c r="C69" s="2414" t="s">
        <v>49</v>
      </c>
      <c r="D69" s="2415"/>
      <c r="E69" s="2416"/>
      <c r="F69" s="2394" t="s">
        <v>773</v>
      </c>
      <c r="G69" s="2395"/>
      <c r="H69" s="2396"/>
      <c r="I69" s="2394" t="s">
        <v>774</v>
      </c>
      <c r="J69" s="2395"/>
      <c r="K69" s="2417"/>
      <c r="L69" s="2395" t="s">
        <v>722</v>
      </c>
      <c r="M69" s="2395"/>
      <c r="N69" s="2396"/>
      <c r="O69" s="2394" t="s">
        <v>52</v>
      </c>
      <c r="P69" s="2395"/>
      <c r="Q69" s="2396"/>
      <c r="X69" s="470"/>
      <c r="Y69" s="470"/>
      <c r="Z69" s="470"/>
      <c r="AA69" s="470"/>
      <c r="AB69" s="470"/>
      <c r="AC69" s="470"/>
      <c r="AD69" s="470"/>
      <c r="AE69" s="470"/>
      <c r="AF69" s="470"/>
      <c r="AG69" s="470"/>
      <c r="AH69" s="470"/>
      <c r="AI69" s="470"/>
      <c r="AJ69" s="470"/>
      <c r="AK69" s="470"/>
      <c r="AL69" s="470"/>
    </row>
    <row r="70" spans="1:46" s="471" customFormat="1" ht="29.25" customHeight="1" x14ac:dyDescent="0.15">
      <c r="A70" s="2399"/>
      <c r="B70" s="2400"/>
      <c r="C70" s="1367" t="s">
        <v>224</v>
      </c>
      <c r="D70" s="1367" t="s">
        <v>752</v>
      </c>
      <c r="E70" s="1493" t="s">
        <v>85</v>
      </c>
      <c r="F70" s="1367" t="s">
        <v>224</v>
      </c>
      <c r="G70" s="1367" t="s">
        <v>752</v>
      </c>
      <c r="H70" s="1493" t="s">
        <v>85</v>
      </c>
      <c r="I70" s="1367" t="s">
        <v>224</v>
      </c>
      <c r="J70" s="1367" t="s">
        <v>752</v>
      </c>
      <c r="K70" s="1507" t="s">
        <v>85</v>
      </c>
      <c r="L70" s="1376" t="s">
        <v>224</v>
      </c>
      <c r="M70" s="1367" t="s">
        <v>752</v>
      </c>
      <c r="N70" s="1493" t="s">
        <v>85</v>
      </c>
      <c r="O70" s="1367" t="s">
        <v>224</v>
      </c>
      <c r="P70" s="1367" t="s">
        <v>752</v>
      </c>
      <c r="Q70" s="1493" t="s">
        <v>85</v>
      </c>
      <c r="X70" s="470"/>
      <c r="Y70" s="470"/>
      <c r="Z70" s="470"/>
      <c r="AA70" s="470"/>
      <c r="AB70" s="470"/>
      <c r="AC70" s="470"/>
      <c r="AD70" s="470"/>
      <c r="AE70" s="470"/>
      <c r="AF70" s="470"/>
      <c r="AG70" s="470"/>
      <c r="AH70" s="470"/>
      <c r="AI70" s="470"/>
      <c r="AJ70" s="470"/>
      <c r="AK70" s="470"/>
      <c r="AL70" s="470"/>
    </row>
    <row r="71" spans="1:46" s="471" customFormat="1" ht="15" customHeight="1" x14ac:dyDescent="0.15">
      <c r="A71" s="2426" t="s">
        <v>775</v>
      </c>
      <c r="B71" s="2427"/>
      <c r="C71" s="1496">
        <f>SUM(D71:E71)</f>
        <v>0</v>
      </c>
      <c r="D71" s="1495">
        <f>+G71+J71</f>
        <v>0</v>
      </c>
      <c r="E71" s="1496">
        <f>+H71+K71</f>
        <v>0</v>
      </c>
      <c r="F71" s="1455">
        <f>SUM(G71:H71)</f>
        <v>0</v>
      </c>
      <c r="G71" s="1408"/>
      <c r="H71" s="1409"/>
      <c r="I71" s="1455">
        <f>SUM(J71:K71)</f>
        <v>0</v>
      </c>
      <c r="J71" s="1408"/>
      <c r="K71" s="1410"/>
      <c r="L71" s="1431">
        <f>SUM(M71:N71)</f>
        <v>0</v>
      </c>
      <c r="M71" s="1408"/>
      <c r="N71" s="1409"/>
      <c r="O71" s="1432">
        <f>SUM(P71:Q71)</f>
        <v>0</v>
      </c>
      <c r="P71" s="1408"/>
      <c r="Q71" s="1409"/>
      <c r="R71" s="471" t="str">
        <f t="shared" ref="R71:R78" si="88">AJ71&amp;AK71&amp;AL71&amp;AM71</f>
        <v/>
      </c>
      <c r="X71" s="470"/>
      <c r="Y71" s="470"/>
      <c r="Z71" s="470"/>
      <c r="AA71" s="470"/>
      <c r="AB71" s="470"/>
      <c r="AC71" s="470"/>
      <c r="AD71" s="470"/>
      <c r="AE71" s="470"/>
      <c r="AF71" s="470"/>
      <c r="AG71" s="470"/>
      <c r="AH71" s="470"/>
      <c r="AI71" s="470"/>
      <c r="AJ71" s="620" t="str">
        <f t="shared" ref="AJ71:AJ78" si="89">IF(AND(D71&gt;0,OR(M71=""))," * No olvide digitar la variable Pueblos Originarios Hombres. Digite Cero si no tiene.",IF(M71&gt;D71," * La variable Pueblos Originarios Hombres no puede ser Mayor al Total Hombres.",""))</f>
        <v/>
      </c>
      <c r="AK71" s="620" t="str">
        <f t="shared" ref="AK71:AK78" si="90">IF(AND(E71&gt;0,OR(N71=""))," * No olvide digitar la variable Pueblos Originarios Mujeres. Digite Cero si no tiene.",IF(N71&gt;E71," * La variable Pueblos Originarios Mujeres no puede ser Mayor al Total Mujeres.",""))</f>
        <v/>
      </c>
      <c r="AL71" s="620" t="str">
        <f t="shared" ref="AL71:AL78" si="91">IF(AND($D71&gt;0,OR(P71=""))," * No olvide digitar la variable Migrantes Hombres. Digite Cero si no tiene.",IF(P71&gt;$D71," * La variable Migrantes Hombres no puede ser Mayor al Total Hombres.",""))</f>
        <v/>
      </c>
      <c r="AM71" s="1428" t="str">
        <f t="shared" ref="AM71:AM78" si="92">IF(AND($E71&gt;0,OR(Q71=""))," * No olvide digitar la variable Migrantes Mujeres. Digite Cero si no tiene.",IF(Q71&gt;$E71," * La variable Migrantes Mujeres no puede ser Mayor al Total Mujeres.",""))</f>
        <v/>
      </c>
      <c r="AN71" s="470"/>
      <c r="AO71" s="470"/>
      <c r="AP71" s="470"/>
      <c r="AQ71" s="501">
        <f t="shared" ref="AQ71:AQ78" si="93">IF(AND($D71&gt;0,OR(M71="")),1,IF(M71&gt;$D71,1,0))</f>
        <v>0</v>
      </c>
      <c r="AR71" s="501">
        <f t="shared" ref="AR71:AR78" si="94">IF(AND($E71&gt;0,OR(N71="")),1,IF(N71&gt;$E71,1,0))</f>
        <v>0</v>
      </c>
      <c r="AS71" s="501">
        <f t="shared" ref="AS71:AS78" si="95">IF(AND($D71&gt;0,OR(P71="")),1,IF(P71&gt;$D71,1,0))</f>
        <v>0</v>
      </c>
      <c r="AT71" s="501">
        <f t="shared" ref="AT71:AT78" si="96">IF(AND($E71&gt;0,OR(Q71="")),1,IF(Q71&gt;$E71,1,0))</f>
        <v>0</v>
      </c>
    </row>
    <row r="72" spans="1:46" s="471" customFormat="1" ht="15" customHeight="1" x14ac:dyDescent="0.15">
      <c r="A72" s="2404" t="s">
        <v>776</v>
      </c>
      <c r="B72" s="2405"/>
      <c r="C72" s="1477">
        <f t="shared" ref="C72:C75" si="97">SUM(D72:E72)</f>
        <v>0</v>
      </c>
      <c r="D72" s="1478">
        <f t="shared" ref="D72:D75" si="98">+G72+J72</f>
        <v>0</v>
      </c>
      <c r="E72" s="1477">
        <f t="shared" ref="E72:E76" si="99">+H72+K72</f>
        <v>0</v>
      </c>
      <c r="F72" s="1455">
        <f t="shared" ref="F72:F76" si="100">SUM(G72:H72)</f>
        <v>0</v>
      </c>
      <c r="G72" s="1408"/>
      <c r="H72" s="1409"/>
      <c r="I72" s="1455">
        <f t="shared" ref="I72:I76" si="101">SUM(J72:K72)</f>
        <v>0</v>
      </c>
      <c r="J72" s="1408"/>
      <c r="K72" s="1410"/>
      <c r="L72" s="1454">
        <f t="shared" ref="L72:L76" si="102">SUM(M72:N72)</f>
        <v>0</v>
      </c>
      <c r="M72" s="1408"/>
      <c r="N72" s="1409"/>
      <c r="O72" s="1455">
        <f t="shared" ref="O72:O76" si="103">SUM(P72:Q72)</f>
        <v>0</v>
      </c>
      <c r="P72" s="1408"/>
      <c r="Q72" s="1409"/>
      <c r="R72" s="471" t="str">
        <f t="shared" si="88"/>
        <v/>
      </c>
      <c r="X72" s="470"/>
      <c r="Y72" s="470"/>
      <c r="Z72" s="470"/>
      <c r="AA72" s="470"/>
      <c r="AB72" s="470"/>
      <c r="AC72" s="470"/>
      <c r="AD72" s="470"/>
      <c r="AE72" s="470"/>
      <c r="AF72" s="470"/>
      <c r="AG72" s="470"/>
      <c r="AH72" s="470"/>
      <c r="AI72" s="470"/>
      <c r="AJ72" s="620" t="str">
        <f t="shared" si="89"/>
        <v/>
      </c>
      <c r="AK72" s="620" t="str">
        <f t="shared" si="90"/>
        <v/>
      </c>
      <c r="AL72" s="620" t="str">
        <f t="shared" si="91"/>
        <v/>
      </c>
      <c r="AM72" s="1428" t="str">
        <f t="shared" si="92"/>
        <v/>
      </c>
      <c r="AN72" s="470"/>
      <c r="AO72" s="470"/>
      <c r="AP72" s="470"/>
      <c r="AQ72" s="501">
        <f t="shared" si="93"/>
        <v>0</v>
      </c>
      <c r="AR72" s="501">
        <f t="shared" si="94"/>
        <v>0</v>
      </c>
      <c r="AS72" s="501">
        <f t="shared" si="95"/>
        <v>0</v>
      </c>
      <c r="AT72" s="501">
        <f t="shared" si="96"/>
        <v>0</v>
      </c>
    </row>
    <row r="73" spans="1:46" s="471" customFormat="1" ht="15" customHeight="1" x14ac:dyDescent="0.15">
      <c r="A73" s="2404" t="s">
        <v>777</v>
      </c>
      <c r="B73" s="2405"/>
      <c r="C73" s="1477">
        <f t="shared" si="97"/>
        <v>0</v>
      </c>
      <c r="D73" s="1478">
        <f t="shared" si="98"/>
        <v>0</v>
      </c>
      <c r="E73" s="1477">
        <f t="shared" si="99"/>
        <v>0</v>
      </c>
      <c r="F73" s="1455">
        <f t="shared" si="100"/>
        <v>0</v>
      </c>
      <c r="G73" s="1408"/>
      <c r="H73" s="1409"/>
      <c r="I73" s="1455">
        <f t="shared" si="101"/>
        <v>0</v>
      </c>
      <c r="J73" s="1408"/>
      <c r="K73" s="1410"/>
      <c r="L73" s="1454">
        <f t="shared" si="102"/>
        <v>0</v>
      </c>
      <c r="M73" s="1408"/>
      <c r="N73" s="1409"/>
      <c r="O73" s="1455">
        <f t="shared" si="103"/>
        <v>0</v>
      </c>
      <c r="P73" s="1408"/>
      <c r="Q73" s="1409"/>
      <c r="R73" s="471" t="str">
        <f t="shared" si="88"/>
        <v/>
      </c>
      <c r="X73" s="470"/>
      <c r="Y73" s="470"/>
      <c r="Z73" s="470"/>
      <c r="AA73" s="470"/>
      <c r="AB73" s="470"/>
      <c r="AC73" s="470"/>
      <c r="AD73" s="470"/>
      <c r="AE73" s="470"/>
      <c r="AF73" s="470"/>
      <c r="AG73" s="470"/>
      <c r="AH73" s="470"/>
      <c r="AI73" s="470"/>
      <c r="AJ73" s="620" t="str">
        <f t="shared" si="89"/>
        <v/>
      </c>
      <c r="AK73" s="620" t="str">
        <f t="shared" si="90"/>
        <v/>
      </c>
      <c r="AL73" s="620" t="str">
        <f t="shared" si="91"/>
        <v/>
      </c>
      <c r="AM73" s="1428" t="str">
        <f t="shared" si="92"/>
        <v/>
      </c>
      <c r="AN73" s="470"/>
      <c r="AO73" s="470"/>
      <c r="AP73" s="470"/>
      <c r="AQ73" s="501">
        <f t="shared" si="93"/>
        <v>0</v>
      </c>
      <c r="AR73" s="501">
        <f t="shared" si="94"/>
        <v>0</v>
      </c>
      <c r="AS73" s="501">
        <f t="shared" si="95"/>
        <v>0</v>
      </c>
      <c r="AT73" s="501">
        <f t="shared" si="96"/>
        <v>0</v>
      </c>
    </row>
    <row r="74" spans="1:46" s="471" customFormat="1" ht="15" customHeight="1" x14ac:dyDescent="0.15">
      <c r="A74" s="2404" t="s">
        <v>778</v>
      </c>
      <c r="B74" s="2405"/>
      <c r="C74" s="1477">
        <f t="shared" si="97"/>
        <v>0</v>
      </c>
      <c r="D74" s="1478">
        <f t="shared" si="98"/>
        <v>0</v>
      </c>
      <c r="E74" s="1477">
        <f t="shared" si="99"/>
        <v>0</v>
      </c>
      <c r="F74" s="1455">
        <f t="shared" si="100"/>
        <v>0</v>
      </c>
      <c r="G74" s="1408"/>
      <c r="H74" s="1409"/>
      <c r="I74" s="1455">
        <f t="shared" si="101"/>
        <v>0</v>
      </c>
      <c r="J74" s="1408"/>
      <c r="K74" s="1410"/>
      <c r="L74" s="1454">
        <f t="shared" si="102"/>
        <v>0</v>
      </c>
      <c r="M74" s="1408"/>
      <c r="N74" s="1409"/>
      <c r="O74" s="1455">
        <f t="shared" si="103"/>
        <v>0</v>
      </c>
      <c r="P74" s="1408"/>
      <c r="Q74" s="1409"/>
      <c r="R74" s="471" t="str">
        <f t="shared" si="88"/>
        <v/>
      </c>
      <c r="X74" s="470"/>
      <c r="Y74" s="470"/>
      <c r="Z74" s="470"/>
      <c r="AA74" s="470"/>
      <c r="AB74" s="470"/>
      <c r="AC74" s="470"/>
      <c r="AD74" s="470"/>
      <c r="AE74" s="470"/>
      <c r="AF74" s="470"/>
      <c r="AG74" s="470"/>
      <c r="AH74" s="470"/>
      <c r="AI74" s="470"/>
      <c r="AJ74" s="620" t="str">
        <f t="shared" si="89"/>
        <v/>
      </c>
      <c r="AK74" s="620" t="str">
        <f t="shared" si="90"/>
        <v/>
      </c>
      <c r="AL74" s="620" t="str">
        <f t="shared" si="91"/>
        <v/>
      </c>
      <c r="AM74" s="1428" t="str">
        <f t="shared" si="92"/>
        <v/>
      </c>
      <c r="AN74" s="470"/>
      <c r="AO74" s="470"/>
      <c r="AP74" s="470"/>
      <c r="AQ74" s="501">
        <f t="shared" si="93"/>
        <v>0</v>
      </c>
      <c r="AR74" s="501">
        <f t="shared" si="94"/>
        <v>0</v>
      </c>
      <c r="AS74" s="501">
        <f t="shared" si="95"/>
        <v>0</v>
      </c>
      <c r="AT74" s="501">
        <f t="shared" si="96"/>
        <v>0</v>
      </c>
    </row>
    <row r="75" spans="1:46" s="471" customFormat="1" ht="15" customHeight="1" x14ac:dyDescent="0.15">
      <c r="A75" s="1966" t="s">
        <v>779</v>
      </c>
      <c r="B75" s="1967"/>
      <c r="C75" s="1455">
        <f t="shared" si="97"/>
        <v>0</v>
      </c>
      <c r="D75" s="1499">
        <f t="shared" si="98"/>
        <v>0</v>
      </c>
      <c r="E75" s="1455">
        <f t="shared" si="99"/>
        <v>0</v>
      </c>
      <c r="F75" s="1455">
        <f t="shared" si="100"/>
        <v>0</v>
      </c>
      <c r="G75" s="1408"/>
      <c r="H75" s="1409"/>
      <c r="I75" s="1455">
        <f t="shared" si="101"/>
        <v>0</v>
      </c>
      <c r="J75" s="1408"/>
      <c r="K75" s="1410"/>
      <c r="L75" s="1454">
        <f t="shared" si="102"/>
        <v>0</v>
      </c>
      <c r="M75" s="1408"/>
      <c r="N75" s="1409"/>
      <c r="O75" s="1455">
        <f t="shared" si="103"/>
        <v>0</v>
      </c>
      <c r="P75" s="1408"/>
      <c r="Q75" s="1409"/>
      <c r="R75" s="471" t="str">
        <f t="shared" si="88"/>
        <v/>
      </c>
      <c r="X75" s="470"/>
      <c r="Y75" s="470"/>
      <c r="Z75" s="470"/>
      <c r="AA75" s="470"/>
      <c r="AB75" s="470"/>
      <c r="AC75" s="470"/>
      <c r="AD75" s="470"/>
      <c r="AE75" s="470"/>
      <c r="AF75" s="470"/>
      <c r="AG75" s="470"/>
      <c r="AH75" s="470"/>
      <c r="AI75" s="470"/>
      <c r="AJ75" s="620" t="str">
        <f t="shared" si="89"/>
        <v/>
      </c>
      <c r="AK75" s="620" t="str">
        <f t="shared" si="90"/>
        <v/>
      </c>
      <c r="AL75" s="620" t="str">
        <f t="shared" si="91"/>
        <v/>
      </c>
      <c r="AM75" s="1428" t="str">
        <f t="shared" si="92"/>
        <v/>
      </c>
      <c r="AN75" s="470"/>
      <c r="AO75" s="470"/>
      <c r="AP75" s="470"/>
      <c r="AQ75" s="501">
        <f t="shared" si="93"/>
        <v>0</v>
      </c>
      <c r="AR75" s="501">
        <f t="shared" si="94"/>
        <v>0</v>
      </c>
      <c r="AS75" s="501">
        <f t="shared" si="95"/>
        <v>0</v>
      </c>
      <c r="AT75" s="501">
        <f t="shared" si="96"/>
        <v>0</v>
      </c>
    </row>
    <row r="76" spans="1:46" s="471" customFormat="1" ht="15" customHeight="1" x14ac:dyDescent="0.15">
      <c r="A76" s="2404" t="s">
        <v>780</v>
      </c>
      <c r="B76" s="2405"/>
      <c r="C76" s="1477">
        <f>SUM(D76:E76)</f>
        <v>0</v>
      </c>
      <c r="D76" s="1478">
        <f>+G76+J76</f>
        <v>0</v>
      </c>
      <c r="E76" s="1477">
        <f t="shared" si="99"/>
        <v>0</v>
      </c>
      <c r="F76" s="1455">
        <f t="shared" si="100"/>
        <v>0</v>
      </c>
      <c r="G76" s="1408"/>
      <c r="H76" s="1409"/>
      <c r="I76" s="1455">
        <f t="shared" si="101"/>
        <v>0</v>
      </c>
      <c r="J76" s="1408"/>
      <c r="K76" s="1410"/>
      <c r="L76" s="1454">
        <f t="shared" si="102"/>
        <v>0</v>
      </c>
      <c r="M76" s="1408"/>
      <c r="N76" s="1409"/>
      <c r="O76" s="1455">
        <f t="shared" si="103"/>
        <v>0</v>
      </c>
      <c r="P76" s="1408"/>
      <c r="Q76" s="1409"/>
      <c r="R76" s="471" t="str">
        <f t="shared" si="88"/>
        <v/>
      </c>
      <c r="X76" s="470"/>
      <c r="Y76" s="470"/>
      <c r="Z76" s="470"/>
      <c r="AA76" s="470"/>
      <c r="AB76" s="470"/>
      <c r="AC76" s="470"/>
      <c r="AD76" s="470"/>
      <c r="AE76" s="470"/>
      <c r="AF76" s="470"/>
      <c r="AG76" s="470"/>
      <c r="AH76" s="470"/>
      <c r="AI76" s="470"/>
      <c r="AJ76" s="620" t="str">
        <f t="shared" si="89"/>
        <v/>
      </c>
      <c r="AK76" s="620" t="str">
        <f t="shared" si="90"/>
        <v/>
      </c>
      <c r="AL76" s="620" t="str">
        <f t="shared" si="91"/>
        <v/>
      </c>
      <c r="AM76" s="1428" t="str">
        <f t="shared" si="92"/>
        <v/>
      </c>
      <c r="AN76" s="470"/>
      <c r="AO76" s="470"/>
      <c r="AP76" s="470"/>
      <c r="AQ76" s="501">
        <f t="shared" si="93"/>
        <v>0</v>
      </c>
      <c r="AR76" s="501">
        <f t="shared" si="94"/>
        <v>0</v>
      </c>
      <c r="AS76" s="501">
        <f t="shared" si="95"/>
        <v>0</v>
      </c>
      <c r="AT76" s="501">
        <f t="shared" si="96"/>
        <v>0</v>
      </c>
    </row>
    <row r="77" spans="1:46" s="471" customFormat="1" ht="15" customHeight="1" x14ac:dyDescent="0.15">
      <c r="A77" s="2404" t="s">
        <v>781</v>
      </c>
      <c r="B77" s="2405"/>
      <c r="C77" s="1477">
        <f t="shared" ref="C77:C78" si="104">SUM(D77:E77)</f>
        <v>0</v>
      </c>
      <c r="D77" s="1478">
        <f t="shared" ref="D77:D78" si="105">+G77+J77</f>
        <v>0</v>
      </c>
      <c r="E77" s="1477">
        <f t="shared" ref="E77:E78" si="106">+H77+K77</f>
        <v>0</v>
      </c>
      <c r="F77" s="1455">
        <f t="shared" ref="F77:F78" si="107">SUM(G77:H77)</f>
        <v>0</v>
      </c>
      <c r="G77" s="1408"/>
      <c r="H77" s="1409"/>
      <c r="I77" s="1455">
        <f t="shared" ref="I77:I78" si="108">SUM(J77:K77)</f>
        <v>0</v>
      </c>
      <c r="J77" s="1408"/>
      <c r="K77" s="1410"/>
      <c r="L77" s="1454">
        <f t="shared" ref="L77:L78" si="109">SUM(M77:N77)</f>
        <v>0</v>
      </c>
      <c r="M77" s="1408"/>
      <c r="N77" s="1409"/>
      <c r="O77" s="1455">
        <f t="shared" ref="O77:O78" si="110">SUM(P77:Q77)</f>
        <v>0</v>
      </c>
      <c r="P77" s="1408"/>
      <c r="Q77" s="1409"/>
      <c r="R77" s="471" t="str">
        <f t="shared" si="88"/>
        <v/>
      </c>
      <c r="X77" s="470"/>
      <c r="Y77" s="470"/>
      <c r="Z77" s="470"/>
      <c r="AA77" s="470"/>
      <c r="AB77" s="470"/>
      <c r="AC77" s="470"/>
      <c r="AD77" s="470"/>
      <c r="AE77" s="470"/>
      <c r="AF77" s="470"/>
      <c r="AG77" s="470"/>
      <c r="AH77" s="470"/>
      <c r="AI77" s="470"/>
      <c r="AJ77" s="620" t="str">
        <f t="shared" si="89"/>
        <v/>
      </c>
      <c r="AK77" s="620" t="str">
        <f t="shared" si="90"/>
        <v/>
      </c>
      <c r="AL77" s="620" t="str">
        <f t="shared" si="91"/>
        <v/>
      </c>
      <c r="AM77" s="1428" t="str">
        <f t="shared" si="92"/>
        <v/>
      </c>
      <c r="AN77" s="470"/>
      <c r="AO77" s="470"/>
      <c r="AP77" s="470"/>
      <c r="AQ77" s="501">
        <f t="shared" si="93"/>
        <v>0</v>
      </c>
      <c r="AR77" s="501">
        <f t="shared" si="94"/>
        <v>0</v>
      </c>
      <c r="AS77" s="501">
        <f t="shared" si="95"/>
        <v>0</v>
      </c>
      <c r="AT77" s="501">
        <f t="shared" si="96"/>
        <v>0</v>
      </c>
    </row>
    <row r="78" spans="1:46" s="471" customFormat="1" ht="15" customHeight="1" x14ac:dyDescent="0.15">
      <c r="A78" s="2424" t="s">
        <v>782</v>
      </c>
      <c r="B78" s="2425"/>
      <c r="C78" s="1486">
        <f t="shared" si="104"/>
        <v>0</v>
      </c>
      <c r="D78" s="1487">
        <f t="shared" si="105"/>
        <v>0</v>
      </c>
      <c r="E78" s="1486">
        <f t="shared" si="106"/>
        <v>0</v>
      </c>
      <c r="F78" s="1437">
        <f t="shared" si="107"/>
        <v>0</v>
      </c>
      <c r="G78" s="1397"/>
      <c r="H78" s="1398"/>
      <c r="I78" s="1437">
        <f t="shared" si="108"/>
        <v>0</v>
      </c>
      <c r="J78" s="1397"/>
      <c r="K78" s="1435"/>
      <c r="L78" s="1436">
        <f t="shared" si="109"/>
        <v>0</v>
      </c>
      <c r="M78" s="1397"/>
      <c r="N78" s="1398"/>
      <c r="O78" s="1437">
        <f t="shared" si="110"/>
        <v>0</v>
      </c>
      <c r="P78" s="1397"/>
      <c r="Q78" s="1398"/>
      <c r="R78" s="471" t="str">
        <f t="shared" si="88"/>
        <v/>
      </c>
      <c r="X78" s="470"/>
      <c r="Y78" s="470"/>
      <c r="Z78" s="470"/>
      <c r="AA78" s="470"/>
      <c r="AB78" s="470"/>
      <c r="AC78" s="470"/>
      <c r="AD78" s="470"/>
      <c r="AE78" s="470"/>
      <c r="AF78" s="470"/>
      <c r="AG78" s="470"/>
      <c r="AH78" s="470"/>
      <c r="AI78" s="470"/>
      <c r="AJ78" s="620" t="str">
        <f t="shared" si="89"/>
        <v/>
      </c>
      <c r="AK78" s="620" t="str">
        <f t="shared" si="90"/>
        <v/>
      </c>
      <c r="AL78" s="620" t="str">
        <f t="shared" si="91"/>
        <v/>
      </c>
      <c r="AM78" s="1428" t="str">
        <f t="shared" si="92"/>
        <v/>
      </c>
      <c r="AN78" s="470"/>
      <c r="AO78" s="470"/>
      <c r="AP78" s="470"/>
      <c r="AQ78" s="501">
        <f t="shared" si="93"/>
        <v>0</v>
      </c>
      <c r="AR78" s="501">
        <f t="shared" si="94"/>
        <v>0</v>
      </c>
      <c r="AS78" s="501">
        <f t="shared" si="95"/>
        <v>0</v>
      </c>
      <c r="AT78" s="501">
        <f t="shared" si="96"/>
        <v>0</v>
      </c>
    </row>
    <row r="79" spans="1:46" s="471" customFormat="1" ht="17.100000000000001" customHeight="1" x14ac:dyDescent="0.15">
      <c r="A79" s="2403" t="s">
        <v>783</v>
      </c>
      <c r="B79" s="2403"/>
      <c r="C79" s="2403"/>
      <c r="D79" s="2403"/>
      <c r="E79" s="2403"/>
      <c r="F79" s="2403"/>
      <c r="G79" s="2403"/>
      <c r="H79" s="2403"/>
      <c r="I79" s="2403"/>
      <c r="J79" s="2403"/>
      <c r="K79" s="2403"/>
      <c r="L79" s="2403"/>
      <c r="M79" s="2403"/>
      <c r="N79" s="2403"/>
      <c r="O79" s="2403"/>
      <c r="P79" s="2403"/>
      <c r="Q79" s="2403"/>
      <c r="R79" s="1508"/>
      <c r="AA79" s="470"/>
      <c r="AB79" s="470"/>
      <c r="AC79" s="470"/>
      <c r="AD79" s="470"/>
      <c r="AE79" s="470"/>
      <c r="AF79" s="470"/>
      <c r="AG79" s="470"/>
      <c r="AH79" s="470"/>
      <c r="AI79" s="470"/>
      <c r="AJ79" s="470"/>
      <c r="AK79" s="470"/>
      <c r="AL79" s="470"/>
    </row>
    <row r="80" spans="1:46" s="471" customFormat="1" ht="18" customHeight="1" x14ac:dyDescent="0.15">
      <c r="A80" s="2397" t="s">
        <v>784</v>
      </c>
      <c r="B80" s="2398"/>
      <c r="C80" s="2414" t="s">
        <v>49</v>
      </c>
      <c r="D80" s="2415"/>
      <c r="E80" s="2416"/>
      <c r="F80" s="2414" t="s">
        <v>750</v>
      </c>
      <c r="G80" s="2415"/>
      <c r="H80" s="2416"/>
      <c r="I80" s="2414" t="s">
        <v>751</v>
      </c>
      <c r="J80" s="2415"/>
      <c r="K80" s="2421"/>
      <c r="L80" s="2422" t="s">
        <v>722</v>
      </c>
      <c r="M80" s="2415"/>
      <c r="N80" s="2416"/>
      <c r="O80" s="2414" t="s">
        <v>52</v>
      </c>
      <c r="P80" s="2415"/>
      <c r="Q80" s="2416"/>
      <c r="X80" s="470"/>
      <c r="Y80" s="470"/>
      <c r="Z80" s="470"/>
      <c r="AA80" s="470"/>
      <c r="AB80" s="470"/>
      <c r="AC80" s="470"/>
      <c r="AD80" s="470"/>
      <c r="AE80" s="470"/>
      <c r="AF80" s="470"/>
      <c r="AG80" s="470"/>
      <c r="AH80" s="470"/>
      <c r="AI80" s="470"/>
      <c r="AJ80" s="470"/>
      <c r="AK80" s="470"/>
      <c r="AL80" s="470"/>
    </row>
    <row r="81" spans="1:48" s="471" customFormat="1" ht="27.75" customHeight="1" x14ac:dyDescent="0.15">
      <c r="A81" s="2399"/>
      <c r="B81" s="2400"/>
      <c r="C81" s="1470" t="s">
        <v>224</v>
      </c>
      <c r="D81" s="1367" t="s">
        <v>752</v>
      </c>
      <c r="E81" s="1493" t="s">
        <v>85</v>
      </c>
      <c r="F81" s="1509" t="s">
        <v>224</v>
      </c>
      <c r="G81" s="1367" t="s">
        <v>752</v>
      </c>
      <c r="H81" s="1493" t="s">
        <v>85</v>
      </c>
      <c r="I81" s="1509" t="s">
        <v>224</v>
      </c>
      <c r="J81" s="1367" t="s">
        <v>752</v>
      </c>
      <c r="K81" s="1510" t="s">
        <v>85</v>
      </c>
      <c r="L81" s="1511" t="s">
        <v>224</v>
      </c>
      <c r="M81" s="1367" t="s">
        <v>752</v>
      </c>
      <c r="N81" s="1493" t="s">
        <v>85</v>
      </c>
      <c r="O81" s="1470" t="s">
        <v>224</v>
      </c>
      <c r="P81" s="1367" t="s">
        <v>752</v>
      </c>
      <c r="Q81" s="1493" t="s">
        <v>85</v>
      </c>
      <c r="X81" s="470"/>
      <c r="Y81" s="470"/>
      <c r="Z81" s="470"/>
      <c r="AA81" s="470"/>
      <c r="AB81" s="470"/>
      <c r="AC81" s="470"/>
      <c r="AD81" s="470"/>
      <c r="AE81" s="470"/>
      <c r="AF81" s="470"/>
      <c r="AG81" s="470"/>
      <c r="AH81" s="470"/>
      <c r="AI81" s="470"/>
      <c r="AJ81" s="470"/>
      <c r="AK81" s="470"/>
      <c r="AL81" s="470"/>
    </row>
    <row r="82" spans="1:48" s="471" customFormat="1" ht="15" customHeight="1" x14ac:dyDescent="0.15">
      <c r="A82" s="2426" t="s">
        <v>785</v>
      </c>
      <c r="B82" s="2427"/>
      <c r="C82" s="1496">
        <f>SUM(D82:E82)</f>
        <v>0</v>
      </c>
      <c r="D82" s="1495">
        <f>+G82+J82</f>
        <v>0</v>
      </c>
      <c r="E82" s="1496">
        <f t="shared" ref="E82:E86" si="111">+H82+K82</f>
        <v>0</v>
      </c>
      <c r="F82" s="1455">
        <f>SUM(G82:H82)</f>
        <v>0</v>
      </c>
      <c r="G82" s="1512"/>
      <c r="H82" s="1513"/>
      <c r="I82" s="1455">
        <f t="shared" ref="I82:I86" si="112">SUM(J82:K82)</f>
        <v>0</v>
      </c>
      <c r="J82" s="1512"/>
      <c r="K82" s="1514"/>
      <c r="L82" s="1431">
        <f t="shared" ref="L82:L86" si="113">SUM(M82:N82)</f>
        <v>0</v>
      </c>
      <c r="M82" s="1512"/>
      <c r="N82" s="1513"/>
      <c r="O82" s="1432">
        <f t="shared" ref="O82:O86" si="114">SUM(P82:Q82)</f>
        <v>0</v>
      </c>
      <c r="P82" s="1512"/>
      <c r="Q82" s="1513"/>
      <c r="R82" s="471" t="str">
        <f>AJ82&amp;AK82&amp;AL82&amp;AM82</f>
        <v/>
      </c>
      <c r="X82" s="470"/>
      <c r="Y82" s="470"/>
      <c r="Z82" s="470"/>
      <c r="AA82" s="470"/>
      <c r="AB82" s="470"/>
      <c r="AC82" s="470"/>
      <c r="AD82" s="470"/>
      <c r="AE82" s="470"/>
      <c r="AF82" s="470"/>
      <c r="AG82" s="470"/>
      <c r="AH82" s="470"/>
      <c r="AI82" s="470"/>
      <c r="AJ82" s="620" t="str">
        <f>IF(AND(D82&gt;0,OR(M82=""))," * No olvide digitar la variable Pueblos Originarios Hombres. Digite Cero si no tiene.",IF(M82&gt;D82," * La variable Pueblos Originarios Hombres no puede ser Mayor al Total Hombres.",""))</f>
        <v/>
      </c>
      <c r="AK82" s="620" t="str">
        <f>IF(AND(E82&gt;0,OR(N82=""))," * No olvide digitar la variable Pueblos Originarios Mujeres. Digite Cero si no tiene.",IF(N82&gt;E82," * La variable Pueblos Originarios Mujeres no puede ser Mayor al Total Mujeres.",""))</f>
        <v/>
      </c>
      <c r="AL82" s="620" t="str">
        <f t="shared" ref="AL82:AL86" si="115">IF(AND($D82&gt;0,OR(P82=""))," * No olvide digitar la variable Migrantes Hombres. Digite Cero si no tiene.",IF(P82&gt;$D82," * La variable Migrantes Hombres no puede ser Mayor al Total Hombres.",""))</f>
        <v/>
      </c>
      <c r="AM82" s="1428" t="str">
        <f>IF(AND($E82&gt;0,OR(Q82=""))," * No olvide digitar la variable Migrantes Mujeres. Digite Cero si no tiene.",IF(Q82&gt;$E82," * La variable Migrantes Mujeres no puede ser Mayor al Total Mujeres.",""))</f>
        <v/>
      </c>
      <c r="AN82" s="470"/>
      <c r="AO82" s="470"/>
      <c r="AP82" s="470"/>
      <c r="AQ82" s="501">
        <f t="shared" ref="AQ82:AQ86" si="116">IF(AND($D82&gt;0,OR(M82="")),1,IF(M82&gt;$D82,1,0))</f>
        <v>0</v>
      </c>
      <c r="AR82" s="501">
        <f t="shared" ref="AR82:AR86" si="117">IF(AND($E82&gt;0,OR(N82="")),1,IF(N82&gt;$E82,1,0))</f>
        <v>0</v>
      </c>
      <c r="AS82" s="501">
        <f t="shared" ref="AS82:AS86" si="118">IF(AND($D82&gt;0,OR(P82="")),1,IF(P82&gt;$D82,1,0))</f>
        <v>0</v>
      </c>
      <c r="AT82" s="501">
        <f t="shared" ref="AT82:AT86" si="119">IF(AND($E82&gt;0,OR(Q82="")),1,IF(Q82&gt;$E82,1,0))</f>
        <v>0</v>
      </c>
    </row>
    <row r="83" spans="1:48" s="471" customFormat="1" ht="15" customHeight="1" x14ac:dyDescent="0.15">
      <c r="A83" s="2404" t="s">
        <v>786</v>
      </c>
      <c r="B83" s="2405"/>
      <c r="C83" s="1477">
        <f t="shared" ref="C83:C86" si="120">SUM(D83:E83)</f>
        <v>0</v>
      </c>
      <c r="D83" s="1478">
        <f t="shared" ref="D83:D86" si="121">+G83+J83</f>
        <v>0</v>
      </c>
      <c r="E83" s="1477">
        <f t="shared" si="111"/>
        <v>0</v>
      </c>
      <c r="F83" s="1455">
        <f t="shared" ref="F83:F86" si="122">SUM(G83:H83)</f>
        <v>0</v>
      </c>
      <c r="G83" s="1512"/>
      <c r="H83" s="1513"/>
      <c r="I83" s="1455">
        <f t="shared" si="112"/>
        <v>0</v>
      </c>
      <c r="J83" s="1512"/>
      <c r="K83" s="1514"/>
      <c r="L83" s="1454">
        <f t="shared" si="113"/>
        <v>0</v>
      </c>
      <c r="M83" s="1512"/>
      <c r="N83" s="1513"/>
      <c r="O83" s="1455">
        <f t="shared" si="114"/>
        <v>0</v>
      </c>
      <c r="P83" s="1512"/>
      <c r="Q83" s="1513"/>
      <c r="R83" s="471" t="str">
        <f t="shared" ref="R83:R86" si="123">AJ83&amp;AK83&amp;AL83&amp;AM83</f>
        <v/>
      </c>
      <c r="X83" s="470"/>
      <c r="Y83" s="470"/>
      <c r="Z83" s="470"/>
      <c r="AA83" s="470"/>
      <c r="AB83" s="470"/>
      <c r="AC83" s="470"/>
      <c r="AD83" s="470"/>
      <c r="AE83" s="470"/>
      <c r="AF83" s="470"/>
      <c r="AG83" s="470"/>
      <c r="AH83" s="470"/>
      <c r="AI83" s="470"/>
      <c r="AJ83" s="620" t="str">
        <f>IF(AND(D83&gt;0,OR(M83=""))," * No olvide digitar la variable Pueblos Originarios Hombres. Digite Cero si no tiene.",IF(M83&gt;D83," * La variable Pueblos Originarios Hombres no puede ser Mayor al Total Hombres.",""))</f>
        <v/>
      </c>
      <c r="AK83" s="620" t="str">
        <f>IF(AND(E83&gt;0,OR(N83=""))," * No olvide digitar la variable Pueblos Originarios Mujeres. Digite Cero si no tiene.",IF(N83&gt;E83," * La variable Pueblos Originarios Mujeres no puede ser Mayor al Total Mujeres.",""))</f>
        <v/>
      </c>
      <c r="AL83" s="620" t="str">
        <f t="shared" si="115"/>
        <v/>
      </c>
      <c r="AM83" s="1428" t="str">
        <f>IF(AND($E83&gt;0,OR(Q83=""))," * No olvide digitar la variable Migrantes Mujeres. Digite Cero si no tiene.",IF(Q83&gt;$E83," * La variable Migrantes Mujeres no puede ser Mayor al Total Mujeres.",""))</f>
        <v/>
      </c>
      <c r="AN83" s="470"/>
      <c r="AO83" s="470"/>
      <c r="AP83" s="470"/>
      <c r="AQ83" s="501">
        <f t="shared" si="116"/>
        <v>0</v>
      </c>
      <c r="AR83" s="501">
        <f t="shared" si="117"/>
        <v>0</v>
      </c>
      <c r="AS83" s="501">
        <f t="shared" si="118"/>
        <v>0</v>
      </c>
      <c r="AT83" s="501">
        <f t="shared" si="119"/>
        <v>0</v>
      </c>
    </row>
    <row r="84" spans="1:48" s="471" customFormat="1" ht="15" customHeight="1" x14ac:dyDescent="0.15">
      <c r="A84" s="2404" t="s">
        <v>623</v>
      </c>
      <c r="B84" s="2405"/>
      <c r="C84" s="1477">
        <f t="shared" si="120"/>
        <v>0</v>
      </c>
      <c r="D84" s="1478">
        <f t="shared" si="121"/>
        <v>0</v>
      </c>
      <c r="E84" s="1477">
        <f t="shared" si="111"/>
        <v>0</v>
      </c>
      <c r="F84" s="1455">
        <f t="shared" si="122"/>
        <v>0</v>
      </c>
      <c r="G84" s="1512"/>
      <c r="H84" s="1513"/>
      <c r="I84" s="1455">
        <f t="shared" si="112"/>
        <v>0</v>
      </c>
      <c r="J84" s="1512"/>
      <c r="K84" s="1514"/>
      <c r="L84" s="1454">
        <f t="shared" si="113"/>
        <v>0</v>
      </c>
      <c r="M84" s="1512"/>
      <c r="N84" s="1513"/>
      <c r="O84" s="1455">
        <f t="shared" si="114"/>
        <v>0</v>
      </c>
      <c r="P84" s="1512"/>
      <c r="Q84" s="1513"/>
      <c r="R84" s="471" t="str">
        <f t="shared" si="123"/>
        <v/>
      </c>
      <c r="X84" s="470"/>
      <c r="Y84" s="470"/>
      <c r="Z84" s="470"/>
      <c r="AA84" s="470"/>
      <c r="AB84" s="470"/>
      <c r="AC84" s="470"/>
      <c r="AD84" s="470"/>
      <c r="AE84" s="470"/>
      <c r="AF84" s="470"/>
      <c r="AG84" s="470"/>
      <c r="AH84" s="470"/>
      <c r="AI84" s="470"/>
      <c r="AJ84" s="620" t="str">
        <f>IF(AND(D84&gt;0,OR(M84=""))," * No olvide digitar la variable Pueblos Originarios Hombres. Digite Cero si no tiene.",IF(M84&gt;D84," * La variable Pueblos Originarios Hombres no puede ser Mayor al Total Hombres.",""))</f>
        <v/>
      </c>
      <c r="AK84" s="620" t="str">
        <f>IF(AND(E84&gt;0,OR(N84=""))," * No olvide digitar la variable Pueblos Originarios Mujeres. Digite Cero si no tiene.",IF(N84&gt;E84," * La variable Pueblos Originarios Mujeres no puede ser Mayor al Total Mujeres.",""))</f>
        <v/>
      </c>
      <c r="AL84" s="620" t="str">
        <f t="shared" si="115"/>
        <v/>
      </c>
      <c r="AM84" s="1428" t="str">
        <f>IF(AND($E84&gt;0,OR(Q84=""))," * No olvide digitar la variable Migrantes Mujeres. Digite Cero si no tiene.",IF(Q84&gt;$E84," * La variable Migrantes Mujeres no puede ser Mayor al Total Mujeres.",""))</f>
        <v/>
      </c>
      <c r="AN84" s="470"/>
      <c r="AO84" s="470"/>
      <c r="AP84" s="470"/>
      <c r="AQ84" s="501">
        <f t="shared" si="116"/>
        <v>0</v>
      </c>
      <c r="AR84" s="501">
        <f t="shared" si="117"/>
        <v>0</v>
      </c>
      <c r="AS84" s="501">
        <f t="shared" si="118"/>
        <v>0</v>
      </c>
      <c r="AT84" s="501">
        <f t="shared" si="119"/>
        <v>0</v>
      </c>
    </row>
    <row r="85" spans="1:48" s="471" customFormat="1" ht="15" customHeight="1" x14ac:dyDescent="0.15">
      <c r="A85" s="2404" t="s">
        <v>787</v>
      </c>
      <c r="B85" s="2405"/>
      <c r="C85" s="1477">
        <f t="shared" si="120"/>
        <v>0</v>
      </c>
      <c r="D85" s="1478">
        <f t="shared" si="121"/>
        <v>0</v>
      </c>
      <c r="E85" s="1477">
        <f t="shared" si="111"/>
        <v>0</v>
      </c>
      <c r="F85" s="1455">
        <f t="shared" si="122"/>
        <v>0</v>
      </c>
      <c r="G85" s="1512"/>
      <c r="H85" s="1513"/>
      <c r="I85" s="1455">
        <f t="shared" si="112"/>
        <v>0</v>
      </c>
      <c r="J85" s="1512"/>
      <c r="K85" s="1514"/>
      <c r="L85" s="1454">
        <f t="shared" si="113"/>
        <v>0</v>
      </c>
      <c r="M85" s="1512"/>
      <c r="N85" s="1513"/>
      <c r="O85" s="1455">
        <f t="shared" si="114"/>
        <v>0</v>
      </c>
      <c r="P85" s="1512"/>
      <c r="Q85" s="1513"/>
      <c r="R85" s="471" t="str">
        <f t="shared" si="123"/>
        <v/>
      </c>
      <c r="X85" s="470"/>
      <c r="Y85" s="470"/>
      <c r="Z85" s="470"/>
      <c r="AA85" s="470"/>
      <c r="AB85" s="470"/>
      <c r="AC85" s="470"/>
      <c r="AD85" s="470"/>
      <c r="AE85" s="470"/>
      <c r="AF85" s="470"/>
      <c r="AG85" s="470"/>
      <c r="AH85" s="470"/>
      <c r="AI85" s="470"/>
      <c r="AJ85" s="620" t="str">
        <f>IF(AND(D85&gt;0,OR(M85=""))," * No olvide digitar la variable Pueblos Originarios Hombres. Digite Cero si no tiene.",IF(M85&gt;D85," * La variable Pueblos Originarios Hombres no puede ser Mayor al Total Hombres.",""))</f>
        <v/>
      </c>
      <c r="AK85" s="620" t="str">
        <f>IF(AND(E85&gt;0,OR(N85=""))," * No olvide digitar la variable Pueblos Originarios Mujeres. Digite Cero si no tiene.",IF(N85&gt;E85," * La variable Pueblos Originarios Mujeres no puede ser Mayor al Total Mujeres.",""))</f>
        <v/>
      </c>
      <c r="AL85" s="620" t="str">
        <f t="shared" si="115"/>
        <v/>
      </c>
      <c r="AM85" s="1428" t="str">
        <f>IF(AND($E85&gt;0,OR(Q85=""))," * No olvide digitar la variable Migrantes Mujeres. Digite Cero si no tiene.",IF(Q85&gt;$E85," * La variable Migrantes Mujeres no puede ser Mayor al Total Mujeres.",""))</f>
        <v/>
      </c>
      <c r="AN85" s="470"/>
      <c r="AO85" s="470"/>
      <c r="AP85" s="470"/>
      <c r="AQ85" s="501">
        <f t="shared" si="116"/>
        <v>0</v>
      </c>
      <c r="AR85" s="501">
        <f t="shared" si="117"/>
        <v>0</v>
      </c>
      <c r="AS85" s="501">
        <f t="shared" si="118"/>
        <v>0</v>
      </c>
      <c r="AT85" s="501">
        <f t="shared" si="119"/>
        <v>0</v>
      </c>
    </row>
    <row r="86" spans="1:48" s="471" customFormat="1" ht="15" customHeight="1" x14ac:dyDescent="0.15">
      <c r="A86" s="2438" t="s">
        <v>788</v>
      </c>
      <c r="B86" s="2439"/>
      <c r="C86" s="1437">
        <f t="shared" si="120"/>
        <v>0</v>
      </c>
      <c r="D86" s="1515">
        <f t="shared" si="121"/>
        <v>0</v>
      </c>
      <c r="E86" s="1437">
        <f t="shared" si="111"/>
        <v>0</v>
      </c>
      <c r="F86" s="1437">
        <f t="shared" si="122"/>
        <v>0</v>
      </c>
      <c r="G86" s="1516"/>
      <c r="H86" s="1517"/>
      <c r="I86" s="1437">
        <f t="shared" si="112"/>
        <v>0</v>
      </c>
      <c r="J86" s="1516"/>
      <c r="K86" s="1518"/>
      <c r="L86" s="1436">
        <f t="shared" si="113"/>
        <v>0</v>
      </c>
      <c r="M86" s="1516"/>
      <c r="N86" s="1517"/>
      <c r="O86" s="1437">
        <f t="shared" si="114"/>
        <v>0</v>
      </c>
      <c r="P86" s="1516"/>
      <c r="Q86" s="1517"/>
      <c r="R86" s="471" t="str">
        <f t="shared" si="123"/>
        <v/>
      </c>
      <c r="X86" s="470"/>
      <c r="Y86" s="470"/>
      <c r="Z86" s="470"/>
      <c r="AA86" s="470"/>
      <c r="AB86" s="470"/>
      <c r="AC86" s="470"/>
      <c r="AD86" s="470"/>
      <c r="AE86" s="470"/>
      <c r="AF86" s="470"/>
      <c r="AG86" s="470"/>
      <c r="AH86" s="470"/>
      <c r="AI86" s="470"/>
      <c r="AJ86" s="620" t="str">
        <f>IF(AND(D86&gt;0,OR(M86=""))," * No olvide digitar la variable Pueblos Originarios Hombres. Digite Cero si no tiene.",IF(M86&gt;D86," * La variable Pueblos Originarios Hombres no puede ser Mayor al Total Hombres.",""))</f>
        <v/>
      </c>
      <c r="AK86" s="620" t="str">
        <f>IF(AND(E86&gt;0,OR(N86=""))," * No olvide digitar la variable Pueblos Originarios Mujeres. Digite Cero si no tiene.",IF(N86&gt;E86," * La variable Pueblos Originarios Mujeres no puede ser Mayor al Total Mujeres.",""))</f>
        <v/>
      </c>
      <c r="AL86" s="620" t="str">
        <f t="shared" si="115"/>
        <v/>
      </c>
      <c r="AM86" s="1428" t="str">
        <f>IF(AND($E86&gt;0,OR(Q86=""))," * No olvide digitar la variable Migrantes Mujeres. Digite Cero si no tiene.",IF(Q86&gt;$E86," * La variable Migrantes Mujeres no puede ser Mayor al Total Mujeres.",""))</f>
        <v/>
      </c>
      <c r="AN86" s="470"/>
      <c r="AO86" s="470"/>
      <c r="AP86" s="470"/>
      <c r="AQ86" s="501">
        <f t="shared" si="116"/>
        <v>0</v>
      </c>
      <c r="AR86" s="501">
        <f t="shared" si="117"/>
        <v>0</v>
      </c>
      <c r="AS86" s="501">
        <f t="shared" si="118"/>
        <v>0</v>
      </c>
      <c r="AT86" s="501">
        <f t="shared" si="119"/>
        <v>0</v>
      </c>
    </row>
    <row r="87" spans="1:48" s="471" customFormat="1" ht="17.100000000000001" customHeight="1" x14ac:dyDescent="0.15">
      <c r="A87" s="2403" t="s">
        <v>789</v>
      </c>
      <c r="B87" s="2403"/>
      <c r="C87" s="2403"/>
      <c r="D87" s="2403"/>
      <c r="E87" s="2403"/>
      <c r="F87" s="2403"/>
      <c r="G87" s="2403"/>
      <c r="H87" s="2403"/>
      <c r="I87" s="2403"/>
      <c r="J87" s="2403"/>
      <c r="K87" s="2403"/>
      <c r="L87" s="2403"/>
      <c r="M87" s="2403"/>
      <c r="N87" s="2403"/>
      <c r="AA87" s="470"/>
      <c r="AB87" s="470"/>
      <c r="AC87" s="470"/>
      <c r="AD87" s="470"/>
      <c r="AE87" s="470"/>
      <c r="AF87" s="470"/>
      <c r="AG87" s="470"/>
      <c r="AH87" s="470"/>
      <c r="AI87" s="470"/>
      <c r="AJ87" s="470"/>
      <c r="AK87" s="470"/>
      <c r="AL87" s="470"/>
    </row>
    <row r="88" spans="1:48" s="471" customFormat="1" ht="24" customHeight="1" x14ac:dyDescent="0.15">
      <c r="A88" s="2418" t="s">
        <v>790</v>
      </c>
      <c r="B88" s="2418" t="s">
        <v>791</v>
      </c>
      <c r="C88" s="2394" t="s">
        <v>792</v>
      </c>
      <c r="D88" s="2395"/>
      <c r="E88" s="2417"/>
      <c r="F88" s="2420" t="s">
        <v>722</v>
      </c>
      <c r="G88" s="2395"/>
      <c r="H88" s="2396"/>
      <c r="I88" s="2394" t="s">
        <v>52</v>
      </c>
      <c r="J88" s="2395"/>
      <c r="K88" s="2396"/>
      <c r="L88" s="2394" t="s">
        <v>793</v>
      </c>
      <c r="M88" s="2395"/>
      <c r="N88" s="2396"/>
      <c r="AA88" s="470"/>
      <c r="AB88" s="470"/>
      <c r="AC88" s="470"/>
      <c r="AD88" s="470"/>
      <c r="AE88" s="470"/>
      <c r="AF88" s="470"/>
      <c r="AG88" s="470"/>
      <c r="AH88" s="470"/>
      <c r="AI88" s="470"/>
      <c r="AJ88" s="470"/>
      <c r="AK88" s="470"/>
      <c r="AL88" s="470"/>
    </row>
    <row r="89" spans="1:48" s="471" customFormat="1" ht="27.75" customHeight="1" x14ac:dyDescent="0.15">
      <c r="A89" s="2419"/>
      <c r="B89" s="2419"/>
      <c r="C89" s="1367" t="s">
        <v>224</v>
      </c>
      <c r="D89" s="1367" t="s">
        <v>752</v>
      </c>
      <c r="E89" s="1368" t="s">
        <v>85</v>
      </c>
      <c r="F89" s="1376" t="s">
        <v>224</v>
      </c>
      <c r="G89" s="1367" t="s">
        <v>752</v>
      </c>
      <c r="H89" s="1493" t="s">
        <v>85</v>
      </c>
      <c r="I89" s="1367" t="s">
        <v>224</v>
      </c>
      <c r="J89" s="1367" t="s">
        <v>752</v>
      </c>
      <c r="K89" s="1493" t="s">
        <v>85</v>
      </c>
      <c r="L89" s="1367" t="s">
        <v>224</v>
      </c>
      <c r="M89" s="1367" t="s">
        <v>752</v>
      </c>
      <c r="N89" s="1493" t="s">
        <v>85</v>
      </c>
      <c r="AA89" s="470"/>
      <c r="AB89" s="470"/>
      <c r="AC89" s="470"/>
      <c r="AD89" s="470"/>
      <c r="AE89" s="470"/>
      <c r="AF89" s="470"/>
      <c r="AG89" s="470"/>
      <c r="AH89" s="470"/>
      <c r="AI89" s="470"/>
      <c r="AJ89" s="470"/>
      <c r="AK89" s="470"/>
      <c r="AL89" s="470"/>
    </row>
    <row r="90" spans="1:48" s="471" customFormat="1" ht="15" customHeight="1" x14ac:dyDescent="0.15">
      <c r="A90" s="2115" t="s">
        <v>794</v>
      </c>
      <c r="B90" s="1519" t="s">
        <v>750</v>
      </c>
      <c r="C90" s="1473">
        <f>SUM(D90:E90)</f>
        <v>0</v>
      </c>
      <c r="D90" s="1408"/>
      <c r="E90" s="1410"/>
      <c r="F90" s="1476">
        <f>SUM(G90:H90)</f>
        <v>0</v>
      </c>
      <c r="G90" s="1408"/>
      <c r="H90" s="1409"/>
      <c r="I90" s="1473">
        <f>SUM(J90:K90)</f>
        <v>0</v>
      </c>
      <c r="J90" s="1408"/>
      <c r="K90" s="1409"/>
      <c r="L90" s="1471">
        <f>SUM(M90:N90)</f>
        <v>0</v>
      </c>
      <c r="M90" s="1408"/>
      <c r="N90" s="1409"/>
      <c r="O90" s="471" t="str">
        <f>AJ90&amp;AK90&amp;AL90&amp;AM90&amp;AN90&amp;AO90</f>
        <v/>
      </c>
      <c r="AA90" s="470"/>
      <c r="AB90" s="470"/>
      <c r="AC90" s="470"/>
      <c r="AD90" s="470"/>
      <c r="AE90" s="470"/>
      <c r="AF90" s="470"/>
      <c r="AG90" s="470"/>
      <c r="AH90" s="470"/>
      <c r="AI90" s="470"/>
      <c r="AJ90" s="620" t="str">
        <f>IF(AND($D90&gt;0,OR($G90=""))," * No olvide digitar la variable Pueblos Originarios Hombres. Digite Cero si no tiene.",IF($G90&gt;$D90," * La variable Pueblos Originarios Hombres no puede ser Mayor al Total Hombres.",""))</f>
        <v/>
      </c>
      <c r="AK90" s="620" t="str">
        <f>IF(AND($E90&gt;0,OR($H90=""))," * No olvide digitar la variable Pueblos Originarios Mujeres. Digite Cero si no tiene.",IF($H90&gt;$E90," * La variable Pueblos Originarios Mujeres no puede ser Mayor al Total Mujeres.",""))</f>
        <v/>
      </c>
      <c r="AL90" s="620" t="str">
        <f>IF(AND($D90&gt;0,OR($J90=""))," * No olvide digitar la variable Migrantes Hombres. Digite Cero si no tiene.",IF($J90&gt;$D90," * La variable Migrantes Hombres no puede ser Mayor al Total Hombres.",""))</f>
        <v/>
      </c>
      <c r="AM90" s="620" t="str">
        <f>IF(AND($E90&gt;0,OR($K90=""))," * No olvide digitar la variable Migrantes Mujeres. Digite Cero si no tiene.",IF($K90&gt;$E90," * La variable Migrantes Mujeres no puede ser Mayor al Total Mujeres.",""))</f>
        <v/>
      </c>
      <c r="AN90" s="620" t="str">
        <f>IF(AND($D90&gt;0,OR($M90=""))," * No olvide digitar la variable Espacios Amigables Hombres. Digite Cero si no tiene.",IF($M90&gt;$D90," * La variable Espacios Amigables Hombres no puede ser Mayor al Total Hombres.",""))</f>
        <v/>
      </c>
      <c r="AO90" s="620" t="str">
        <f>IF(AND($E90&gt;0,OR(N90=""))," * No olvide digitar la variable Espacios Amigables Mujeres. Digite Cero si no tiene.",IF(N90&gt;$E90," * La variable Espacios Amigables Mujeres no puede ser Mayor al Total Mujeres.",""))</f>
        <v/>
      </c>
      <c r="AP90" s="470"/>
      <c r="AQ90" s="501">
        <f>IF(AND($D90&gt;0,OR(G90="")),1,IF(G90&gt;$D90,1,0))</f>
        <v>0</v>
      </c>
      <c r="AR90" s="501">
        <f>IF(AND($E90&gt;0,OR(H90="")),1,IF(H90&gt;$E90,1,0))</f>
        <v>0</v>
      </c>
      <c r="AS90" s="501">
        <f>IF(AND($D90&gt;0,OR(J90="")),1,IF(J90&gt;$D90,1,0))</f>
        <v>0</v>
      </c>
      <c r="AT90" s="501">
        <f>IF(AND($E90&gt;0,OR(K90="")),1,IF(K90&gt;$E90,1,0))</f>
        <v>0</v>
      </c>
      <c r="AU90" s="501">
        <f>IF(AND($D90&gt;0,OR(M90="")),1,IF(M90&gt;$D90,1,0))</f>
        <v>0</v>
      </c>
      <c r="AV90" s="501">
        <f>IF(AND($E90&gt;0,OR(N90="")),1,IF(N90&gt;$E90,1,0))</f>
        <v>0</v>
      </c>
    </row>
    <row r="91" spans="1:48" s="471" customFormat="1" ht="15" customHeight="1" x14ac:dyDescent="0.15">
      <c r="A91" s="2117"/>
      <c r="B91" s="1520" t="s">
        <v>795</v>
      </c>
      <c r="C91" s="1521">
        <f>SUM(D91:E91)</f>
        <v>0</v>
      </c>
      <c r="D91" s="1464"/>
      <c r="E91" s="1522"/>
      <c r="F91" s="1523">
        <f t="shared" ref="F91:F103" si="124">SUM(G91:H91)</f>
        <v>0</v>
      </c>
      <c r="G91" s="1464"/>
      <c r="H91" s="1465"/>
      <c r="I91" s="1521">
        <f t="shared" ref="I91:I103" si="125">SUM(J91:K91)</f>
        <v>0</v>
      </c>
      <c r="J91" s="1464"/>
      <c r="K91" s="1465"/>
      <c r="L91" s="1524">
        <f t="shared" ref="L91:L101" si="126">SUM(M91:N91)</f>
        <v>0</v>
      </c>
      <c r="M91" s="1464"/>
      <c r="N91" s="1465"/>
      <c r="O91" s="471" t="str">
        <f t="shared" ref="O91:O102" si="127">AJ91&amp;AK91&amp;AL91&amp;AM91&amp;AN91&amp;AO91</f>
        <v/>
      </c>
      <c r="AA91" s="470"/>
      <c r="AB91" s="470"/>
      <c r="AC91" s="470"/>
      <c r="AD91" s="470"/>
      <c r="AE91" s="470"/>
      <c r="AF91" s="470"/>
      <c r="AG91" s="470"/>
      <c r="AH91" s="470"/>
      <c r="AI91" s="470"/>
      <c r="AJ91" s="620" t="str">
        <f t="shared" ref="AJ91:AJ103" si="128">IF(AND($D91&gt;0,OR($G91=""))," * No olvide digitar la variable Pueblos Originarios Hombres. Digite Cero si no tiene.",IF($G91&gt;$D91," * La variable Pueblos Originarios Hombres no puede ser Mayor al Total Hombres.",""))</f>
        <v/>
      </c>
      <c r="AK91" s="620" t="str">
        <f t="shared" ref="AK91:AK103" si="129">IF(AND($E91&gt;0,OR($H91=""))," * No olvide digitar la variable Pueblos Originarios Mujeres. Digite Cero si no tiene.",IF($H91&gt;$E91," * La variable Pueblos Originarios Mujeres no puede ser Mayor al Total Mujeres.",""))</f>
        <v/>
      </c>
      <c r="AL91" s="620" t="str">
        <f t="shared" ref="AL91:AL103" si="130">IF(AND($D91&gt;0,OR($J91=""))," * No olvide digitar la variable Migrantes Hombres. Digite Cero si no tiene.",IF($J91&gt;$D91," * La variable Migrantes Hombres no puede ser Mayor al Total Hombres.",""))</f>
        <v/>
      </c>
      <c r="AM91" s="620" t="str">
        <f t="shared" ref="AM91:AM103" si="131">IF(AND($E91&gt;0,OR($K91=""))," * No olvide digitar la variable Migrantes Mujeres. Digite Cero si no tiene.",IF($K91&gt;$E91," * La variable Migrantes Mujeres no puede ser Mayor al Total Mujeres.",""))</f>
        <v/>
      </c>
      <c r="AN91" s="620" t="str">
        <f t="shared" ref="AN91:AN103" si="132">IF(AND($D91&gt;0,OR($M91=""))," * No olvide digitar la variable Espacios Amigables Hombres. Digite Cero si no tiene.",IF($M91&gt;$D91," * La variable Espacios Amigables Hombres no puede ser Mayor al Total Hombres.",""))</f>
        <v/>
      </c>
      <c r="AO91" s="620" t="str">
        <f t="shared" ref="AO91:AO103" si="133">IF(AND($E91&gt;0,OR(N91=""))," * No olvide digitar la variable Espacios Amigables Mujeres. Digite Cero si no tiene.",IF(N91&gt;$E91," * La variable Espacios Amigables Mujeres no puede ser Mayor al Total Mujeres.",""))</f>
        <v/>
      </c>
      <c r="AP91" s="470"/>
      <c r="AQ91" s="501">
        <f t="shared" ref="AQ91:AQ103" si="134">IF(AND($D91&gt;0,OR(G91="")),1,IF(G91&gt;$D91,1,0))</f>
        <v>0</v>
      </c>
      <c r="AR91" s="501">
        <f t="shared" ref="AR91:AR103" si="135">IF(AND($E91&gt;0,OR(H91="")),1,IF(H91&gt;$E91,1,0))</f>
        <v>0</v>
      </c>
      <c r="AS91" s="501">
        <f t="shared" ref="AS91:AS103" si="136">IF(AND($D91&gt;0,OR(J91="")),1,IF(J91&gt;$D91,1,0))</f>
        <v>0</v>
      </c>
      <c r="AT91" s="501">
        <f t="shared" ref="AT91:AT103" si="137">IF(AND($E91&gt;0,OR(K91="")),1,IF(K91&gt;$E91,1,0))</f>
        <v>0</v>
      </c>
      <c r="AU91" s="501">
        <f t="shared" ref="AU91:AU103" si="138">IF(AND($D91&gt;0,OR(M91="")),1,IF(M91&gt;$D91,1,0))</f>
        <v>0</v>
      </c>
      <c r="AV91" s="501">
        <f t="shared" ref="AV91:AV103" si="139">IF(AND($E91&gt;0,OR(N91="")),1,IF(N91&gt;$E91,1,0))</f>
        <v>0</v>
      </c>
    </row>
    <row r="92" spans="1:48" s="471" customFormat="1" ht="15" customHeight="1" x14ac:dyDescent="0.25">
      <c r="A92" s="2115" t="s">
        <v>796</v>
      </c>
      <c r="B92" s="1519" t="s">
        <v>750</v>
      </c>
      <c r="C92" s="1525">
        <f t="shared" ref="C92:C103" si="140">SUM(D92:E92)</f>
        <v>0</v>
      </c>
      <c r="D92" s="1382"/>
      <c r="E92" s="1439"/>
      <c r="F92" s="1449">
        <f t="shared" si="124"/>
        <v>0</v>
      </c>
      <c r="G92" s="1382"/>
      <c r="H92" s="1383"/>
      <c r="I92" s="1525">
        <f t="shared" si="125"/>
        <v>0</v>
      </c>
      <c r="J92" s="1382"/>
      <c r="K92" s="1383"/>
      <c r="L92" s="1450">
        <f t="shared" si="126"/>
        <v>0</v>
      </c>
      <c r="M92" s="1382"/>
      <c r="N92" s="1383"/>
      <c r="O92" s="471" t="str">
        <f t="shared" si="127"/>
        <v/>
      </c>
      <c r="P92"/>
      <c r="AA92" s="470"/>
      <c r="AB92" s="470"/>
      <c r="AC92" s="470"/>
      <c r="AD92" s="470"/>
      <c r="AE92" s="470"/>
      <c r="AF92" s="470"/>
      <c r="AG92" s="470"/>
      <c r="AH92" s="470"/>
      <c r="AI92" s="470"/>
      <c r="AJ92" s="620" t="str">
        <f t="shared" si="128"/>
        <v/>
      </c>
      <c r="AK92" s="620" t="str">
        <f t="shared" si="129"/>
        <v/>
      </c>
      <c r="AL92" s="620" t="str">
        <f t="shared" si="130"/>
        <v/>
      </c>
      <c r="AM92" s="620" t="str">
        <f t="shared" si="131"/>
        <v/>
      </c>
      <c r="AN92" s="620" t="str">
        <f t="shared" si="132"/>
        <v/>
      </c>
      <c r="AO92" s="620" t="str">
        <f t="shared" si="133"/>
        <v/>
      </c>
      <c r="AP92" s="470"/>
      <c r="AQ92" s="501">
        <f t="shared" si="134"/>
        <v>0</v>
      </c>
      <c r="AR92" s="501">
        <f t="shared" si="135"/>
        <v>0</v>
      </c>
      <c r="AS92" s="501">
        <f t="shared" si="136"/>
        <v>0</v>
      </c>
      <c r="AT92" s="501">
        <f t="shared" si="137"/>
        <v>0</v>
      </c>
      <c r="AU92" s="501">
        <f t="shared" si="138"/>
        <v>0</v>
      </c>
      <c r="AV92" s="501">
        <f t="shared" si="139"/>
        <v>0</v>
      </c>
    </row>
    <row r="93" spans="1:48" s="471" customFormat="1" ht="15" customHeight="1" x14ac:dyDescent="0.15">
      <c r="A93" s="2117"/>
      <c r="B93" s="1520" t="s">
        <v>795</v>
      </c>
      <c r="C93" s="1526">
        <f t="shared" si="140"/>
        <v>0</v>
      </c>
      <c r="D93" s="1504"/>
      <c r="E93" s="1505"/>
      <c r="F93" s="1436">
        <f t="shared" si="124"/>
        <v>0</v>
      </c>
      <c r="G93" s="1504"/>
      <c r="H93" s="1490"/>
      <c r="I93" s="1526">
        <f t="shared" si="125"/>
        <v>0</v>
      </c>
      <c r="J93" s="1504"/>
      <c r="K93" s="1490"/>
      <c r="L93" s="1437">
        <f>SUM(M93:N93)</f>
        <v>0</v>
      </c>
      <c r="M93" s="1504"/>
      <c r="N93" s="1490"/>
      <c r="O93" s="471" t="str">
        <f t="shared" si="127"/>
        <v/>
      </c>
      <c r="AA93" s="470"/>
      <c r="AB93" s="470"/>
      <c r="AC93" s="470"/>
      <c r="AD93" s="470"/>
      <c r="AE93" s="470"/>
      <c r="AF93" s="470"/>
      <c r="AG93" s="470"/>
      <c r="AH93" s="470"/>
      <c r="AI93" s="470"/>
      <c r="AJ93" s="620" t="str">
        <f t="shared" si="128"/>
        <v/>
      </c>
      <c r="AK93" s="620" t="str">
        <f t="shared" si="129"/>
        <v/>
      </c>
      <c r="AL93" s="620" t="str">
        <f t="shared" si="130"/>
        <v/>
      </c>
      <c r="AM93" s="620" t="str">
        <f t="shared" si="131"/>
        <v/>
      </c>
      <c r="AN93" s="620" t="str">
        <f>IF(AND($D93&gt;0,OR($M93=""))," * No olvide digitar la variable Espacios Amigables Hombres. Digite Cero si no tiene.",IF($M93&gt;$D93," * La variable Espacios Amigables Hombres no puede ser Mayor al Total Hombres.",""))</f>
        <v/>
      </c>
      <c r="AO93" s="620" t="str">
        <f t="shared" si="133"/>
        <v/>
      </c>
      <c r="AP93" s="470"/>
      <c r="AQ93" s="501">
        <f t="shared" si="134"/>
        <v>0</v>
      </c>
      <c r="AR93" s="501">
        <f t="shared" si="135"/>
        <v>0</v>
      </c>
      <c r="AS93" s="501">
        <f t="shared" si="136"/>
        <v>0</v>
      </c>
      <c r="AT93" s="501">
        <f t="shared" si="137"/>
        <v>0</v>
      </c>
      <c r="AU93" s="501">
        <f t="shared" si="138"/>
        <v>0</v>
      </c>
      <c r="AV93" s="501">
        <f>IF(AND($E93&gt;0,OR(N93="")),1,IF(N93&gt;$E93,1,0))</f>
        <v>0</v>
      </c>
    </row>
    <row r="94" spans="1:48" s="471" customFormat="1" ht="15" customHeight="1" x14ac:dyDescent="0.15">
      <c r="A94" s="2115" t="s">
        <v>797</v>
      </c>
      <c r="B94" s="1519" t="s">
        <v>750</v>
      </c>
      <c r="C94" s="1525">
        <f t="shared" si="140"/>
        <v>0</v>
      </c>
      <c r="D94" s="1382"/>
      <c r="E94" s="1439"/>
      <c r="F94" s="1449">
        <f t="shared" si="124"/>
        <v>0</v>
      </c>
      <c r="G94" s="1382"/>
      <c r="H94" s="1383"/>
      <c r="I94" s="1525">
        <f t="shared" si="125"/>
        <v>0</v>
      </c>
      <c r="J94" s="1382"/>
      <c r="K94" s="1383"/>
      <c r="L94" s="1450">
        <f t="shared" si="126"/>
        <v>0</v>
      </c>
      <c r="M94" s="1382"/>
      <c r="N94" s="1383"/>
      <c r="O94" s="471" t="str">
        <f t="shared" si="127"/>
        <v/>
      </c>
      <c r="AA94" s="470"/>
      <c r="AB94" s="470"/>
      <c r="AC94" s="470"/>
      <c r="AD94" s="470"/>
      <c r="AE94" s="470"/>
      <c r="AF94" s="470"/>
      <c r="AG94" s="470"/>
      <c r="AH94" s="470"/>
      <c r="AI94" s="470"/>
      <c r="AJ94" s="620" t="str">
        <f t="shared" si="128"/>
        <v/>
      </c>
      <c r="AK94" s="620" t="str">
        <f t="shared" si="129"/>
        <v/>
      </c>
      <c r="AL94" s="620" t="str">
        <f t="shared" si="130"/>
        <v/>
      </c>
      <c r="AM94" s="620" t="str">
        <f t="shared" si="131"/>
        <v/>
      </c>
      <c r="AN94" s="620" t="str">
        <f t="shared" si="132"/>
        <v/>
      </c>
      <c r="AO94" s="620" t="str">
        <f t="shared" si="133"/>
        <v/>
      </c>
      <c r="AP94" s="470"/>
      <c r="AQ94" s="501">
        <f t="shared" si="134"/>
        <v>0</v>
      </c>
      <c r="AR94" s="501">
        <f t="shared" si="135"/>
        <v>0</v>
      </c>
      <c r="AS94" s="501">
        <f t="shared" si="136"/>
        <v>0</v>
      </c>
      <c r="AT94" s="501">
        <f t="shared" si="137"/>
        <v>0</v>
      </c>
      <c r="AU94" s="501">
        <f t="shared" si="138"/>
        <v>0</v>
      </c>
      <c r="AV94" s="501">
        <f t="shared" si="139"/>
        <v>0</v>
      </c>
    </row>
    <row r="95" spans="1:48" s="471" customFormat="1" ht="15" customHeight="1" x14ac:dyDescent="0.25">
      <c r="A95" s="2117"/>
      <c r="B95" s="1520" t="s">
        <v>795</v>
      </c>
      <c r="C95" s="1526">
        <f t="shared" si="140"/>
        <v>0</v>
      </c>
      <c r="D95" s="1504"/>
      <c r="E95" s="1505"/>
      <c r="F95" s="1436">
        <f t="shared" si="124"/>
        <v>0</v>
      </c>
      <c r="G95" s="1504"/>
      <c r="H95" s="1490"/>
      <c r="I95" s="1526">
        <f t="shared" si="125"/>
        <v>0</v>
      </c>
      <c r="J95" s="1504"/>
      <c r="K95" s="1490"/>
      <c r="L95" s="1437">
        <f t="shared" si="126"/>
        <v>0</v>
      </c>
      <c r="M95" s="1504"/>
      <c r="N95" s="1490"/>
      <c r="O95" s="471" t="str">
        <f t="shared" si="127"/>
        <v/>
      </c>
      <c r="P95"/>
      <c r="AA95" s="470"/>
      <c r="AB95" s="470"/>
      <c r="AC95" s="470"/>
      <c r="AD95" s="470"/>
      <c r="AE95" s="470"/>
      <c r="AF95" s="470"/>
      <c r="AG95" s="470"/>
      <c r="AH95" s="470"/>
      <c r="AI95" s="470"/>
      <c r="AJ95" s="620" t="str">
        <f t="shared" si="128"/>
        <v/>
      </c>
      <c r="AK95" s="620" t="str">
        <f t="shared" si="129"/>
        <v/>
      </c>
      <c r="AL95" s="620" t="str">
        <f t="shared" si="130"/>
        <v/>
      </c>
      <c r="AM95" s="620" t="str">
        <f t="shared" si="131"/>
        <v/>
      </c>
      <c r="AN95" s="620" t="str">
        <f t="shared" si="132"/>
        <v/>
      </c>
      <c r="AO95" s="620" t="str">
        <f t="shared" si="133"/>
        <v/>
      </c>
      <c r="AP95" s="470"/>
      <c r="AQ95" s="501">
        <f t="shared" si="134"/>
        <v>0</v>
      </c>
      <c r="AR95" s="501">
        <f t="shared" si="135"/>
        <v>0</v>
      </c>
      <c r="AS95" s="501">
        <f t="shared" si="136"/>
        <v>0</v>
      </c>
      <c r="AT95" s="501">
        <f t="shared" si="137"/>
        <v>0</v>
      </c>
      <c r="AU95" s="501">
        <f t="shared" si="138"/>
        <v>0</v>
      </c>
      <c r="AV95" s="501">
        <f t="shared" si="139"/>
        <v>0</v>
      </c>
    </row>
    <row r="96" spans="1:48" s="471" customFormat="1" ht="15" customHeight="1" x14ac:dyDescent="0.15">
      <c r="A96" s="2115" t="s">
        <v>798</v>
      </c>
      <c r="B96" s="1519" t="s">
        <v>750</v>
      </c>
      <c r="C96" s="1525">
        <f t="shared" si="140"/>
        <v>0</v>
      </c>
      <c r="D96" s="1382"/>
      <c r="E96" s="1439"/>
      <c r="F96" s="1449">
        <f t="shared" si="124"/>
        <v>0</v>
      </c>
      <c r="G96" s="1382"/>
      <c r="H96" s="1383"/>
      <c r="I96" s="1525">
        <f t="shared" si="125"/>
        <v>0</v>
      </c>
      <c r="J96" s="1382"/>
      <c r="K96" s="1383"/>
      <c r="L96" s="1450">
        <f t="shared" si="126"/>
        <v>0</v>
      </c>
      <c r="M96" s="1382"/>
      <c r="N96" s="1383"/>
      <c r="O96" s="471" t="str">
        <f t="shared" si="127"/>
        <v/>
      </c>
      <c r="AA96" s="470"/>
      <c r="AB96" s="470"/>
      <c r="AC96" s="470"/>
      <c r="AD96" s="470"/>
      <c r="AE96" s="470"/>
      <c r="AF96" s="470"/>
      <c r="AG96" s="470"/>
      <c r="AH96" s="470"/>
      <c r="AI96" s="470"/>
      <c r="AJ96" s="620" t="str">
        <f t="shared" si="128"/>
        <v/>
      </c>
      <c r="AK96" s="620" t="str">
        <f t="shared" si="129"/>
        <v/>
      </c>
      <c r="AL96" s="620" t="str">
        <f t="shared" si="130"/>
        <v/>
      </c>
      <c r="AM96" s="620" t="str">
        <f t="shared" si="131"/>
        <v/>
      </c>
      <c r="AN96" s="620" t="str">
        <f t="shared" si="132"/>
        <v/>
      </c>
      <c r="AO96" s="620" t="str">
        <f t="shared" si="133"/>
        <v/>
      </c>
      <c r="AP96" s="470"/>
      <c r="AQ96" s="501">
        <f t="shared" si="134"/>
        <v>0</v>
      </c>
      <c r="AR96" s="501">
        <f t="shared" si="135"/>
        <v>0</v>
      </c>
      <c r="AS96" s="501">
        <f t="shared" si="136"/>
        <v>0</v>
      </c>
      <c r="AT96" s="501">
        <f t="shared" si="137"/>
        <v>0</v>
      </c>
      <c r="AU96" s="501">
        <f t="shared" si="138"/>
        <v>0</v>
      </c>
      <c r="AV96" s="501">
        <f t="shared" si="139"/>
        <v>0</v>
      </c>
    </row>
    <row r="97" spans="1:48" s="471" customFormat="1" ht="15" customHeight="1" x14ac:dyDescent="0.15">
      <c r="A97" s="2117"/>
      <c r="B97" s="1520" t="s">
        <v>795</v>
      </c>
      <c r="C97" s="1526">
        <f t="shared" si="140"/>
        <v>0</v>
      </c>
      <c r="D97" s="1504"/>
      <c r="E97" s="1505"/>
      <c r="F97" s="1436">
        <f t="shared" si="124"/>
        <v>0</v>
      </c>
      <c r="G97" s="1504"/>
      <c r="H97" s="1490"/>
      <c r="I97" s="1526">
        <f t="shared" si="125"/>
        <v>0</v>
      </c>
      <c r="J97" s="1504"/>
      <c r="K97" s="1490"/>
      <c r="L97" s="1437">
        <f t="shared" si="126"/>
        <v>0</v>
      </c>
      <c r="M97" s="1504"/>
      <c r="N97" s="1490"/>
      <c r="O97" s="471" t="str">
        <f t="shared" si="127"/>
        <v/>
      </c>
      <c r="AA97" s="470"/>
      <c r="AB97" s="470"/>
      <c r="AC97" s="470"/>
      <c r="AD97" s="470"/>
      <c r="AE97" s="470"/>
      <c r="AF97" s="470"/>
      <c r="AG97" s="470"/>
      <c r="AH97" s="470"/>
      <c r="AI97" s="470"/>
      <c r="AJ97" s="620" t="str">
        <f t="shared" si="128"/>
        <v/>
      </c>
      <c r="AK97" s="620" t="str">
        <f t="shared" si="129"/>
        <v/>
      </c>
      <c r="AL97" s="620" t="str">
        <f t="shared" si="130"/>
        <v/>
      </c>
      <c r="AM97" s="620" t="str">
        <f t="shared" si="131"/>
        <v/>
      </c>
      <c r="AN97" s="620" t="str">
        <f t="shared" si="132"/>
        <v/>
      </c>
      <c r="AO97" s="620" t="str">
        <f t="shared" si="133"/>
        <v/>
      </c>
      <c r="AP97" s="470"/>
      <c r="AQ97" s="501">
        <f t="shared" si="134"/>
        <v>0</v>
      </c>
      <c r="AR97" s="501">
        <f t="shared" si="135"/>
        <v>0</v>
      </c>
      <c r="AS97" s="501">
        <f t="shared" si="136"/>
        <v>0</v>
      </c>
      <c r="AT97" s="501">
        <f t="shared" si="137"/>
        <v>0</v>
      </c>
      <c r="AU97" s="501">
        <f t="shared" si="138"/>
        <v>0</v>
      </c>
      <c r="AV97" s="501">
        <f t="shared" si="139"/>
        <v>0</v>
      </c>
    </row>
    <row r="98" spans="1:48" s="471" customFormat="1" ht="15" customHeight="1" x14ac:dyDescent="0.15">
      <c r="A98" s="2115" t="s">
        <v>799</v>
      </c>
      <c r="B98" s="1519" t="s">
        <v>750</v>
      </c>
      <c r="C98" s="1525">
        <f t="shared" si="140"/>
        <v>0</v>
      </c>
      <c r="D98" s="1382"/>
      <c r="E98" s="1439"/>
      <c r="F98" s="1449">
        <f t="shared" si="124"/>
        <v>0</v>
      </c>
      <c r="G98" s="1382"/>
      <c r="H98" s="1383"/>
      <c r="I98" s="1525">
        <f t="shared" si="125"/>
        <v>0</v>
      </c>
      <c r="J98" s="1382"/>
      <c r="K98" s="1383"/>
      <c r="L98" s="1450">
        <f t="shared" si="126"/>
        <v>0</v>
      </c>
      <c r="M98" s="1382"/>
      <c r="N98" s="1383"/>
      <c r="O98" s="471" t="str">
        <f t="shared" si="127"/>
        <v/>
      </c>
      <c r="AA98" s="470"/>
      <c r="AB98" s="470"/>
      <c r="AC98" s="470"/>
      <c r="AD98" s="470"/>
      <c r="AE98" s="470"/>
      <c r="AF98" s="470"/>
      <c r="AG98" s="470"/>
      <c r="AH98" s="470"/>
      <c r="AI98" s="470"/>
      <c r="AJ98" s="620" t="str">
        <f t="shared" si="128"/>
        <v/>
      </c>
      <c r="AK98" s="620" t="str">
        <f t="shared" si="129"/>
        <v/>
      </c>
      <c r="AL98" s="620" t="str">
        <f t="shared" si="130"/>
        <v/>
      </c>
      <c r="AM98" s="620" t="str">
        <f t="shared" si="131"/>
        <v/>
      </c>
      <c r="AN98" s="620" t="str">
        <f t="shared" si="132"/>
        <v/>
      </c>
      <c r="AO98" s="620" t="str">
        <f t="shared" si="133"/>
        <v/>
      </c>
      <c r="AP98" s="470"/>
      <c r="AQ98" s="501">
        <f t="shared" si="134"/>
        <v>0</v>
      </c>
      <c r="AR98" s="501">
        <f t="shared" si="135"/>
        <v>0</v>
      </c>
      <c r="AS98" s="501">
        <f t="shared" si="136"/>
        <v>0</v>
      </c>
      <c r="AT98" s="501">
        <f t="shared" si="137"/>
        <v>0</v>
      </c>
      <c r="AU98" s="501">
        <f t="shared" si="138"/>
        <v>0</v>
      </c>
      <c r="AV98" s="501">
        <f t="shared" si="139"/>
        <v>0</v>
      </c>
    </row>
    <row r="99" spans="1:48" s="471" customFormat="1" ht="15" customHeight="1" x14ac:dyDescent="0.15">
      <c r="A99" s="2117"/>
      <c r="B99" s="1520" t="s">
        <v>795</v>
      </c>
      <c r="C99" s="1526">
        <f t="shared" si="140"/>
        <v>0</v>
      </c>
      <c r="D99" s="1504"/>
      <c r="E99" s="1505"/>
      <c r="F99" s="1436">
        <f t="shared" si="124"/>
        <v>0</v>
      </c>
      <c r="G99" s="1504"/>
      <c r="H99" s="1490"/>
      <c r="I99" s="1526">
        <f t="shared" si="125"/>
        <v>0</v>
      </c>
      <c r="J99" s="1504"/>
      <c r="K99" s="1490"/>
      <c r="L99" s="1437">
        <f t="shared" si="126"/>
        <v>0</v>
      </c>
      <c r="M99" s="1504"/>
      <c r="N99" s="1490"/>
      <c r="O99" s="471" t="str">
        <f t="shared" si="127"/>
        <v/>
      </c>
      <c r="AA99" s="470"/>
      <c r="AB99" s="470"/>
      <c r="AC99" s="470"/>
      <c r="AD99" s="470"/>
      <c r="AE99" s="470"/>
      <c r="AF99" s="470"/>
      <c r="AG99" s="470"/>
      <c r="AH99" s="470"/>
      <c r="AI99" s="470"/>
      <c r="AJ99" s="620" t="str">
        <f t="shared" si="128"/>
        <v/>
      </c>
      <c r="AK99" s="620" t="str">
        <f t="shared" si="129"/>
        <v/>
      </c>
      <c r="AL99" s="620" t="str">
        <f t="shared" si="130"/>
        <v/>
      </c>
      <c r="AM99" s="620" t="str">
        <f t="shared" si="131"/>
        <v/>
      </c>
      <c r="AN99" s="620" t="str">
        <f t="shared" si="132"/>
        <v/>
      </c>
      <c r="AO99" s="620" t="str">
        <f t="shared" si="133"/>
        <v/>
      </c>
      <c r="AP99" s="470"/>
      <c r="AQ99" s="501">
        <f t="shared" si="134"/>
        <v>0</v>
      </c>
      <c r="AR99" s="501">
        <f t="shared" si="135"/>
        <v>0</v>
      </c>
      <c r="AS99" s="501">
        <f t="shared" si="136"/>
        <v>0</v>
      </c>
      <c r="AT99" s="501">
        <f t="shared" si="137"/>
        <v>0</v>
      </c>
      <c r="AU99" s="501">
        <f t="shared" si="138"/>
        <v>0</v>
      </c>
      <c r="AV99" s="501">
        <f t="shared" si="139"/>
        <v>0</v>
      </c>
    </row>
    <row r="100" spans="1:48" s="471" customFormat="1" ht="15" customHeight="1" x14ac:dyDescent="0.15">
      <c r="A100" s="2115" t="s">
        <v>800</v>
      </c>
      <c r="B100" s="1519" t="s">
        <v>750</v>
      </c>
      <c r="C100" s="1525">
        <f t="shared" si="140"/>
        <v>0</v>
      </c>
      <c r="D100" s="1382"/>
      <c r="E100" s="1439"/>
      <c r="F100" s="1449">
        <f t="shared" si="124"/>
        <v>0</v>
      </c>
      <c r="G100" s="1382"/>
      <c r="H100" s="1383"/>
      <c r="I100" s="1525">
        <f t="shared" si="125"/>
        <v>0</v>
      </c>
      <c r="J100" s="1382"/>
      <c r="K100" s="1383"/>
      <c r="L100" s="1450">
        <f t="shared" si="126"/>
        <v>0</v>
      </c>
      <c r="M100" s="1382"/>
      <c r="N100" s="1383"/>
      <c r="O100" s="471" t="str">
        <f t="shared" si="127"/>
        <v/>
      </c>
      <c r="AA100" s="470"/>
      <c r="AB100" s="470"/>
      <c r="AC100" s="470"/>
      <c r="AD100" s="470"/>
      <c r="AE100" s="470"/>
      <c r="AF100" s="470"/>
      <c r="AG100" s="470"/>
      <c r="AH100" s="470"/>
      <c r="AI100" s="470"/>
      <c r="AJ100" s="620" t="str">
        <f t="shared" si="128"/>
        <v/>
      </c>
      <c r="AK100" s="620" t="str">
        <f t="shared" si="129"/>
        <v/>
      </c>
      <c r="AL100" s="620" t="str">
        <f t="shared" si="130"/>
        <v/>
      </c>
      <c r="AM100" s="620" t="str">
        <f t="shared" si="131"/>
        <v/>
      </c>
      <c r="AN100" s="620" t="str">
        <f t="shared" si="132"/>
        <v/>
      </c>
      <c r="AO100" s="620" t="str">
        <f t="shared" si="133"/>
        <v/>
      </c>
      <c r="AP100" s="470"/>
      <c r="AQ100" s="501">
        <f t="shared" si="134"/>
        <v>0</v>
      </c>
      <c r="AR100" s="501">
        <f t="shared" si="135"/>
        <v>0</v>
      </c>
      <c r="AS100" s="501">
        <f t="shared" si="136"/>
        <v>0</v>
      </c>
      <c r="AT100" s="501">
        <f t="shared" si="137"/>
        <v>0</v>
      </c>
      <c r="AU100" s="501">
        <f t="shared" si="138"/>
        <v>0</v>
      </c>
      <c r="AV100" s="501">
        <f t="shared" si="139"/>
        <v>0</v>
      </c>
    </row>
    <row r="101" spans="1:48" s="471" customFormat="1" ht="15" customHeight="1" x14ac:dyDescent="0.15">
      <c r="A101" s="2117"/>
      <c r="B101" s="1527" t="s">
        <v>795</v>
      </c>
      <c r="C101" s="1526">
        <f t="shared" si="140"/>
        <v>0</v>
      </c>
      <c r="D101" s="1504"/>
      <c r="E101" s="1505"/>
      <c r="F101" s="1436">
        <f t="shared" si="124"/>
        <v>0</v>
      </c>
      <c r="G101" s="1504"/>
      <c r="H101" s="1490"/>
      <c r="I101" s="1526">
        <f t="shared" si="125"/>
        <v>0</v>
      </c>
      <c r="J101" s="1504"/>
      <c r="K101" s="1490"/>
      <c r="L101" s="1437">
        <f t="shared" si="126"/>
        <v>0</v>
      </c>
      <c r="M101" s="1504"/>
      <c r="N101" s="1490"/>
      <c r="O101" s="471" t="str">
        <f t="shared" si="127"/>
        <v/>
      </c>
      <c r="AA101" s="470"/>
      <c r="AB101" s="470"/>
      <c r="AC101" s="470"/>
      <c r="AD101" s="470"/>
      <c r="AE101" s="470"/>
      <c r="AF101" s="470"/>
      <c r="AG101" s="470"/>
      <c r="AH101" s="470"/>
      <c r="AI101" s="470"/>
      <c r="AJ101" s="620" t="str">
        <f t="shared" si="128"/>
        <v/>
      </c>
      <c r="AK101" s="620" t="str">
        <f t="shared" si="129"/>
        <v/>
      </c>
      <c r="AL101" s="620" t="str">
        <f t="shared" si="130"/>
        <v/>
      </c>
      <c r="AM101" s="620" t="str">
        <f t="shared" si="131"/>
        <v/>
      </c>
      <c r="AN101" s="620" t="str">
        <f t="shared" si="132"/>
        <v/>
      </c>
      <c r="AO101" s="620" t="str">
        <f t="shared" si="133"/>
        <v/>
      </c>
      <c r="AP101" s="470"/>
      <c r="AQ101" s="501">
        <f t="shared" si="134"/>
        <v>0</v>
      </c>
      <c r="AR101" s="501">
        <f t="shared" si="135"/>
        <v>0</v>
      </c>
      <c r="AS101" s="501">
        <f t="shared" si="136"/>
        <v>0</v>
      </c>
      <c r="AT101" s="501">
        <f t="shared" si="137"/>
        <v>0</v>
      </c>
      <c r="AU101" s="501">
        <f t="shared" si="138"/>
        <v>0</v>
      </c>
      <c r="AV101" s="501">
        <f t="shared" si="139"/>
        <v>0</v>
      </c>
    </row>
    <row r="102" spans="1:48" s="471" customFormat="1" ht="15" customHeight="1" x14ac:dyDescent="0.15">
      <c r="A102" s="2115" t="s">
        <v>801</v>
      </c>
      <c r="B102" s="1528" t="s">
        <v>750</v>
      </c>
      <c r="C102" s="1529">
        <f t="shared" si="140"/>
        <v>0</v>
      </c>
      <c r="D102" s="1408"/>
      <c r="E102" s="1410"/>
      <c r="F102" s="1431">
        <f t="shared" si="124"/>
        <v>0</v>
      </c>
      <c r="G102" s="1408"/>
      <c r="H102" s="1409"/>
      <c r="I102" s="1529">
        <f t="shared" si="125"/>
        <v>0</v>
      </c>
      <c r="J102" s="1408"/>
      <c r="K102" s="1409"/>
      <c r="L102" s="1432">
        <f>SUM(M102:N102)</f>
        <v>0</v>
      </c>
      <c r="M102" s="1408"/>
      <c r="N102" s="1409"/>
      <c r="O102" s="471" t="str">
        <f t="shared" si="127"/>
        <v/>
      </c>
      <c r="AA102" s="470"/>
      <c r="AB102" s="470"/>
      <c r="AC102" s="470"/>
      <c r="AD102" s="470"/>
      <c r="AE102" s="470"/>
      <c r="AF102" s="470"/>
      <c r="AG102" s="470"/>
      <c r="AH102" s="470"/>
      <c r="AI102" s="470"/>
      <c r="AJ102" s="620" t="str">
        <f t="shared" si="128"/>
        <v/>
      </c>
      <c r="AK102" s="620" t="str">
        <f t="shared" si="129"/>
        <v/>
      </c>
      <c r="AL102" s="620" t="str">
        <f t="shared" si="130"/>
        <v/>
      </c>
      <c r="AM102" s="620" t="str">
        <f t="shared" si="131"/>
        <v/>
      </c>
      <c r="AN102" s="620" t="str">
        <f t="shared" si="132"/>
        <v/>
      </c>
      <c r="AO102" s="620" t="str">
        <f t="shared" si="133"/>
        <v/>
      </c>
      <c r="AP102" s="470"/>
      <c r="AQ102" s="501">
        <f t="shared" si="134"/>
        <v>0</v>
      </c>
      <c r="AR102" s="501">
        <f t="shared" si="135"/>
        <v>0</v>
      </c>
      <c r="AS102" s="501">
        <f t="shared" si="136"/>
        <v>0</v>
      </c>
      <c r="AT102" s="501">
        <f t="shared" si="137"/>
        <v>0</v>
      </c>
      <c r="AU102" s="501">
        <f t="shared" si="138"/>
        <v>0</v>
      </c>
      <c r="AV102" s="501">
        <f t="shared" si="139"/>
        <v>0</v>
      </c>
    </row>
    <row r="103" spans="1:48" s="471" customFormat="1" ht="15" customHeight="1" x14ac:dyDescent="0.15">
      <c r="A103" s="2117"/>
      <c r="B103" s="1527" t="s">
        <v>795</v>
      </c>
      <c r="C103" s="1445">
        <f t="shared" si="140"/>
        <v>0</v>
      </c>
      <c r="D103" s="1504"/>
      <c r="E103" s="1530"/>
      <c r="F103" s="1446">
        <f t="shared" si="124"/>
        <v>0</v>
      </c>
      <c r="G103" s="1504"/>
      <c r="H103" s="1490"/>
      <c r="I103" s="1445">
        <f t="shared" si="125"/>
        <v>0</v>
      </c>
      <c r="J103" s="1504"/>
      <c r="K103" s="1490"/>
      <c r="L103" s="1447">
        <f>SUM(M103:N103)</f>
        <v>0</v>
      </c>
      <c r="M103" s="1504"/>
      <c r="N103" s="1490"/>
      <c r="O103" s="471" t="str">
        <f>AJ103&amp;AK103&amp;AL103&amp;AM103&amp;AN103&amp;AO103</f>
        <v/>
      </c>
      <c r="P103" s="1531"/>
      <c r="Q103" s="1531"/>
      <c r="R103" s="1531"/>
      <c r="AA103" s="470"/>
      <c r="AB103" s="470"/>
      <c r="AC103" s="470"/>
      <c r="AD103" s="470"/>
      <c r="AE103" s="470"/>
      <c r="AF103" s="470"/>
      <c r="AG103" s="470"/>
      <c r="AH103" s="470"/>
      <c r="AI103" s="470"/>
      <c r="AJ103" s="620" t="str">
        <f t="shared" si="128"/>
        <v/>
      </c>
      <c r="AK103" s="620" t="str">
        <f t="shared" si="129"/>
        <v/>
      </c>
      <c r="AL103" s="620" t="str">
        <f t="shared" si="130"/>
        <v/>
      </c>
      <c r="AM103" s="620" t="str">
        <f t="shared" si="131"/>
        <v/>
      </c>
      <c r="AN103" s="620" t="str">
        <f t="shared" si="132"/>
        <v/>
      </c>
      <c r="AO103" s="620" t="str">
        <f t="shared" si="133"/>
        <v/>
      </c>
      <c r="AP103" s="470"/>
      <c r="AQ103" s="501">
        <f t="shared" si="134"/>
        <v>0</v>
      </c>
      <c r="AR103" s="501">
        <f t="shared" si="135"/>
        <v>0</v>
      </c>
      <c r="AS103" s="501">
        <f t="shared" si="136"/>
        <v>0</v>
      </c>
      <c r="AT103" s="501">
        <f t="shared" si="137"/>
        <v>0</v>
      </c>
      <c r="AU103" s="501">
        <f t="shared" si="138"/>
        <v>0</v>
      </c>
      <c r="AV103" s="501">
        <f t="shared" si="139"/>
        <v>0</v>
      </c>
    </row>
    <row r="104" spans="1:48" ht="15" customHeight="1" x14ac:dyDescent="0.15"/>
    <row r="105" spans="1:48" ht="15" customHeight="1" x14ac:dyDescent="0.15"/>
    <row r="108" spans="1:48" x14ac:dyDescent="0.15">
      <c r="A108" s="467"/>
      <c r="B108" s="467"/>
    </row>
    <row r="109" spans="1:48" ht="11.45" hidden="1" customHeight="1" x14ac:dyDescent="0.15">
      <c r="A109" s="1231">
        <f>SUM(C16:C42,C12,,C49:C54,C58:C67,C71:C78,C82:C86,C90:C103)</f>
        <v>0</v>
      </c>
      <c r="B109" s="1232" t="s">
        <v>204</v>
      </c>
      <c r="C109" s="470"/>
      <c r="D109" s="470"/>
      <c r="E109" s="470"/>
      <c r="F109" s="470"/>
      <c r="G109" s="470"/>
      <c r="H109" s="470"/>
      <c r="I109" s="470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/>
      <c r="W109" s="470"/>
      <c r="X109" s="470"/>
      <c r="Y109" s="470"/>
      <c r="Z109" s="470"/>
    </row>
    <row r="110" spans="1:48" ht="11.45" hidden="1" customHeight="1" x14ac:dyDescent="0.15">
      <c r="A110" s="1231">
        <f>SUM(AQ12:AV103)</f>
        <v>0</v>
      </c>
      <c r="B110" s="1232" t="s">
        <v>205</v>
      </c>
      <c r="C110" s="470"/>
      <c r="D110" s="470"/>
      <c r="E110" s="470"/>
      <c r="F110" s="470"/>
      <c r="G110" s="470"/>
      <c r="H110" s="470"/>
      <c r="I110" s="470"/>
      <c r="J110" s="470"/>
      <c r="K110" s="470"/>
      <c r="L110" s="470"/>
      <c r="M110" s="470"/>
      <c r="N110" s="470"/>
      <c r="O110" s="470"/>
      <c r="P110" s="470"/>
      <c r="Q110" s="470"/>
      <c r="R110" s="470"/>
      <c r="S110" s="470"/>
      <c r="T110" s="470"/>
      <c r="U110" s="470"/>
      <c r="V110" s="470"/>
      <c r="W110" s="470"/>
      <c r="X110" s="470"/>
      <c r="Y110" s="470"/>
      <c r="Z110" s="470"/>
    </row>
    <row r="111" spans="1:48" ht="11.45" customHeight="1" x14ac:dyDescent="0.15"/>
  </sheetData>
  <sheetProtection algorithmName="SHA-512" hashValue="haGfRTYbkcPh4smxNK+wquIHw4LiUrtrPdMTv9J7hOITbtfFJCxmEMo2cptKXJaXLWvruc1J216dVL8+eeMZlw==" saltValue="pXdg8qbRVcYXpCebeTbz6g==" spinCount="100000" sheet="1" objects="1" scenarios="1"/>
  <mergeCells count="93">
    <mergeCell ref="A14:B15"/>
    <mergeCell ref="C14:E14"/>
    <mergeCell ref="A24:A30"/>
    <mergeCell ref="A35:A43"/>
    <mergeCell ref="A16:A23"/>
    <mergeCell ref="A31:A34"/>
    <mergeCell ref="A76:B76"/>
    <mergeCell ref="A71:B71"/>
    <mergeCell ref="A72:B72"/>
    <mergeCell ref="A73:B73"/>
    <mergeCell ref="A74:B74"/>
    <mergeCell ref="A45:B48"/>
    <mergeCell ref="F45:H47"/>
    <mergeCell ref="A56:B57"/>
    <mergeCell ref="A52:B52"/>
    <mergeCell ref="A75:B75"/>
    <mergeCell ref="A53:B53"/>
    <mergeCell ref="A54:B54"/>
    <mergeCell ref="A49:B49"/>
    <mergeCell ref="A82:B82"/>
    <mergeCell ref="A83:B83"/>
    <mergeCell ref="A84:B84"/>
    <mergeCell ref="A85:B85"/>
    <mergeCell ref="A86:B86"/>
    <mergeCell ref="A102:A103"/>
    <mergeCell ref="A96:A97"/>
    <mergeCell ref="A98:A99"/>
    <mergeCell ref="A94:A95"/>
    <mergeCell ref="A90:A91"/>
    <mergeCell ref="A92:A93"/>
    <mergeCell ref="A100:A101"/>
    <mergeCell ref="L10:N10"/>
    <mergeCell ref="AJ9:AK9"/>
    <mergeCell ref="L56:N56"/>
    <mergeCell ref="AL9:AM9"/>
    <mergeCell ref="C45:E47"/>
    <mergeCell ref="C56:E56"/>
    <mergeCell ref="O56:Q56"/>
    <mergeCell ref="O45:Q47"/>
    <mergeCell ref="L45:N47"/>
    <mergeCell ref="O14:Q14"/>
    <mergeCell ref="L14:N14"/>
    <mergeCell ref="I14:K14"/>
    <mergeCell ref="F14:H14"/>
    <mergeCell ref="I45:K47"/>
    <mergeCell ref="L80:N80"/>
    <mergeCell ref="O80:Q80"/>
    <mergeCell ref="F56:H56"/>
    <mergeCell ref="I56:K56"/>
    <mergeCell ref="A64:B64"/>
    <mergeCell ref="A67:B67"/>
    <mergeCell ref="A58:B58"/>
    <mergeCell ref="A60:B60"/>
    <mergeCell ref="A61:B61"/>
    <mergeCell ref="A62:B62"/>
    <mergeCell ref="A63:B63"/>
    <mergeCell ref="A59:B59"/>
    <mergeCell ref="A65:B65"/>
    <mergeCell ref="A66:B66"/>
    <mergeCell ref="A77:B77"/>
    <mergeCell ref="A78:B78"/>
    <mergeCell ref="I88:K88"/>
    <mergeCell ref="L88:N88"/>
    <mergeCell ref="C69:E69"/>
    <mergeCell ref="F69:H69"/>
    <mergeCell ref="I69:K69"/>
    <mergeCell ref="L69:N69"/>
    <mergeCell ref="A79:Q79"/>
    <mergeCell ref="A87:N87"/>
    <mergeCell ref="A88:A89"/>
    <mergeCell ref="A80:B81"/>
    <mergeCell ref="B88:B89"/>
    <mergeCell ref="C88:E88"/>
    <mergeCell ref="F88:H88"/>
    <mergeCell ref="C80:E80"/>
    <mergeCell ref="F80:H80"/>
    <mergeCell ref="I80:K80"/>
    <mergeCell ref="O69:Q69"/>
    <mergeCell ref="A69:B70"/>
    <mergeCell ref="A7:Q7"/>
    <mergeCell ref="A9:Q9"/>
    <mergeCell ref="A13:Q13"/>
    <mergeCell ref="A44:Q44"/>
    <mergeCell ref="A55:Q55"/>
    <mergeCell ref="A68:Q68"/>
    <mergeCell ref="A50:B50"/>
    <mergeCell ref="A51:B51"/>
    <mergeCell ref="O10:Q10"/>
    <mergeCell ref="A12:B12"/>
    <mergeCell ref="A10:B11"/>
    <mergeCell ref="C10:E10"/>
    <mergeCell ref="F10:H10"/>
    <mergeCell ref="I10:K10"/>
  </mergeCells>
  <dataValidations count="8">
    <dataValidation allowBlank="1" showInputMessage="1" showErrorMessage="1" errorTitle=" Error de ingreso" error="Debe ingresar sólo números enteros positivos." sqref="S15 S17 P92 P95" xr:uid="{00000000-0002-0000-0800-000000000000}"/>
    <dataValidation type="whole" operator="greaterThanOrEqual" allowBlank="1" showInputMessage="1" showErrorMessage="1" sqref="R79:T79 O80 L80 G16:Q43 G49:Q54 G58:Q67 G71:Q78 G81:Q86 D90:N103" xr:uid="{00000000-0002-0000-0800-000001000000}">
      <formula1>0</formula1>
    </dataValidation>
    <dataValidation operator="greaterThanOrEqual" allowBlank="1" showInputMessage="1" showErrorMessage="1" sqref="I80" xr:uid="{8435063D-577A-46A5-BE43-87765374FC61}"/>
    <dataValidation type="whole" allowBlank="1" showInputMessage="1" showErrorMessage="1" sqref="G12 Q12" xr:uid="{3E23ED1A-4F32-4AF6-9F74-DBC30C2C424E}">
      <formula1>0</formula1>
      <formula2>9.99999999999999E+36</formula2>
    </dataValidation>
    <dataValidation type="whole" allowBlank="1" showInputMessage="1" showErrorMessage="1" sqref="H12 J12" xr:uid="{E77B68CD-5D46-4387-8550-E1E51256FF83}">
      <formula1>0</formula1>
      <formula2>9.99999999999999E+39</formula2>
    </dataValidation>
    <dataValidation type="whole" allowBlank="1" showInputMessage="1" showErrorMessage="1" sqref="K12" xr:uid="{0A94C353-72BF-458A-8115-BA4EB9FC1619}">
      <formula1>0</formula1>
      <formula2>9.99999999999999E+40</formula2>
    </dataValidation>
    <dataValidation type="whole" allowBlank="1" showInputMessage="1" showErrorMessage="1" sqref="M12:N12" xr:uid="{9266D78D-8E6A-4884-8372-B75F932B394E}">
      <formula1>0</formula1>
      <formula2>9.99999999999999E+38</formula2>
    </dataValidation>
    <dataValidation type="whole" allowBlank="1" showInputMessage="1" showErrorMessage="1" sqref="P12" xr:uid="{1755C62C-35E2-4862-84B1-765F2FFC6DA0}">
      <formula1>0</formula1>
      <formula2>9.99999999999999E+35</formula2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DA38"/>
  <sheetViews>
    <sheetView showGridLines="0" topLeftCell="A4" zoomScaleNormal="100" workbookViewId="0">
      <selection activeCell="A7" sqref="A7:AB7"/>
    </sheetView>
  </sheetViews>
  <sheetFormatPr baseColWidth="10" defaultColWidth="11.42578125" defaultRowHeight="15" x14ac:dyDescent="0.25"/>
  <cols>
    <col min="1" max="1" width="40" style="71" customWidth="1"/>
    <col min="2" max="2" width="21.85546875" style="71" customWidth="1"/>
    <col min="3" max="3" width="27.28515625" style="71" customWidth="1"/>
    <col min="4" max="4" width="18.85546875" style="71" customWidth="1"/>
    <col min="5" max="6" width="11.140625" style="71" customWidth="1"/>
    <col min="7" max="18" width="10" style="71" customWidth="1"/>
    <col min="19" max="32" width="10" style="48" customWidth="1"/>
    <col min="33" max="34" width="9.28515625" style="48" customWidth="1"/>
    <col min="35" max="44" width="9.5703125" style="48" customWidth="1"/>
    <col min="45" max="45" width="11.7109375" style="48" customWidth="1"/>
    <col min="46" max="46" width="11" style="48" customWidth="1"/>
    <col min="47" max="47" width="10.5703125" style="48" customWidth="1"/>
    <col min="48" max="48" width="10.140625" style="48" customWidth="1"/>
    <col min="49" max="49" width="15.140625" style="48" customWidth="1"/>
    <col min="50" max="50" width="14.140625" style="48" customWidth="1"/>
    <col min="51" max="51" width="7.85546875" style="48" customWidth="1"/>
    <col min="52" max="53" width="12.140625" style="48" customWidth="1"/>
    <col min="78" max="78" width="11.42578125" customWidth="1"/>
    <col min="79" max="95" width="12.140625" style="48" hidden="1" customWidth="1"/>
    <col min="96" max="102" width="12.140625" style="48" customWidth="1"/>
    <col min="103" max="104" width="11.7109375" style="48" customWidth="1"/>
    <col min="105" max="105" width="11.42578125" style="48" customWidth="1"/>
    <col min="106" max="16384" width="11.42578125" style="48"/>
  </cols>
  <sheetData>
    <row r="1" spans="1:100" ht="13.5" customHeight="1" x14ac:dyDescent="0.25">
      <c r="A1" s="30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89"/>
    </row>
    <row r="2" spans="1:100" ht="13.5" customHeight="1" x14ac:dyDescent="0.25">
      <c r="A2" s="30" t="str">
        <f>CONCATENATE("COMUNA: ",NOMBRE!$B$2,"   ","( ",NOMBRE!$C$2,NOMBRE!$D$2,NOMBRE!$E$2,NOMBRE!$F$2,NOMBRE!$G$2," )")</f>
        <v>COMUNA:    (  )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89"/>
    </row>
    <row r="3" spans="1:100" ht="13.5" customHeight="1" x14ac:dyDescent="0.25">
      <c r="A3" s="30" t="str">
        <f>CONCATENATE("ESTABLECIMIENTO/ESTRATEGIA: ",NOMBRE!$B$3,"   ","( ",NOMBRE!$C$3,NOMBRE!$D$3,NOMBRE!$E$3,NOMBRE!$F$3,NOMBRE!$G$3,NOMBRE!$H$3," )")</f>
        <v>ESTABLECIMIENTO/ESTRATEGIA:    (  )</v>
      </c>
      <c r="B3" s="49"/>
      <c r="C3" s="50"/>
      <c r="D3" s="49"/>
      <c r="E3" s="49"/>
      <c r="F3" s="49"/>
      <c r="G3" s="49"/>
      <c r="H3" s="49"/>
      <c r="I3" s="49"/>
      <c r="J3" s="49"/>
      <c r="K3" s="49"/>
      <c r="L3" s="89"/>
    </row>
    <row r="4" spans="1:100" ht="13.5" customHeight="1" x14ac:dyDescent="0.25">
      <c r="A4" s="30" t="str">
        <f>CONCATENATE("MES: ",NOMBRE!$B$6,"   ","( ",NOMBRE!$C$6,NOMBRE!$D$6," )")</f>
        <v>MES:    (  )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89"/>
    </row>
    <row r="5" spans="1:100" ht="13.5" customHeight="1" x14ac:dyDescent="0.25">
      <c r="A5" s="30" t="str">
        <f>CONCATENATE("AÑO: ",NOMBRE!$B$7)</f>
        <v>AÑO: 2026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89"/>
    </row>
    <row r="6" spans="1:100" x14ac:dyDescent="0.25">
      <c r="A6" s="51"/>
      <c r="B6" s="49"/>
      <c r="C6" s="49"/>
      <c r="D6" s="49"/>
      <c r="E6" s="49"/>
      <c r="F6" s="49"/>
      <c r="G6" s="49"/>
      <c r="H6" s="49"/>
      <c r="I6" s="49"/>
      <c r="J6" s="49"/>
      <c r="K6" s="49"/>
      <c r="L6" s="89"/>
    </row>
    <row r="7" spans="1:100" ht="18" customHeight="1" x14ac:dyDescent="0.25">
      <c r="A7" s="2447" t="s">
        <v>802</v>
      </c>
      <c r="B7" s="2447"/>
      <c r="C7" s="2447"/>
      <c r="D7" s="2447"/>
      <c r="E7" s="2447"/>
      <c r="F7" s="2447"/>
      <c r="G7" s="2447"/>
      <c r="H7" s="2447"/>
      <c r="I7" s="2447"/>
      <c r="J7" s="2447"/>
      <c r="K7" s="2447"/>
      <c r="L7" s="2447"/>
      <c r="M7" s="2447"/>
      <c r="N7" s="2447"/>
      <c r="O7" s="2447"/>
      <c r="P7" s="2447"/>
      <c r="Q7" s="2447"/>
      <c r="R7" s="2447"/>
      <c r="S7" s="2447"/>
      <c r="T7" s="2447"/>
      <c r="U7" s="2447"/>
      <c r="V7" s="2447"/>
      <c r="W7" s="2447"/>
      <c r="X7" s="2447"/>
      <c r="Y7" s="2447"/>
      <c r="Z7" s="2447"/>
      <c r="AA7" s="2447"/>
      <c r="AB7" s="2447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</row>
    <row r="8" spans="1:100" ht="17.100000000000001" customHeight="1" x14ac:dyDescent="0.25">
      <c r="A8" s="2450" t="s">
        <v>803</v>
      </c>
      <c r="B8" s="2450"/>
      <c r="C8" s="2450"/>
      <c r="D8" s="2450"/>
      <c r="E8" s="2450"/>
      <c r="F8" s="2450"/>
      <c r="G8" s="2450"/>
      <c r="H8" s="2450"/>
      <c r="I8" s="2450"/>
      <c r="J8" s="2450"/>
      <c r="K8" s="89"/>
      <c r="L8" s="89"/>
    </row>
    <row r="9" spans="1:100" ht="15" customHeight="1" x14ac:dyDescent="0.25">
      <c r="A9" s="2482" t="s">
        <v>804</v>
      </c>
      <c r="B9" s="2482"/>
      <c r="C9" s="2483"/>
      <c r="D9" s="2470" t="s">
        <v>49</v>
      </c>
      <c r="E9" s="2471"/>
      <c r="F9" s="2472"/>
      <c r="G9" s="2467" t="s">
        <v>370</v>
      </c>
      <c r="H9" s="2468"/>
      <c r="I9" s="2468"/>
      <c r="J9" s="2468"/>
      <c r="K9" s="2468"/>
      <c r="L9" s="2468"/>
      <c r="M9" s="2468"/>
      <c r="N9" s="2468"/>
      <c r="O9" s="2468"/>
      <c r="P9" s="2468"/>
      <c r="Q9" s="2468"/>
      <c r="R9" s="2468"/>
      <c r="S9" s="2468"/>
      <c r="T9" s="2468"/>
      <c r="U9" s="2468"/>
      <c r="V9" s="2468"/>
      <c r="W9" s="2468"/>
      <c r="X9" s="2468"/>
      <c r="Y9" s="2468"/>
      <c r="Z9" s="2468"/>
      <c r="AA9" s="2468"/>
      <c r="AB9" s="2468"/>
      <c r="AC9" s="2468"/>
      <c r="AD9" s="2468"/>
      <c r="AE9" s="2468"/>
      <c r="AF9" s="2468"/>
      <c r="AG9" s="2468"/>
      <c r="AH9" s="2468"/>
      <c r="AI9" s="2468"/>
      <c r="AJ9" s="2468"/>
      <c r="AK9" s="2468"/>
      <c r="AL9" s="2468"/>
      <c r="AM9" s="2468"/>
      <c r="AN9" s="2468"/>
      <c r="AO9" s="2468"/>
      <c r="AP9" s="2468"/>
      <c r="AQ9" s="2468"/>
      <c r="AR9" s="2469"/>
      <c r="AS9" s="2176" t="s">
        <v>614</v>
      </c>
      <c r="AT9" s="2177"/>
      <c r="AU9" s="2463" t="s">
        <v>51</v>
      </c>
      <c r="AV9" s="2459" t="s">
        <v>108</v>
      </c>
      <c r="AW9" s="2456" t="s">
        <v>899</v>
      </c>
      <c r="AX9" s="2451" t="s">
        <v>898</v>
      </c>
      <c r="CA9" s="2278" t="s">
        <v>614</v>
      </c>
      <c r="CB9" s="2177"/>
      <c r="CC9" s="2204" t="s">
        <v>51</v>
      </c>
      <c r="CD9" s="2204" t="s">
        <v>566</v>
      </c>
      <c r="CE9" s="2204" t="s">
        <v>805</v>
      </c>
      <c r="CF9" s="2204" t="s">
        <v>806</v>
      </c>
      <c r="CG9" s="2173"/>
      <c r="CH9" s="2173"/>
      <c r="CI9" s="2173"/>
      <c r="CJ9" s="2173"/>
      <c r="CK9" s="2173"/>
      <c r="CL9" s="2278" t="s">
        <v>614</v>
      </c>
      <c r="CM9" s="2177"/>
      <c r="CN9" s="2204" t="s">
        <v>51</v>
      </c>
      <c r="CO9" s="2204" t="s">
        <v>566</v>
      </c>
      <c r="CP9" s="2204" t="s">
        <v>805</v>
      </c>
      <c r="CQ9" s="2278" t="s">
        <v>806</v>
      </c>
      <c r="CR9" s="2173"/>
      <c r="CS9" s="2173"/>
      <c r="CT9" s="2173"/>
      <c r="CU9" s="2173"/>
      <c r="CV9" s="2173"/>
    </row>
    <row r="10" spans="1:100" ht="15" customHeight="1" x14ac:dyDescent="0.25">
      <c r="A10" s="2484"/>
      <c r="B10" s="2484"/>
      <c r="C10" s="2485"/>
      <c r="D10" s="2473"/>
      <c r="E10" s="2474"/>
      <c r="F10" s="2475"/>
      <c r="G10" s="2158" t="s">
        <v>807</v>
      </c>
      <c r="H10" s="2159"/>
      <c r="I10" s="2455" t="s">
        <v>373</v>
      </c>
      <c r="J10" s="2455"/>
      <c r="K10" s="2479" t="s">
        <v>808</v>
      </c>
      <c r="L10" s="2480"/>
      <c r="M10" s="2455" t="s">
        <v>395</v>
      </c>
      <c r="N10" s="2455"/>
      <c r="O10" s="2158" t="s">
        <v>314</v>
      </c>
      <c r="P10" s="2159"/>
      <c r="Q10" s="2455" t="s">
        <v>57</v>
      </c>
      <c r="R10" s="2455"/>
      <c r="S10" s="2453" t="s">
        <v>58</v>
      </c>
      <c r="T10" s="2458"/>
      <c r="U10" s="2454" t="s">
        <v>59</v>
      </c>
      <c r="V10" s="2454"/>
      <c r="W10" s="2453" t="s">
        <v>60</v>
      </c>
      <c r="X10" s="2458"/>
      <c r="Y10" s="2454" t="s">
        <v>61</v>
      </c>
      <c r="Z10" s="2454"/>
      <c r="AA10" s="2453" t="s">
        <v>62</v>
      </c>
      <c r="AB10" s="2458"/>
      <c r="AC10" s="2454" t="s">
        <v>63</v>
      </c>
      <c r="AD10" s="2454"/>
      <c r="AE10" s="2453" t="s">
        <v>64</v>
      </c>
      <c r="AF10" s="2458"/>
      <c r="AG10" s="2453" t="s">
        <v>65</v>
      </c>
      <c r="AH10" s="2458"/>
      <c r="AI10" s="2454" t="s">
        <v>66</v>
      </c>
      <c r="AJ10" s="2454"/>
      <c r="AK10" s="2453" t="s">
        <v>67</v>
      </c>
      <c r="AL10" s="2458"/>
      <c r="AM10" s="2455" t="s">
        <v>396</v>
      </c>
      <c r="AN10" s="2455"/>
      <c r="AO10" s="2158" t="s">
        <v>397</v>
      </c>
      <c r="AP10" s="2159"/>
      <c r="AQ10" s="2455" t="s">
        <v>398</v>
      </c>
      <c r="AR10" s="2466"/>
      <c r="AS10" s="2178"/>
      <c r="AT10" s="2179"/>
      <c r="AU10" s="2464"/>
      <c r="AV10" s="2460"/>
      <c r="AW10" s="2457"/>
      <c r="AX10" s="2452"/>
      <c r="CA10" s="2279"/>
      <c r="CB10" s="2179"/>
      <c r="CC10" s="2240"/>
      <c r="CD10" s="2240"/>
      <c r="CE10" s="2240"/>
      <c r="CF10" s="2240"/>
      <c r="CG10" s="2173"/>
      <c r="CH10" s="2173"/>
      <c r="CI10" s="2173"/>
      <c r="CJ10" s="2173"/>
      <c r="CK10" s="2173"/>
      <c r="CL10" s="2279"/>
      <c r="CM10" s="2179"/>
      <c r="CN10" s="2240"/>
      <c r="CO10" s="2240"/>
      <c r="CP10" s="2240"/>
      <c r="CQ10" s="2488"/>
      <c r="CR10" s="2173"/>
      <c r="CS10" s="2173"/>
      <c r="CT10" s="2173"/>
      <c r="CU10" s="2173"/>
      <c r="CV10" s="2173"/>
    </row>
    <row r="11" spans="1:100" ht="45.75" customHeight="1" x14ac:dyDescent="0.25">
      <c r="A11" s="2486"/>
      <c r="B11" s="2486"/>
      <c r="C11" s="2487"/>
      <c r="D11" s="437" t="s">
        <v>224</v>
      </c>
      <c r="E11" s="438" t="s">
        <v>86</v>
      </c>
      <c r="F11" s="439" t="s">
        <v>225</v>
      </c>
      <c r="G11" s="351" t="s">
        <v>400</v>
      </c>
      <c r="H11" s="291" t="s">
        <v>225</v>
      </c>
      <c r="I11" s="399" t="s">
        <v>400</v>
      </c>
      <c r="J11" s="52" t="s">
        <v>225</v>
      </c>
      <c r="K11" s="351" t="s">
        <v>400</v>
      </c>
      <c r="L11" s="291" t="s">
        <v>225</v>
      </c>
      <c r="M11" s="399" t="s">
        <v>400</v>
      </c>
      <c r="N11" s="52" t="s">
        <v>225</v>
      </c>
      <c r="O11" s="351" t="s">
        <v>400</v>
      </c>
      <c r="P11" s="291" t="s">
        <v>225</v>
      </c>
      <c r="Q11" s="399" t="s">
        <v>400</v>
      </c>
      <c r="R11" s="52" t="s">
        <v>225</v>
      </c>
      <c r="S11" s="351" t="s">
        <v>400</v>
      </c>
      <c r="T11" s="291" t="s">
        <v>225</v>
      </c>
      <c r="U11" s="399" t="s">
        <v>400</v>
      </c>
      <c r="V11" s="52" t="s">
        <v>225</v>
      </c>
      <c r="W11" s="351" t="s">
        <v>400</v>
      </c>
      <c r="X11" s="291" t="s">
        <v>225</v>
      </c>
      <c r="Y11" s="399" t="s">
        <v>400</v>
      </c>
      <c r="Z11" s="52" t="s">
        <v>225</v>
      </c>
      <c r="AA11" s="351" t="s">
        <v>400</v>
      </c>
      <c r="AB11" s="291" t="s">
        <v>225</v>
      </c>
      <c r="AC11" s="399" t="s">
        <v>400</v>
      </c>
      <c r="AD11" s="52" t="s">
        <v>225</v>
      </c>
      <c r="AE11" s="351" t="s">
        <v>400</v>
      </c>
      <c r="AF11" s="291" t="s">
        <v>225</v>
      </c>
      <c r="AG11" s="351" t="s">
        <v>400</v>
      </c>
      <c r="AH11" s="291" t="s">
        <v>225</v>
      </c>
      <c r="AI11" s="399" t="s">
        <v>400</v>
      </c>
      <c r="AJ11" s="52" t="s">
        <v>225</v>
      </c>
      <c r="AK11" s="351" t="s">
        <v>400</v>
      </c>
      <c r="AL11" s="291" t="s">
        <v>225</v>
      </c>
      <c r="AM11" s="399" t="s">
        <v>400</v>
      </c>
      <c r="AN11" s="52" t="s">
        <v>225</v>
      </c>
      <c r="AO11" s="351" t="s">
        <v>400</v>
      </c>
      <c r="AP11" s="291" t="s">
        <v>225</v>
      </c>
      <c r="AQ11" s="399" t="s">
        <v>400</v>
      </c>
      <c r="AR11" s="53" t="s">
        <v>225</v>
      </c>
      <c r="AS11" s="72" t="s">
        <v>615</v>
      </c>
      <c r="AT11" s="291" t="s">
        <v>617</v>
      </c>
      <c r="AU11" s="2465"/>
      <c r="AV11" s="2461"/>
      <c r="AW11" s="1980"/>
      <c r="AX11" s="1845"/>
      <c r="CA11" s="398" t="s">
        <v>615</v>
      </c>
      <c r="CB11" s="398" t="s">
        <v>809</v>
      </c>
      <c r="CC11" s="2205"/>
      <c r="CD11" s="2205"/>
      <c r="CE11" s="2205"/>
      <c r="CF11" s="2205"/>
      <c r="CG11" s="76"/>
      <c r="CH11" s="76"/>
      <c r="CI11" s="76"/>
      <c r="CJ11" s="76"/>
      <c r="CK11" s="76"/>
      <c r="CL11" s="398" t="s">
        <v>615</v>
      </c>
      <c r="CM11" s="398" t="s">
        <v>809</v>
      </c>
      <c r="CN11" s="2205"/>
      <c r="CO11" s="2205"/>
      <c r="CP11" s="2205"/>
      <c r="CQ11" s="2279"/>
      <c r="CR11" s="76"/>
      <c r="CS11" s="76"/>
      <c r="CT11" s="76"/>
      <c r="CU11" s="76"/>
      <c r="CV11" s="76"/>
    </row>
    <row r="12" spans="1:100" ht="15" customHeight="1" x14ac:dyDescent="0.25">
      <c r="A12" s="2177" t="s">
        <v>810</v>
      </c>
      <c r="B12" s="2481" t="s">
        <v>604</v>
      </c>
      <c r="C12" s="208" t="s">
        <v>811</v>
      </c>
      <c r="D12" s="322">
        <f>SUM(F12)</f>
        <v>0</v>
      </c>
      <c r="E12" s="318"/>
      <c r="F12" s="209">
        <f>+P12+R12+T12+V12+X12+Z12+AB12+AD12+AF12+AH12</f>
        <v>0</v>
      </c>
      <c r="G12" s="220"/>
      <c r="H12" s="221"/>
      <c r="I12" s="220"/>
      <c r="J12" s="221"/>
      <c r="K12" s="220"/>
      <c r="L12" s="221"/>
      <c r="M12" s="220"/>
      <c r="N12" s="221"/>
      <c r="O12" s="220"/>
      <c r="P12" s="66"/>
      <c r="Q12" s="220"/>
      <c r="R12" s="66"/>
      <c r="S12" s="220"/>
      <c r="T12" s="66"/>
      <c r="U12" s="220"/>
      <c r="V12" s="66"/>
      <c r="W12" s="220"/>
      <c r="X12" s="66"/>
      <c r="Y12" s="220"/>
      <c r="Z12" s="66"/>
      <c r="AA12" s="220"/>
      <c r="AB12" s="66"/>
      <c r="AC12" s="220"/>
      <c r="AD12" s="66"/>
      <c r="AE12" s="220"/>
      <c r="AF12" s="66"/>
      <c r="AG12" s="220"/>
      <c r="AH12" s="66"/>
      <c r="AI12" s="220"/>
      <c r="AJ12" s="221"/>
      <c r="AK12" s="220"/>
      <c r="AL12" s="221"/>
      <c r="AM12" s="220"/>
      <c r="AN12" s="221"/>
      <c r="AO12" s="220"/>
      <c r="AP12" s="221"/>
      <c r="AQ12" s="220"/>
      <c r="AR12" s="224"/>
      <c r="AS12" s="226"/>
      <c r="AT12" s="221"/>
      <c r="AU12" s="268"/>
      <c r="AV12" s="227"/>
      <c r="AW12" s="227"/>
      <c r="AX12" s="66"/>
      <c r="AY12" s="77" t="str">
        <f>CA12&amp;CB12&amp;CC12&amp;CD12&amp;CE12&amp;CF12</f>
        <v/>
      </c>
      <c r="CA12" s="80" t="str">
        <f>IF(AND($F12&gt;0,OR($AS12=""))," * No olvide digitar la variable Trans Masculino. Digite Cero si no tiene.",IF($AS12&gt;$F12," * La variable Trans Masculino no debe ser mayor al Total Mujeres.",""))</f>
        <v/>
      </c>
      <c r="CB12" s="292"/>
      <c r="CC12" s="80" t="str">
        <f>IF(AND($D12&gt;0,OR($AU12=""))," * No olvide digitar la variable Pueblos Originarios. Digite Cero si no tiene.",IF($AU12&gt;D12," * La variable Pueblos Originarios no puede ser Mayor al Total Ambos Sexos.",""))</f>
        <v/>
      </c>
      <c r="CD12" s="80" t="str">
        <f>IF(AND($D12&gt;0,OR($AV12=""))," * No olvide digitar la variable Migrantes. Digite Cero si no tiene.",IF($AV12&gt;$D12," * La variable Migrantes no puede ser Mayor al Total Ambos Sexos.",""))</f>
        <v/>
      </c>
      <c r="CE12" s="80" t="str">
        <f>IF(AND($D12&gt;0,OR($AW12=""))," * No olvide digitar la variable "&amp;AW$9&amp;". Digite Cero si no tiene.",IF($AW12&gt;$D12," * La variable "&amp;AW$9&amp;" no puede ser Mayor al Total Ambos Sexos.",""))</f>
        <v/>
      </c>
      <c r="CF12" s="80" t="str">
        <f>IF(AND($D12&gt;0,OR($AX12=""))," * No olvide digitar la variable "&amp;AX$9&amp;". Digite Cero si no tiene.",IF($AX12&gt;$D12," * La variable "&amp;AX$9&amp;" no puede ser Mayor al Total Ambos Sexos.",""))</f>
        <v/>
      </c>
      <c r="CL12" s="287">
        <f>IF(AND($F12&gt;0,OR($AS12="")),1,IF($AS12&gt;$F12,1,0))</f>
        <v>0</v>
      </c>
      <c r="CM12" s="292"/>
      <c r="CN12" s="287">
        <f t="shared" ref="CN12:CN17" si="0">IF(AND($D12&gt;0,OR($AU12="")),1,IF($AU12&gt;$D12,1,0))</f>
        <v>0</v>
      </c>
      <c r="CO12" s="287">
        <f>IF(AND($D12&gt;0,OR($AV12="")),1,IF($AV12&gt;$D12,1,0))</f>
        <v>0</v>
      </c>
      <c r="CP12" s="287">
        <f>IF(AND($D12&gt;0,OR($AW12="")),1,IF($AW12&gt;$D12,1,0))</f>
        <v>0</v>
      </c>
      <c r="CQ12" s="287">
        <f>IF(AND($D12&gt;0,OR($AX12="")),1,IF($AX12&gt;$D12,1,0))</f>
        <v>0</v>
      </c>
      <c r="CR12" s="293"/>
    </row>
    <row r="13" spans="1:100" ht="15" customHeight="1" x14ac:dyDescent="0.25">
      <c r="A13" s="2462"/>
      <c r="B13" s="2478"/>
      <c r="C13" s="210" t="s">
        <v>812</v>
      </c>
      <c r="D13" s="323">
        <f>SUM(F13)</f>
        <v>0</v>
      </c>
      <c r="E13" s="319"/>
      <c r="F13" s="211">
        <f>+P13+R13+T13+V13+X13+Z13+AB13+AD13+AF13+AH13</f>
        <v>0</v>
      </c>
      <c r="G13" s="222"/>
      <c r="H13" s="223"/>
      <c r="I13" s="222"/>
      <c r="J13" s="223"/>
      <c r="K13" s="222"/>
      <c r="L13" s="223"/>
      <c r="M13" s="222"/>
      <c r="N13" s="223"/>
      <c r="O13" s="222"/>
      <c r="P13" s="69"/>
      <c r="Q13" s="222"/>
      <c r="R13" s="69"/>
      <c r="S13" s="222"/>
      <c r="T13" s="69"/>
      <c r="U13" s="222"/>
      <c r="V13" s="69"/>
      <c r="W13" s="222"/>
      <c r="X13" s="69"/>
      <c r="Y13" s="222"/>
      <c r="Z13" s="69"/>
      <c r="AA13" s="222"/>
      <c r="AB13" s="69"/>
      <c r="AC13" s="222"/>
      <c r="AD13" s="69"/>
      <c r="AE13" s="222"/>
      <c r="AF13" s="69"/>
      <c r="AG13" s="222"/>
      <c r="AH13" s="69"/>
      <c r="AI13" s="222"/>
      <c r="AJ13" s="223"/>
      <c r="AK13" s="222"/>
      <c r="AL13" s="223"/>
      <c r="AM13" s="222"/>
      <c r="AN13" s="223"/>
      <c r="AO13" s="222"/>
      <c r="AP13" s="223"/>
      <c r="AQ13" s="222"/>
      <c r="AR13" s="225"/>
      <c r="AS13" s="228"/>
      <c r="AT13" s="223"/>
      <c r="AU13" s="206"/>
      <c r="AV13" s="229"/>
      <c r="AW13" s="229"/>
      <c r="AX13" s="69"/>
      <c r="AY13" s="77" t="str">
        <f t="shared" ref="AY13:AY17" si="1">CA13&amp;CB13&amp;CC13&amp;CD13&amp;CE13&amp;CF13</f>
        <v/>
      </c>
      <c r="CA13" s="80" t="str">
        <f t="shared" ref="CA13:CA17" si="2">IF(AND($F13&gt;0,OR($AS13=""))," * No olvide digitar la variable Trans Masculino. Digite Cero si no tiene.",IF($AS13&gt;$F13," * La variable Trans Masculino no debe ser mayor al Total Mujeres.",""))</f>
        <v/>
      </c>
      <c r="CB13" s="292"/>
      <c r="CC13" s="80" t="str">
        <f t="shared" ref="CC13:CC17" si="3">IF(AND($D13&gt;0,OR($AU13=""))," * No olvide digitar la variable Pueblos Originarios. Digite Cero si no tiene.",IF($AU13&gt;D13," * La variable Pueblos Originarios no puede ser Mayor al Total Ambos Sexos.",""))</f>
        <v/>
      </c>
      <c r="CD13" s="80" t="str">
        <f t="shared" ref="CD13:CD17" si="4">IF(AND($D13&gt;0,OR($AV13=""))," * No olvide digitar la variable Migrantes. Digite Cero si no tiene.",IF($AV13&gt;$D13," * La variable Migrantes no puede ser Mayor al Total Ambos Sexos.",""))</f>
        <v/>
      </c>
      <c r="CE13" s="80" t="str">
        <f t="shared" ref="CE13:CE17" si="5">IF(AND($D13&gt;0,OR($AW13=""))," * No olvide digitar la variable "&amp;AW$9&amp;". Digite Cero si no tiene.",IF($AW13&gt;$D13," * La variable "&amp;AW$9&amp;" no puede ser Mayor al Total Ambos Sexos.",""))</f>
        <v/>
      </c>
      <c r="CF13" s="80" t="str">
        <f t="shared" ref="CF13:CF17" si="6">IF(AND($D13&gt;0,OR($AX13=""))," * No olvide digitar la variable "&amp;AX$9&amp;". Digite Cero si no tiene.",IF($AX13&gt;$D13," * La variable "&amp;AX$9&amp;" no puede ser Mayor al Total Ambos Sexos.",""))</f>
        <v/>
      </c>
      <c r="CL13" s="287">
        <f t="shared" ref="CL13:CL17" si="7">IF(AND($F13&gt;0,OR($AS13="")),1,IF($AS13&gt;$F13,1,0))</f>
        <v>0</v>
      </c>
      <c r="CM13" s="292"/>
      <c r="CN13" s="287">
        <f t="shared" si="0"/>
        <v>0</v>
      </c>
      <c r="CO13" s="287">
        <f t="shared" ref="CO13:CO17" si="8">IF(AND($D13&gt;0,OR($AV13="")),1,IF($AV13&gt;$D13,1,0))</f>
        <v>0</v>
      </c>
      <c r="CP13" s="287">
        <f t="shared" ref="CP13:CP17" si="9">IF(AND($D13&gt;0,OR($AW13="")),1,IF($AW13&gt;$D13,1,0))</f>
        <v>0</v>
      </c>
      <c r="CQ13" s="287">
        <f t="shared" ref="CQ13:CQ17" si="10">IF(AND($D13&gt;0,OR($AX13="")),1,IF($AX13&gt;$D13,1,0))</f>
        <v>0</v>
      </c>
      <c r="CR13" s="293"/>
    </row>
    <row r="14" spans="1:100" ht="15" customHeight="1" x14ac:dyDescent="0.25">
      <c r="A14" s="2462"/>
      <c r="B14" s="2477" t="s">
        <v>813</v>
      </c>
      <c r="C14" s="212" t="s">
        <v>814</v>
      </c>
      <c r="D14" s="322">
        <f>SUM(E14:F14)</f>
        <v>0</v>
      </c>
      <c r="E14" s="320">
        <f>+G14+I14+K14+M14+O14+Q14+S14+U14+W14+Y14+AA14+AC14+AE14+AG14+AI14+AK14+AM14+AO14+AQ14</f>
        <v>0</v>
      </c>
      <c r="F14" s="213">
        <f>+H14+J14+L14+N14+P14+R14+T14+V14+X14+Z14+AB14+AD14+AF14+AH14+AJ14+AL14+AN14+AP14+AR14</f>
        <v>0</v>
      </c>
      <c r="G14" s="63"/>
      <c r="H14" s="64"/>
      <c r="I14" s="63"/>
      <c r="J14" s="64"/>
      <c r="K14" s="63"/>
      <c r="L14" s="64"/>
      <c r="M14" s="63"/>
      <c r="N14" s="64"/>
      <c r="O14" s="63"/>
      <c r="P14" s="64"/>
      <c r="Q14" s="63"/>
      <c r="R14" s="64"/>
      <c r="S14" s="63"/>
      <c r="T14" s="64"/>
      <c r="U14" s="63"/>
      <c r="V14" s="64"/>
      <c r="W14" s="63"/>
      <c r="X14" s="64"/>
      <c r="Y14" s="63"/>
      <c r="Z14" s="64"/>
      <c r="AA14" s="63"/>
      <c r="AB14" s="64"/>
      <c r="AC14" s="63"/>
      <c r="AD14" s="64"/>
      <c r="AE14" s="63"/>
      <c r="AF14" s="64"/>
      <c r="AG14" s="63"/>
      <c r="AH14" s="64"/>
      <c r="AI14" s="63"/>
      <c r="AJ14" s="64"/>
      <c r="AK14" s="63"/>
      <c r="AL14" s="64"/>
      <c r="AM14" s="63"/>
      <c r="AN14" s="64"/>
      <c r="AO14" s="63"/>
      <c r="AP14" s="64"/>
      <c r="AQ14" s="63"/>
      <c r="AR14" s="65"/>
      <c r="AS14" s="230"/>
      <c r="AT14" s="64"/>
      <c r="AU14" s="67"/>
      <c r="AV14" s="231"/>
      <c r="AW14" s="231"/>
      <c r="AX14" s="64"/>
      <c r="AY14" s="77" t="str">
        <f t="shared" si="1"/>
        <v/>
      </c>
      <c r="CA14" s="80" t="str">
        <f t="shared" si="2"/>
        <v/>
      </c>
      <c r="CB14" s="80" t="str">
        <f>IF(AND($E14&gt;0,OR($AT14=""))," * No olvide digitar la variable Trans Femenino. Digite Cero si no tiene.",IF($AT14&gt;$E14," * La variable Trans Femenino no debe ser mayor al Total Hombres.",""))</f>
        <v/>
      </c>
      <c r="CC14" s="80" t="str">
        <f t="shared" si="3"/>
        <v/>
      </c>
      <c r="CD14" s="80" t="str">
        <f t="shared" si="4"/>
        <v/>
      </c>
      <c r="CE14" s="80" t="str">
        <f t="shared" si="5"/>
        <v/>
      </c>
      <c r="CF14" s="80" t="str">
        <f t="shared" si="6"/>
        <v/>
      </c>
      <c r="CL14" s="287">
        <f t="shared" si="7"/>
        <v>0</v>
      </c>
      <c r="CM14" s="287">
        <f>IF(AND($E14&gt;0,OR($AT14="")),1,IF($AT14&gt;$E14,1,0))</f>
        <v>0</v>
      </c>
      <c r="CN14" s="287">
        <f t="shared" si="0"/>
        <v>0</v>
      </c>
      <c r="CO14" s="287">
        <f t="shared" si="8"/>
        <v>0</v>
      </c>
      <c r="CP14" s="287">
        <f t="shared" si="9"/>
        <v>0</v>
      </c>
      <c r="CQ14" s="287">
        <f t="shared" si="10"/>
        <v>0</v>
      </c>
      <c r="CR14" s="293"/>
    </row>
    <row r="15" spans="1:100" ht="15" customHeight="1" x14ac:dyDescent="0.25">
      <c r="A15" s="2179"/>
      <c r="B15" s="2478"/>
      <c r="C15" s="210" t="s">
        <v>815</v>
      </c>
      <c r="D15" s="324">
        <f>SUM(E15:F15)</f>
        <v>0</v>
      </c>
      <c r="E15" s="321">
        <f>+G15+I15+K15+M15+O15+Q15+S15+U15+W15+Y15+AA15+AC15+AE15+AG15+AI15+AK15+AM15+AO15+AQ15</f>
        <v>0</v>
      </c>
      <c r="F15" s="211">
        <f>+H15+J15+L15+N15+P15+R15+T15+V15+X15+Z15+AB15+AD15+AF15+AH15+AJ15+AL15+AN15+AP15+AR15</f>
        <v>0</v>
      </c>
      <c r="G15" s="68"/>
      <c r="H15" s="69"/>
      <c r="I15" s="68"/>
      <c r="J15" s="69"/>
      <c r="K15" s="68"/>
      <c r="L15" s="69"/>
      <c r="M15" s="68"/>
      <c r="N15" s="69"/>
      <c r="O15" s="68"/>
      <c r="P15" s="69"/>
      <c r="Q15" s="68"/>
      <c r="R15" s="69"/>
      <c r="S15" s="68"/>
      <c r="T15" s="69"/>
      <c r="U15" s="68"/>
      <c r="V15" s="69"/>
      <c r="W15" s="68"/>
      <c r="X15" s="69"/>
      <c r="Y15" s="68"/>
      <c r="Z15" s="69"/>
      <c r="AA15" s="68"/>
      <c r="AB15" s="69"/>
      <c r="AC15" s="68"/>
      <c r="AD15" s="69"/>
      <c r="AE15" s="68"/>
      <c r="AF15" s="69"/>
      <c r="AG15" s="68"/>
      <c r="AH15" s="69"/>
      <c r="AI15" s="68"/>
      <c r="AJ15" s="69"/>
      <c r="AK15" s="68"/>
      <c r="AL15" s="69"/>
      <c r="AM15" s="68"/>
      <c r="AN15" s="69"/>
      <c r="AO15" s="68"/>
      <c r="AP15" s="69"/>
      <c r="AQ15" s="68"/>
      <c r="AR15" s="70"/>
      <c r="AS15" s="228"/>
      <c r="AT15" s="69"/>
      <c r="AU15" s="206"/>
      <c r="AV15" s="229"/>
      <c r="AW15" s="229"/>
      <c r="AX15" s="69"/>
      <c r="AY15" s="77" t="str">
        <f t="shared" si="1"/>
        <v/>
      </c>
      <c r="CA15" s="80" t="str">
        <f t="shared" si="2"/>
        <v/>
      </c>
      <c r="CB15" s="80" t="str">
        <f>IF(AND($E15&gt;0,OR($AT15=""))," * No olvide digitar la variable Trans Femenino. Digite Cero si no tiene.",IF($AT15&gt;$E15," * La variable Trans Femenino no debe ser mayor al Total Hombres.",""))</f>
        <v/>
      </c>
      <c r="CC15" s="80" t="str">
        <f t="shared" si="3"/>
        <v/>
      </c>
      <c r="CD15" s="80" t="str">
        <f t="shared" si="4"/>
        <v/>
      </c>
      <c r="CE15" s="80" t="str">
        <f t="shared" si="5"/>
        <v/>
      </c>
      <c r="CF15" s="80" t="str">
        <f t="shared" si="6"/>
        <v/>
      </c>
      <c r="CL15" s="287">
        <f t="shared" si="7"/>
        <v>0</v>
      </c>
      <c r="CM15" s="287">
        <f>IF(AND($E15&gt;0,OR($AT15="")),1,IF($AT15&gt;$E15,1,0))</f>
        <v>0</v>
      </c>
      <c r="CN15" s="287">
        <f t="shared" si="0"/>
        <v>0</v>
      </c>
      <c r="CO15" s="287">
        <f t="shared" si="8"/>
        <v>0</v>
      </c>
      <c r="CP15" s="287">
        <f t="shared" si="9"/>
        <v>0</v>
      </c>
      <c r="CQ15" s="287">
        <f t="shared" si="10"/>
        <v>0</v>
      </c>
      <c r="CR15" s="293"/>
    </row>
    <row r="16" spans="1:100" ht="15" customHeight="1" x14ac:dyDescent="0.25">
      <c r="A16" s="2177" t="s">
        <v>816</v>
      </c>
      <c r="B16" s="306" t="s">
        <v>604</v>
      </c>
      <c r="C16" s="236" t="s">
        <v>817</v>
      </c>
      <c r="D16" s="325">
        <f>SUM(F16)</f>
        <v>0</v>
      </c>
      <c r="E16" s="318"/>
      <c r="F16" s="209">
        <f>+P16+R16+T16+V16+X16+Z16+AB16+AD16+AF16+AH16</f>
        <v>0</v>
      </c>
      <c r="G16" s="220"/>
      <c r="H16" s="221"/>
      <c r="I16" s="220"/>
      <c r="J16" s="221"/>
      <c r="K16" s="220"/>
      <c r="L16" s="221"/>
      <c r="M16" s="220"/>
      <c r="N16" s="221"/>
      <c r="O16" s="220"/>
      <c r="P16" s="66"/>
      <c r="Q16" s="220"/>
      <c r="R16" s="66"/>
      <c r="S16" s="220"/>
      <c r="T16" s="66"/>
      <c r="U16" s="220"/>
      <c r="V16" s="66"/>
      <c r="W16" s="220"/>
      <c r="X16" s="66"/>
      <c r="Y16" s="220"/>
      <c r="Z16" s="66"/>
      <c r="AA16" s="220"/>
      <c r="AB16" s="66"/>
      <c r="AC16" s="220"/>
      <c r="AD16" s="66"/>
      <c r="AE16" s="220"/>
      <c r="AF16" s="66"/>
      <c r="AG16" s="220"/>
      <c r="AH16" s="66"/>
      <c r="AI16" s="220"/>
      <c r="AJ16" s="221"/>
      <c r="AK16" s="220"/>
      <c r="AL16" s="221"/>
      <c r="AM16" s="220"/>
      <c r="AN16" s="221"/>
      <c r="AO16" s="220"/>
      <c r="AP16" s="221"/>
      <c r="AQ16" s="220"/>
      <c r="AR16" s="224"/>
      <c r="AS16" s="226"/>
      <c r="AT16" s="221"/>
      <c r="AU16" s="268"/>
      <c r="AV16" s="227"/>
      <c r="AW16" s="227"/>
      <c r="AX16" s="66"/>
      <c r="AY16" s="77" t="str">
        <f t="shared" si="1"/>
        <v/>
      </c>
      <c r="CA16" s="80" t="str">
        <f t="shared" si="2"/>
        <v/>
      </c>
      <c r="CB16" s="292"/>
      <c r="CC16" s="80" t="str">
        <f t="shared" si="3"/>
        <v/>
      </c>
      <c r="CD16" s="80" t="str">
        <f t="shared" si="4"/>
        <v/>
      </c>
      <c r="CE16" s="80" t="str">
        <f t="shared" si="5"/>
        <v/>
      </c>
      <c r="CF16" s="80" t="str">
        <f t="shared" si="6"/>
        <v/>
      </c>
      <c r="CL16" s="287">
        <f t="shared" si="7"/>
        <v>0</v>
      </c>
      <c r="CM16" s="292"/>
      <c r="CN16" s="287">
        <f t="shared" si="0"/>
        <v>0</v>
      </c>
      <c r="CO16" s="287">
        <f t="shared" si="8"/>
        <v>0</v>
      </c>
      <c r="CP16" s="287">
        <f t="shared" si="9"/>
        <v>0</v>
      </c>
      <c r="CQ16" s="287">
        <f t="shared" si="10"/>
        <v>0</v>
      </c>
      <c r="CR16" s="293"/>
    </row>
    <row r="17" spans="1:105" ht="15" customHeight="1" x14ac:dyDescent="0.25">
      <c r="A17" s="2179"/>
      <c r="B17" s="305" t="s">
        <v>813</v>
      </c>
      <c r="C17" s="237" t="s">
        <v>817</v>
      </c>
      <c r="D17" s="324">
        <f>SUM(E17:F17)</f>
        <v>0</v>
      </c>
      <c r="E17" s="321">
        <f>+G17+I17+K17+M17+O17+Q17+S17+U17+W17+Y17+AA17+AC17+AE17+AG17+AI17+AK17+AM17+AO17+AQ17</f>
        <v>0</v>
      </c>
      <c r="F17" s="211">
        <f>+H17+J17+L17+N17+P17+R17+T17+V17+X17+Z17+AB17+AD17+AF17+AH17+AJ17+AL17+AN17+AP17+AR17</f>
        <v>0</v>
      </c>
      <c r="G17" s="68"/>
      <c r="H17" s="69"/>
      <c r="I17" s="68"/>
      <c r="J17" s="69"/>
      <c r="K17" s="68"/>
      <c r="L17" s="69"/>
      <c r="M17" s="68"/>
      <c r="N17" s="69"/>
      <c r="O17" s="68"/>
      <c r="P17" s="69"/>
      <c r="Q17" s="68"/>
      <c r="R17" s="69"/>
      <c r="S17" s="68"/>
      <c r="T17" s="69"/>
      <c r="U17" s="68"/>
      <c r="V17" s="69"/>
      <c r="W17" s="68"/>
      <c r="X17" s="69"/>
      <c r="Y17" s="68"/>
      <c r="Z17" s="69"/>
      <c r="AA17" s="68"/>
      <c r="AB17" s="69"/>
      <c r="AC17" s="68"/>
      <c r="AD17" s="69"/>
      <c r="AE17" s="68"/>
      <c r="AF17" s="69"/>
      <c r="AG17" s="68"/>
      <c r="AH17" s="69"/>
      <c r="AI17" s="68"/>
      <c r="AJ17" s="69"/>
      <c r="AK17" s="68"/>
      <c r="AL17" s="69"/>
      <c r="AM17" s="68"/>
      <c r="AN17" s="69"/>
      <c r="AO17" s="68"/>
      <c r="AP17" s="69"/>
      <c r="AQ17" s="68"/>
      <c r="AR17" s="70"/>
      <c r="AS17" s="228"/>
      <c r="AT17" s="69"/>
      <c r="AU17" s="206"/>
      <c r="AV17" s="229"/>
      <c r="AW17" s="229"/>
      <c r="AX17" s="69"/>
      <c r="AY17" s="77" t="str">
        <f t="shared" si="1"/>
        <v/>
      </c>
      <c r="CA17" s="80" t="str">
        <f t="shared" si="2"/>
        <v/>
      </c>
      <c r="CB17" s="80" t="str">
        <f>IF(AND($E17&gt;0,OR($AT17=""))," * No olvide digitar la variable Trans Femenino. Digite Cero si no tiene.",IF($AT17&gt;$E17," * La variable Trans Femenino no debe ser mayor al Total Hombres.",""))</f>
        <v/>
      </c>
      <c r="CC17" s="80" t="str">
        <f t="shared" si="3"/>
        <v/>
      </c>
      <c r="CD17" s="80" t="str">
        <f t="shared" si="4"/>
        <v/>
      </c>
      <c r="CE17" s="80" t="str">
        <f t="shared" si="5"/>
        <v/>
      </c>
      <c r="CF17" s="80" t="str">
        <f t="shared" si="6"/>
        <v/>
      </c>
      <c r="CL17" s="287">
        <f t="shared" si="7"/>
        <v>0</v>
      </c>
      <c r="CM17" s="287">
        <f>IF(AND($E17&gt;0,OR($AT17="")),1,IF($AT17&gt;$E17,1,0))</f>
        <v>0</v>
      </c>
      <c r="CN17" s="287">
        <f t="shared" si="0"/>
        <v>0</v>
      </c>
      <c r="CO17" s="287">
        <f t="shared" si="8"/>
        <v>0</v>
      </c>
      <c r="CP17" s="287">
        <f t="shared" si="9"/>
        <v>0</v>
      </c>
      <c r="CQ17" s="287">
        <f t="shared" si="10"/>
        <v>0</v>
      </c>
      <c r="CR17" s="293"/>
    </row>
    <row r="18" spans="1:105" ht="17.100000000000001" customHeight="1" x14ac:dyDescent="0.25">
      <c r="A18" s="2448" t="s">
        <v>818</v>
      </c>
      <c r="B18" s="2448"/>
      <c r="C18" s="2448"/>
      <c r="D18" s="2448"/>
      <c r="E18" s="2448"/>
      <c r="F18" s="2449"/>
      <c r="G18" s="89"/>
      <c r="H18" s="89"/>
      <c r="I18" s="89"/>
      <c r="J18" s="89"/>
      <c r="K18" s="89"/>
      <c r="L18" s="89"/>
      <c r="Q18" s="31"/>
    </row>
    <row r="19" spans="1:105" ht="15" customHeight="1" x14ac:dyDescent="0.25">
      <c r="A19" s="2476" t="s">
        <v>804</v>
      </c>
      <c r="B19" s="2470" t="s">
        <v>49</v>
      </c>
      <c r="C19" s="2471"/>
      <c r="D19" s="2472"/>
      <c r="E19" s="2467" t="s">
        <v>370</v>
      </c>
      <c r="F19" s="2468"/>
      <c r="G19" s="2468"/>
      <c r="H19" s="2468"/>
      <c r="I19" s="2468"/>
      <c r="J19" s="2468"/>
      <c r="K19" s="2468"/>
      <c r="L19" s="2468"/>
      <c r="M19" s="2468"/>
      <c r="N19" s="2468"/>
      <c r="O19" s="2468"/>
      <c r="P19" s="2468"/>
      <c r="Q19" s="2468"/>
      <c r="R19" s="2468"/>
      <c r="S19" s="2468"/>
      <c r="T19" s="2468"/>
      <c r="U19" s="2468"/>
      <c r="V19" s="2468"/>
      <c r="W19" s="2468"/>
      <c r="X19" s="2468"/>
      <c r="Y19" s="2468"/>
      <c r="Z19" s="2468"/>
      <c r="AA19" s="2468"/>
      <c r="AB19" s="2468"/>
      <c r="AC19" s="2468"/>
      <c r="AD19" s="2468"/>
      <c r="AE19" s="2468"/>
      <c r="AF19" s="2469"/>
      <c r="AG19" s="2176" t="s">
        <v>614</v>
      </c>
      <c r="AH19" s="2177"/>
      <c r="AI19" s="2463" t="s">
        <v>51</v>
      </c>
      <c r="AJ19" s="2177" t="s">
        <v>108</v>
      </c>
      <c r="CB19" s="2173"/>
      <c r="CC19" s="2173"/>
      <c r="CD19" s="2173"/>
      <c r="CE19" s="2173"/>
      <c r="CF19" s="2173"/>
      <c r="CG19" s="2173"/>
      <c r="CH19" s="2173"/>
      <c r="CM19" s="2173"/>
      <c r="CN19" s="2173"/>
      <c r="CO19" s="2173"/>
      <c r="CP19" s="2173"/>
      <c r="CQ19" s="2173"/>
      <c r="CR19" s="2173"/>
      <c r="CS19" s="2173"/>
      <c r="CT19" s="2173"/>
      <c r="CU19" s="2173"/>
    </row>
    <row r="20" spans="1:105" ht="15" customHeight="1" x14ac:dyDescent="0.25">
      <c r="A20" s="2476"/>
      <c r="B20" s="2473"/>
      <c r="C20" s="2474"/>
      <c r="D20" s="2475"/>
      <c r="E20" s="2158" t="s">
        <v>57</v>
      </c>
      <c r="F20" s="2159"/>
      <c r="G20" s="2158" t="s">
        <v>58</v>
      </c>
      <c r="H20" s="2159"/>
      <c r="I20" s="2158" t="s">
        <v>59</v>
      </c>
      <c r="J20" s="2159"/>
      <c r="K20" s="2453" t="s">
        <v>60</v>
      </c>
      <c r="L20" s="2454"/>
      <c r="M20" s="2453" t="s">
        <v>61</v>
      </c>
      <c r="N20" s="2454"/>
      <c r="O20" s="2453" t="s">
        <v>62</v>
      </c>
      <c r="P20" s="2454"/>
      <c r="Q20" s="2453" t="s">
        <v>63</v>
      </c>
      <c r="R20" s="2454"/>
      <c r="S20" s="2453" t="s">
        <v>64</v>
      </c>
      <c r="T20" s="2454"/>
      <c r="U20" s="2453" t="s">
        <v>65</v>
      </c>
      <c r="V20" s="2454"/>
      <c r="W20" s="2453" t="s">
        <v>66</v>
      </c>
      <c r="X20" s="2454"/>
      <c r="Y20" s="2453" t="s">
        <v>67</v>
      </c>
      <c r="Z20" s="2454"/>
      <c r="AA20" s="2158" t="s">
        <v>396</v>
      </c>
      <c r="AB20" s="2455"/>
      <c r="AC20" s="2158" t="s">
        <v>397</v>
      </c>
      <c r="AD20" s="2455"/>
      <c r="AE20" s="2158" t="s">
        <v>398</v>
      </c>
      <c r="AF20" s="2466"/>
      <c r="AG20" s="2178"/>
      <c r="AH20" s="2179"/>
      <c r="AI20" s="2464"/>
      <c r="AJ20" s="2462"/>
      <c r="CB20" s="2173"/>
      <c r="CC20" s="2173"/>
      <c r="CD20" s="2173"/>
      <c r="CE20" s="2173"/>
      <c r="CF20" s="2173"/>
      <c r="CG20" s="2173"/>
      <c r="CH20" s="2173"/>
      <c r="CM20" s="2173"/>
      <c r="CN20" s="2173"/>
      <c r="CO20" s="2173"/>
      <c r="CP20" s="2173"/>
      <c r="CQ20" s="2173"/>
      <c r="CR20" s="2173"/>
      <c r="CS20" s="2173"/>
      <c r="CT20" s="2173"/>
      <c r="CU20" s="2173"/>
      <c r="DA20" s="48" t="s">
        <v>819</v>
      </c>
    </row>
    <row r="21" spans="1:105" ht="15" customHeight="1" x14ac:dyDescent="0.25">
      <c r="A21" s="2476"/>
      <c r="B21" s="415" t="s">
        <v>224</v>
      </c>
      <c r="C21" s="438" t="s">
        <v>86</v>
      </c>
      <c r="D21" s="439" t="s">
        <v>225</v>
      </c>
      <c r="E21" s="351" t="s">
        <v>400</v>
      </c>
      <c r="F21" s="291" t="s">
        <v>225</v>
      </c>
      <c r="G21" s="351" t="s">
        <v>400</v>
      </c>
      <c r="H21" s="291" t="s">
        <v>225</v>
      </c>
      <c r="I21" s="351" t="s">
        <v>400</v>
      </c>
      <c r="J21" s="291" t="s">
        <v>225</v>
      </c>
      <c r="K21" s="351" t="s">
        <v>400</v>
      </c>
      <c r="L21" s="291" t="s">
        <v>225</v>
      </c>
      <c r="M21" s="351" t="s">
        <v>400</v>
      </c>
      <c r="N21" s="291" t="s">
        <v>225</v>
      </c>
      <c r="O21" s="351" t="s">
        <v>400</v>
      </c>
      <c r="P21" s="291" t="s">
        <v>225</v>
      </c>
      <c r="Q21" s="351" t="s">
        <v>400</v>
      </c>
      <c r="R21" s="291" t="s">
        <v>225</v>
      </c>
      <c r="S21" s="351" t="s">
        <v>400</v>
      </c>
      <c r="T21" s="291" t="s">
        <v>225</v>
      </c>
      <c r="U21" s="351" t="s">
        <v>400</v>
      </c>
      <c r="V21" s="291" t="s">
        <v>225</v>
      </c>
      <c r="W21" s="351" t="s">
        <v>400</v>
      </c>
      <c r="X21" s="291" t="s">
        <v>225</v>
      </c>
      <c r="Y21" s="351" t="s">
        <v>400</v>
      </c>
      <c r="Z21" s="291" t="s">
        <v>225</v>
      </c>
      <c r="AA21" s="351" t="s">
        <v>400</v>
      </c>
      <c r="AB21" s="291" t="s">
        <v>225</v>
      </c>
      <c r="AC21" s="351" t="s">
        <v>400</v>
      </c>
      <c r="AD21" s="291" t="s">
        <v>225</v>
      </c>
      <c r="AE21" s="351" t="s">
        <v>400</v>
      </c>
      <c r="AF21" s="53" t="s">
        <v>225</v>
      </c>
      <c r="AG21" s="72" t="s">
        <v>615</v>
      </c>
      <c r="AH21" s="291" t="s">
        <v>617</v>
      </c>
      <c r="AI21" s="2465"/>
      <c r="AJ21" s="2179"/>
      <c r="CB21" s="76"/>
      <c r="CC21" s="76"/>
      <c r="CD21" s="2173"/>
      <c r="CE21" s="2173"/>
      <c r="CF21" s="76"/>
      <c r="CG21" s="76"/>
      <c r="CH21" s="76"/>
      <c r="CM21" s="76"/>
      <c r="CN21" s="76"/>
      <c r="CO21" s="76"/>
      <c r="CP21" s="76"/>
      <c r="CQ21" s="2173"/>
      <c r="CR21" s="2173"/>
      <c r="CS21" s="76"/>
      <c r="CT21" s="76"/>
      <c r="CU21" s="76"/>
    </row>
    <row r="22" spans="1:105" ht="15" customHeight="1" x14ac:dyDescent="0.25">
      <c r="A22" s="440" t="s">
        <v>820</v>
      </c>
      <c r="B22" s="441">
        <f>SUM(C22:D22)</f>
        <v>0</v>
      </c>
      <c r="C22" s="442">
        <f>+E22+G22+I22+K22+M22+O22+Q22+S22+U22+W22+Y22+AA22+AC22+AE22</f>
        <v>0</v>
      </c>
      <c r="D22" s="350">
        <f>+F22+H22+J22+L22+N22+P22+R22+T22+V22+X22+Z22+AB22+AD22+AF22</f>
        <v>0</v>
      </c>
      <c r="E22" s="1564"/>
      <c r="F22" s="1565"/>
      <c r="G22" s="1564"/>
      <c r="H22" s="1565"/>
      <c r="I22" s="1564"/>
      <c r="J22" s="1565"/>
      <c r="K22" s="1564"/>
      <c r="L22" s="1565"/>
      <c r="M22" s="1564"/>
      <c r="N22" s="1565"/>
      <c r="O22" s="1564"/>
      <c r="P22" s="1565"/>
      <c r="Q22" s="1564"/>
      <c r="R22" s="1565"/>
      <c r="S22" s="1564"/>
      <c r="T22" s="1565"/>
      <c r="U22" s="1564"/>
      <c r="V22" s="1565"/>
      <c r="W22" s="1564"/>
      <c r="X22" s="1565"/>
      <c r="Y22" s="1564"/>
      <c r="Z22" s="1565"/>
      <c r="AA22" s="1564"/>
      <c r="AB22" s="1565"/>
      <c r="AC22" s="1564"/>
      <c r="AD22" s="1565"/>
      <c r="AE22" s="1564"/>
      <c r="AF22" s="1566"/>
      <c r="AG22" s="1567"/>
      <c r="AH22" s="1568"/>
      <c r="AI22" s="1565"/>
      <c r="AJ22" s="1568"/>
      <c r="AK22" s="77" t="str">
        <f>CA22&amp;CB22&amp;CC22&amp;CD22&amp;CE22&amp;CF22</f>
        <v/>
      </c>
      <c r="CA22" s="80" t="str">
        <f>IF(AND($D22&gt;0,OR($AG22=""))," * No olvide digitar la variable Trans Masculino. Digite Cero si no tiene.",IF($AG22&gt;$D22," * La variable Trans Masculino no debe ser mayor al Total Mujeres.",""))</f>
        <v/>
      </c>
      <c r="CB22" s="80" t="str">
        <f>IF(AND($C22&gt;0,OR($AH22=""))," * No olvide digitar la variable Trans Femenino. Digite Cero si no tiene.",IF($AH22&gt;$C22," * La variable Trans Femenino no debe ser mayor al Total Hombres.",""))</f>
        <v/>
      </c>
      <c r="CC22" s="80" t="str">
        <f>IF(AND($B22&gt;0,OR($AI22=""))," * No olvide digitar la variable Pueblos Originarios. Digite Cero si no tiene.",IF($AI22&gt;$B22," * La variable Pueblos Originarios no puede ser Mayor al Total Ambos Sexos.",""))</f>
        <v/>
      </c>
      <c r="CD22" s="80" t="str">
        <f>IF(AND($B22&gt;0,OR($AJ22=""))," * No olvide digitar la variable Migrantes. Digite Cero si no tiene.",IF($AJ22&gt;$B22," * La variable Migrantes no puede ser Mayor al Total Ambos Sexos.",""))</f>
        <v/>
      </c>
      <c r="CE22" s="32"/>
      <c r="CJ22" s="32"/>
      <c r="CL22" s="287">
        <f>IF(AND($D22&gt;0,OR($AG22="")),1,IF($AG22&gt;$D22,1,0))</f>
        <v>0</v>
      </c>
      <c r="CM22" s="287">
        <f>IF(AND($C22&gt;0,OR($AH22="")),1,IF($AH22&gt;$C22,1,0))</f>
        <v>0</v>
      </c>
      <c r="CN22" s="287">
        <f>IF(AND($B22&gt;0,OR($AI22="")),1,IF($AI22&gt;B22,1,0))</f>
        <v>0</v>
      </c>
      <c r="CO22" s="287">
        <f>IF(AND($B22&gt;0,OR($AJ22="")),1,IF($AJ22&gt;$B22,1,0))</f>
        <v>0</v>
      </c>
      <c r="CR22" s="32"/>
    </row>
    <row r="23" spans="1:105" x14ac:dyDescent="0.25">
      <c r="CJ23" s="32"/>
      <c r="CK23" s="32"/>
      <c r="CL23" s="32"/>
      <c r="CM23" s="32"/>
      <c r="CN23" s="32"/>
      <c r="CO23" s="32"/>
    </row>
    <row r="24" spans="1:105" x14ac:dyDescent="0.25">
      <c r="Q24" s="31"/>
      <c r="CJ24" s="32"/>
      <c r="CK24" s="32"/>
      <c r="CL24" s="32"/>
      <c r="CM24" s="32"/>
      <c r="CN24" s="32"/>
      <c r="CO24" s="32"/>
    </row>
    <row r="25" spans="1:105" x14ac:dyDescent="0.25">
      <c r="CJ25" s="32"/>
      <c r="CK25" s="32"/>
      <c r="CL25" s="32"/>
    </row>
    <row r="26" spans="1:105" x14ac:dyDescent="0.25">
      <c r="CJ26" s="32"/>
      <c r="CK26" s="32"/>
      <c r="CL26" s="32"/>
    </row>
    <row r="27" spans="1:105" x14ac:dyDescent="0.25">
      <c r="CJ27" s="32"/>
      <c r="CK27" s="32"/>
      <c r="CL27" s="32"/>
    </row>
    <row r="28" spans="1:105" x14ac:dyDescent="0.25">
      <c r="CJ28" s="32"/>
      <c r="CK28" s="32"/>
    </row>
    <row r="29" spans="1:105" x14ac:dyDescent="0.25">
      <c r="CJ29" s="32"/>
      <c r="CK29" s="32"/>
    </row>
    <row r="30" spans="1:105" x14ac:dyDescent="0.25">
      <c r="CJ30" s="32"/>
    </row>
    <row r="31" spans="1:105" ht="20.25" customHeight="1" x14ac:dyDescent="0.25"/>
    <row r="33" spans="1:78" ht="14.45" hidden="1" customHeight="1" x14ac:dyDescent="0.15">
      <c r="A33" s="403">
        <f>SUM(D12:D17,B22)</f>
        <v>0</v>
      </c>
      <c r="B33" s="78" t="s">
        <v>204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</row>
    <row r="34" spans="1:78" ht="14.45" hidden="1" customHeight="1" x14ac:dyDescent="0.25">
      <c r="A34" s="403">
        <f>SUM(CL12:CQ22)</f>
        <v>0</v>
      </c>
      <c r="B34" s="78" t="s">
        <v>205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</row>
    <row r="38" spans="1:78" ht="12" customHeight="1" x14ac:dyDescent="0.25"/>
  </sheetData>
  <sheetProtection algorithmName="SHA-512" hashValue="BhIKcH55u70eQ9V8wWtbvqKpdogLCxoXkUnZmyvtj80A/rrtS3kkijfDXHNCMfEiABflJ83GqmKL8O/FsQanZA==" saltValue="t9wAaH/YxxZ4hqOZgHjoFA==" spinCount="100000" sheet="1" objects="1" scenarios="1"/>
  <mergeCells count="86">
    <mergeCell ref="CV9:CV10"/>
    <mergeCell ref="CJ9:CJ10"/>
    <mergeCell ref="CF9:CF11"/>
    <mergeCell ref="CK9:CK10"/>
    <mergeCell ref="CQ9:CQ11"/>
    <mergeCell ref="CU9:CU10"/>
    <mergeCell ref="A16:A17"/>
    <mergeCell ref="CT9:CT10"/>
    <mergeCell ref="CE9:CE11"/>
    <mergeCell ref="CP9:CP11"/>
    <mergeCell ref="CS9:CS10"/>
    <mergeCell ref="CA9:CB10"/>
    <mergeCell ref="CC9:CC11"/>
    <mergeCell ref="CD9:CD11"/>
    <mergeCell ref="CG9:CG10"/>
    <mergeCell ref="CR9:CR10"/>
    <mergeCell ref="CI9:CI10"/>
    <mergeCell ref="CH9:CH10"/>
    <mergeCell ref="CL9:CM10"/>
    <mergeCell ref="A12:A15"/>
    <mergeCell ref="B12:B13"/>
    <mergeCell ref="A9:C11"/>
    <mergeCell ref="K10:L10"/>
    <mergeCell ref="M10:N10"/>
    <mergeCell ref="Y10:Z10"/>
    <mergeCell ref="S10:T10"/>
    <mergeCell ref="W10:X10"/>
    <mergeCell ref="U10:V10"/>
    <mergeCell ref="O10:P10"/>
    <mergeCell ref="Q10:R10"/>
    <mergeCell ref="D9:F10"/>
    <mergeCell ref="A19:A21"/>
    <mergeCell ref="B19:D20"/>
    <mergeCell ref="E19:AF19"/>
    <mergeCell ref="E20:F20"/>
    <mergeCell ref="G20:H20"/>
    <mergeCell ref="K20:L20"/>
    <mergeCell ref="M20:N20"/>
    <mergeCell ref="O20:P20"/>
    <mergeCell ref="I20:J20"/>
    <mergeCell ref="S20:T20"/>
    <mergeCell ref="W20:X20"/>
    <mergeCell ref="AE20:AF20"/>
    <mergeCell ref="B14:B15"/>
    <mergeCell ref="AC20:AD20"/>
    <mergeCell ref="G10:H10"/>
    <mergeCell ref="AC10:AD10"/>
    <mergeCell ref="AE10:AF10"/>
    <mergeCell ref="AV9:AV11"/>
    <mergeCell ref="AJ19:AJ21"/>
    <mergeCell ref="AI19:AI21"/>
    <mergeCell ref="AU9:AU11"/>
    <mergeCell ref="AQ10:AR10"/>
    <mergeCell ref="AO10:AP10"/>
    <mergeCell ref="AS9:AT10"/>
    <mergeCell ref="AG19:AH20"/>
    <mergeCell ref="G9:AR9"/>
    <mergeCell ref="AK10:AL10"/>
    <mergeCell ref="AM10:AN10"/>
    <mergeCell ref="AI10:AJ10"/>
    <mergeCell ref="AA10:AB10"/>
    <mergeCell ref="I10:J10"/>
    <mergeCell ref="CU19:CU20"/>
    <mergeCell ref="CN9:CN11"/>
    <mergeCell ref="CO9:CO11"/>
    <mergeCell ref="CG19:CG20"/>
    <mergeCell ref="CH19:CH20"/>
    <mergeCell ref="CM19:CP20"/>
    <mergeCell ref="CQ19:CQ21"/>
    <mergeCell ref="CR19:CR21"/>
    <mergeCell ref="A7:AB7"/>
    <mergeCell ref="A18:F18"/>
    <mergeCell ref="A8:J8"/>
    <mergeCell ref="CS19:CS20"/>
    <mergeCell ref="CT19:CT20"/>
    <mergeCell ref="CB19:CC20"/>
    <mergeCell ref="CD19:CD21"/>
    <mergeCell ref="CE19:CE21"/>
    <mergeCell ref="CF19:CF20"/>
    <mergeCell ref="AX9:AX11"/>
    <mergeCell ref="U20:V20"/>
    <mergeCell ref="Q20:R20"/>
    <mergeCell ref="Y20:Z20"/>
    <mergeCell ref="AA20:AB20"/>
    <mergeCell ref="AW9:AW11"/>
    <mergeCell ref="AG10:AH10"/>
  </mergeCells>
  <phoneticPr fontId="26" type="noConversion"/>
  <dataValidations count="1">
    <dataValidation type="whole" operator="greaterThanOrEqual" allowBlank="1" showInputMessage="1" showErrorMessage="1" sqref="G12:AX17 E22:AJ22" xr:uid="{00000000-0002-0000-0900-000001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0" pageOrder="overThenDown" orientation="landscape" r:id="rId1"/>
  <colBreaks count="2" manualBreakCount="2">
    <brk id="14" max="20" man="1"/>
    <brk id="30" max="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DM131"/>
  <sheetViews>
    <sheetView showGridLines="0" zoomScaleNormal="100" workbookViewId="0"/>
  </sheetViews>
  <sheetFormatPr baseColWidth="10" defaultColWidth="11.42578125" defaultRowHeight="15" x14ac:dyDescent="0.25"/>
  <cols>
    <col min="1" max="1" width="23.85546875" style="60" customWidth="1"/>
    <col min="2" max="3" width="20.7109375" style="60" customWidth="1"/>
    <col min="4" max="10" width="18" style="60" customWidth="1"/>
    <col min="11" max="11" width="18" style="55" customWidth="1"/>
    <col min="12" max="12" width="18.5703125" style="55" customWidth="1"/>
    <col min="13" max="13" width="14.7109375" style="74" customWidth="1"/>
    <col min="14" max="25" width="10.140625" style="74" customWidth="1"/>
    <col min="26" max="26" width="12.85546875" style="74" customWidth="1"/>
    <col min="27" max="28" width="12.85546875" style="55" customWidth="1"/>
    <col min="29" max="30" width="11.42578125" style="214" customWidth="1"/>
    <col min="31" max="42" width="12.85546875" style="55" customWidth="1"/>
    <col min="43" max="46" width="11.42578125" style="55" customWidth="1"/>
    <col min="47" max="56" width="11.42578125" style="55" hidden="1" customWidth="1"/>
    <col min="57" max="16384" width="11.42578125" style="55"/>
  </cols>
  <sheetData>
    <row r="1" spans="1:117" s="31" customFormat="1" ht="13.5" customHeight="1" x14ac:dyDescent="0.15">
      <c r="A1" s="30" t="s">
        <v>0</v>
      </c>
    </row>
    <row r="2" spans="1:117" s="31" customFormat="1" ht="13.5" customHeight="1" x14ac:dyDescent="0.15">
      <c r="A2" s="30" t="str">
        <f>CONCATENATE("COMUNA: ",NOMBRE!$B$2,"   ","( ",NOMBRE!$C$2,NOMBRE!$D$2,NOMBRE!$E$2,NOMBRE!$F$2,NOMBRE!$G$2," )")</f>
        <v>COMUNA:    (  )</v>
      </c>
    </row>
    <row r="3" spans="1:117" s="31" customFormat="1" ht="13.5" customHeight="1" x14ac:dyDescent="0.15">
      <c r="A3" s="30" t="str">
        <f>CONCATENATE("ESTABLECIMIENTO/ESTRATEGIA: ",NOMBRE!$B$3,"   ","( ",NOMBRE!$C$3,NOMBRE!$D$3,NOMBRE!$E$3,NOMBRE!$F$3,NOMBRE!$G$3,NOMBRE!$H$3," )")</f>
        <v>ESTABLECIMIENTO/ESTRATEGIA:    (  )</v>
      </c>
      <c r="D3" s="36"/>
    </row>
    <row r="4" spans="1:117" s="31" customFormat="1" ht="13.5" customHeight="1" x14ac:dyDescent="0.15">
      <c r="A4" s="30" t="str">
        <f>CONCATENATE("MES: ",NOMBRE!$B$6,"   ","( ",NOMBRE!$C$6,NOMBRE!$D$6," )")</f>
        <v>MES:    (  )</v>
      </c>
    </row>
    <row r="5" spans="1:117" s="31" customFormat="1" ht="13.5" customHeight="1" x14ac:dyDescent="0.15">
      <c r="A5" s="30" t="str">
        <f>CONCATENATE("AÑO: ",NOMBRE!$B$7)</f>
        <v>AÑO: 2026</v>
      </c>
      <c r="N5" s="2492"/>
      <c r="O5" s="2492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E5" s="271"/>
      <c r="AF5" s="271"/>
      <c r="AG5" s="271"/>
      <c r="AH5" s="271"/>
      <c r="AI5" s="271"/>
      <c r="AJ5" s="271"/>
      <c r="AK5" s="271"/>
      <c r="AL5" s="271"/>
      <c r="AM5" s="271"/>
      <c r="AN5" s="270"/>
    </row>
    <row r="6" spans="1:117" s="31" customFormat="1" ht="15" customHeight="1" x14ac:dyDescent="0.15">
      <c r="A6" s="35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</row>
    <row r="7" spans="1:117" s="31" customFormat="1" ht="32.25" customHeight="1" x14ac:dyDescent="0.15">
      <c r="A7" s="2496" t="s">
        <v>821</v>
      </c>
      <c r="B7" s="2496"/>
      <c r="C7" s="2496"/>
      <c r="D7" s="2496"/>
      <c r="E7" s="2496"/>
      <c r="F7" s="2496"/>
      <c r="G7" s="2496"/>
      <c r="H7" s="368"/>
      <c r="I7" s="368"/>
      <c r="J7" s="368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</row>
    <row r="8" spans="1:117" ht="15" customHeight="1" x14ac:dyDescent="0.25">
      <c r="A8" s="2494" t="s">
        <v>822</v>
      </c>
      <c r="B8" s="2494"/>
      <c r="C8" s="2494"/>
      <c r="D8" s="367"/>
      <c r="E8" s="367"/>
      <c r="F8" s="367"/>
      <c r="G8" s="367"/>
      <c r="H8" s="367"/>
      <c r="I8" s="368"/>
      <c r="J8" s="368"/>
      <c r="K8" s="368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E8" s="272"/>
      <c r="AF8" s="272"/>
      <c r="AG8" s="272"/>
      <c r="AH8" s="272"/>
      <c r="AI8" s="272"/>
      <c r="AJ8" s="272"/>
      <c r="AK8" s="272"/>
      <c r="AL8" s="272"/>
      <c r="AM8" s="272"/>
      <c r="AN8" s="54"/>
    </row>
    <row r="9" spans="1:117" s="276" customFormat="1" ht="15" customHeight="1" x14ac:dyDescent="0.25">
      <c r="A9" s="2495" t="s">
        <v>823</v>
      </c>
      <c r="B9" s="2495"/>
      <c r="C9" s="2495"/>
      <c r="D9" s="367"/>
      <c r="E9" s="367"/>
      <c r="F9" s="367"/>
      <c r="G9" s="367"/>
      <c r="H9" s="367"/>
      <c r="I9" s="274"/>
      <c r="J9" s="274"/>
      <c r="K9" s="275"/>
      <c r="L9" s="275"/>
      <c r="M9" s="275"/>
      <c r="AC9" s="248"/>
      <c r="AD9" s="248"/>
    </row>
    <row r="10" spans="1:117" ht="61.5" customHeight="1" x14ac:dyDescent="0.25">
      <c r="A10" s="443" t="s">
        <v>824</v>
      </c>
      <c r="B10" s="444" t="s">
        <v>825</v>
      </c>
      <c r="C10" s="445" t="s">
        <v>826</v>
      </c>
      <c r="D10" s="445" t="s">
        <v>51</v>
      </c>
      <c r="E10" s="446" t="s">
        <v>108</v>
      </c>
      <c r="F10" s="55"/>
      <c r="G10" s="55"/>
      <c r="H10" s="55"/>
      <c r="I10" s="55"/>
      <c r="J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117" s="57" customFormat="1" ht="15" customHeight="1" x14ac:dyDescent="0.15">
      <c r="A11" s="317" t="s">
        <v>827</v>
      </c>
      <c r="B11" s="370"/>
      <c r="C11" s="312"/>
      <c r="D11" s="369"/>
      <c r="E11" s="369"/>
      <c r="F11" s="32" t="str">
        <f>AU11&amp;AV11</f>
        <v/>
      </c>
      <c r="G11" s="37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80" t="str">
        <f>IF(AND(B11+C11&gt;0,OR(D11=""))," * No olvide digitar la variable Pueblos Originarios. Digite Cero si no tiene.",IF(D11&gt;B11+C11," * La variable Pueblos Originarios no puede ser Mayor a la suma de Mujeres +Trans con Tamizaje Vigente.",""))</f>
        <v/>
      </c>
      <c r="AV11" s="80" t="str">
        <f>IF(AND(B11+C11&gt;0,OR(E11=""))," * No olvide digitar la variable Migrantes. Digite Cero si no tiene.",IF(E11&gt;B11+C11," * La variable Migrantes no puede ser Mayor a la suma de Mujeres +Trans con Tamizaje Vigente.",""))</f>
        <v/>
      </c>
      <c r="AW11" s="48"/>
      <c r="AX11" s="48"/>
      <c r="AY11" s="48"/>
      <c r="AZ11" s="48"/>
      <c r="BA11" s="48"/>
      <c r="BB11" s="48"/>
      <c r="BC11" s="287">
        <f>IF(AND($B11+$C11&gt;0,OR(D11="")),1,IF(D11&gt;$B11+$C11,1,0))</f>
        <v>0</v>
      </c>
      <c r="BD11" s="287">
        <f>IF(AND($B11+$C11&gt;0,OR(E11="")),1,IF(E11&gt;$B11+$C11,1,0))</f>
        <v>0</v>
      </c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G11" s="55"/>
      <c r="CH11" s="55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</row>
    <row r="12" spans="1:117" s="57" customFormat="1" ht="15" customHeight="1" x14ac:dyDescent="0.15">
      <c r="A12" s="308" t="s">
        <v>828</v>
      </c>
      <c r="B12" s="370"/>
      <c r="C12" s="312"/>
      <c r="D12" s="369"/>
      <c r="E12" s="369"/>
      <c r="F12" s="32" t="str">
        <f t="shared" ref="F12:F23" si="0">AU12&amp;AV12</f>
        <v/>
      </c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273"/>
      <c r="AU12" s="80" t="str">
        <f t="shared" ref="AU12:AU23" si="1">IF(AND(B12+C12&gt;0,OR(D12=""))," * No olvide digitar la variable Pueblos Originarios. Digite Cero si no tiene.",IF(D12&gt;B12+C12," * La variable Pueblos Originarios no puede ser Mayor a la suma de Mujeres +Trans con Tamizaje Vigente.",""))</f>
        <v/>
      </c>
      <c r="AV12" s="80" t="str">
        <f t="shared" ref="AV12:AV23" si="2">IF(AND(B12+C12&gt;0,OR(E12=""))," * No olvide digitar la variable Migrantes. Digite Cero si no tiene.",IF(E12&gt;B12+C12," * La variable Migrantes no puede ser Mayor a la suma de Mujeres +Trans con Tamizaje Vigente.",""))</f>
        <v/>
      </c>
      <c r="BB12" s="58"/>
      <c r="BC12" s="287">
        <f t="shared" ref="BC12:BC23" si="3">IF(AND($B12+$C12&gt;0,OR(D12="")),1,IF(D12&gt;$B12+$C12,1,0))</f>
        <v>0</v>
      </c>
      <c r="BD12" s="287">
        <f t="shared" ref="BD12:BD23" si="4">IF(AND($B12+$C12&gt;0,OR(E12="")),1,IF(E12&gt;$B12+$C12,1,0))</f>
        <v>0</v>
      </c>
    </row>
    <row r="13" spans="1:117" ht="15" customHeight="1" x14ac:dyDescent="0.25">
      <c r="A13" s="308" t="s">
        <v>60</v>
      </c>
      <c r="B13" s="370"/>
      <c r="C13" s="312"/>
      <c r="D13" s="369"/>
      <c r="E13" s="369"/>
      <c r="F13" s="32" t="str">
        <f t="shared" si="0"/>
        <v/>
      </c>
      <c r="G13" s="55"/>
      <c r="H13" s="55"/>
      <c r="I13" s="55"/>
      <c r="J13" s="55"/>
      <c r="AA13" s="273"/>
      <c r="AE13" s="57"/>
      <c r="AU13" s="80" t="str">
        <f t="shared" si="1"/>
        <v/>
      </c>
      <c r="AV13" s="80" t="str">
        <f t="shared" si="2"/>
        <v/>
      </c>
      <c r="BB13" s="56"/>
      <c r="BC13" s="287">
        <f t="shared" si="3"/>
        <v>0</v>
      </c>
      <c r="BD13" s="287">
        <f t="shared" si="4"/>
        <v>0</v>
      </c>
    </row>
    <row r="14" spans="1:117" ht="15" customHeight="1" x14ac:dyDescent="0.25">
      <c r="A14" s="308" t="s">
        <v>61</v>
      </c>
      <c r="B14" s="370"/>
      <c r="C14" s="312"/>
      <c r="D14" s="369"/>
      <c r="E14" s="369"/>
      <c r="F14" s="32" t="str">
        <f t="shared" si="0"/>
        <v/>
      </c>
      <c r="G14" s="55"/>
      <c r="H14" s="55"/>
      <c r="I14" s="55"/>
      <c r="J14" s="55"/>
      <c r="AA14" s="273"/>
      <c r="AE14" s="57"/>
      <c r="AU14" s="80" t="str">
        <f t="shared" si="1"/>
        <v/>
      </c>
      <c r="AV14" s="80" t="str">
        <f t="shared" si="2"/>
        <v/>
      </c>
      <c r="BB14" s="56"/>
      <c r="BC14" s="287">
        <f t="shared" si="3"/>
        <v>0</v>
      </c>
      <c r="BD14" s="287">
        <f t="shared" si="4"/>
        <v>0</v>
      </c>
    </row>
    <row r="15" spans="1:117" ht="15" customHeight="1" x14ac:dyDescent="0.25">
      <c r="A15" s="308" t="s">
        <v>62</v>
      </c>
      <c r="B15" s="370"/>
      <c r="C15" s="312"/>
      <c r="D15" s="369"/>
      <c r="E15" s="369"/>
      <c r="F15" s="32" t="str">
        <f t="shared" si="0"/>
        <v/>
      </c>
      <c r="G15" s="55"/>
      <c r="H15" s="55"/>
      <c r="I15" s="55"/>
      <c r="J15" s="55"/>
      <c r="AA15" s="273"/>
      <c r="AE15" s="57"/>
      <c r="AU15" s="80" t="str">
        <f t="shared" si="1"/>
        <v/>
      </c>
      <c r="AV15" s="80" t="str">
        <f t="shared" si="2"/>
        <v/>
      </c>
      <c r="BB15" s="56"/>
      <c r="BC15" s="287">
        <f t="shared" si="3"/>
        <v>0</v>
      </c>
      <c r="BD15" s="287">
        <f t="shared" si="4"/>
        <v>0</v>
      </c>
    </row>
    <row r="16" spans="1:117" ht="15" customHeight="1" x14ac:dyDescent="0.25">
      <c r="A16" s="308" t="s">
        <v>63</v>
      </c>
      <c r="B16" s="370"/>
      <c r="C16" s="312"/>
      <c r="D16" s="369"/>
      <c r="E16" s="369"/>
      <c r="F16" s="32" t="str">
        <f t="shared" si="0"/>
        <v/>
      </c>
      <c r="G16" s="55"/>
      <c r="H16" s="55"/>
      <c r="I16" s="55"/>
      <c r="J16" s="55"/>
      <c r="AA16" s="273"/>
      <c r="AE16" s="57"/>
      <c r="AU16" s="80" t="str">
        <f t="shared" si="1"/>
        <v/>
      </c>
      <c r="AV16" s="80" t="str">
        <f t="shared" si="2"/>
        <v/>
      </c>
      <c r="BB16" s="56"/>
      <c r="BC16" s="287">
        <f t="shared" si="3"/>
        <v>0</v>
      </c>
      <c r="BD16" s="287">
        <f t="shared" si="4"/>
        <v>0</v>
      </c>
    </row>
    <row r="17" spans="1:56" ht="15" customHeight="1" x14ac:dyDescent="0.25">
      <c r="A17" s="308" t="s">
        <v>64</v>
      </c>
      <c r="B17" s="370"/>
      <c r="C17" s="312"/>
      <c r="D17" s="369"/>
      <c r="E17" s="369"/>
      <c r="F17" s="32" t="str">
        <f t="shared" si="0"/>
        <v/>
      </c>
      <c r="G17" s="55"/>
      <c r="H17" s="55"/>
      <c r="I17" s="55"/>
      <c r="J17" s="55"/>
      <c r="AA17" s="273"/>
      <c r="AE17" s="57"/>
      <c r="AU17" s="80" t="str">
        <f t="shared" si="1"/>
        <v/>
      </c>
      <c r="AV17" s="80" t="str">
        <f t="shared" si="2"/>
        <v/>
      </c>
      <c r="BB17" s="56"/>
      <c r="BC17" s="287">
        <f t="shared" si="3"/>
        <v>0</v>
      </c>
      <c r="BD17" s="287">
        <f t="shared" si="4"/>
        <v>0</v>
      </c>
    </row>
    <row r="18" spans="1:56" ht="15" customHeight="1" x14ac:dyDescent="0.25">
      <c r="A18" s="308" t="s">
        <v>65</v>
      </c>
      <c r="B18" s="370"/>
      <c r="C18" s="312"/>
      <c r="D18" s="369"/>
      <c r="E18" s="369"/>
      <c r="F18" s="32" t="str">
        <f t="shared" si="0"/>
        <v/>
      </c>
      <c r="G18" s="55"/>
      <c r="H18" s="55"/>
      <c r="I18" s="55"/>
      <c r="J18" s="55"/>
      <c r="AA18" s="273"/>
      <c r="AE18" s="57"/>
      <c r="AU18" s="80" t="str">
        <f t="shared" si="1"/>
        <v/>
      </c>
      <c r="AV18" s="80" t="str">
        <f t="shared" si="2"/>
        <v/>
      </c>
      <c r="BB18" s="56"/>
      <c r="BC18" s="287">
        <f t="shared" si="3"/>
        <v>0</v>
      </c>
      <c r="BD18" s="287">
        <f t="shared" si="4"/>
        <v>0</v>
      </c>
    </row>
    <row r="19" spans="1:56" ht="15" customHeight="1" x14ac:dyDescent="0.25">
      <c r="A19" s="308" t="s">
        <v>66</v>
      </c>
      <c r="B19" s="370"/>
      <c r="C19" s="312"/>
      <c r="D19" s="369"/>
      <c r="E19" s="369"/>
      <c r="F19" s="32" t="str">
        <f t="shared" si="0"/>
        <v/>
      </c>
      <c r="G19" s="55"/>
      <c r="H19" s="55"/>
      <c r="I19" s="55"/>
      <c r="J19" s="55"/>
      <c r="AA19" s="273"/>
      <c r="AE19" s="57"/>
      <c r="AU19" s="80" t="str">
        <f t="shared" si="1"/>
        <v/>
      </c>
      <c r="AV19" s="80" t="str">
        <f t="shared" si="2"/>
        <v/>
      </c>
      <c r="BB19" s="56"/>
      <c r="BC19" s="287">
        <f t="shared" si="3"/>
        <v>0</v>
      </c>
      <c r="BD19" s="287">
        <f t="shared" si="4"/>
        <v>0</v>
      </c>
    </row>
    <row r="20" spans="1:56" ht="15" customHeight="1" x14ac:dyDescent="0.25">
      <c r="A20" s="308" t="s">
        <v>67</v>
      </c>
      <c r="B20" s="370"/>
      <c r="C20" s="312"/>
      <c r="D20" s="369"/>
      <c r="E20" s="369"/>
      <c r="F20" s="32" t="str">
        <f t="shared" si="0"/>
        <v/>
      </c>
      <c r="G20" s="55"/>
      <c r="H20" s="55"/>
      <c r="I20" s="55"/>
      <c r="J20" s="55"/>
      <c r="AA20" s="273"/>
      <c r="AE20" s="57"/>
      <c r="AU20" s="80" t="str">
        <f t="shared" si="1"/>
        <v/>
      </c>
      <c r="AV20" s="80" t="str">
        <f t="shared" si="2"/>
        <v/>
      </c>
      <c r="BB20" s="56"/>
      <c r="BC20" s="287">
        <f t="shared" si="3"/>
        <v>0</v>
      </c>
      <c r="BD20" s="287">
        <f t="shared" si="4"/>
        <v>0</v>
      </c>
    </row>
    <row r="21" spans="1:56" ht="15" customHeight="1" x14ac:dyDescent="0.25">
      <c r="A21" s="308" t="s">
        <v>396</v>
      </c>
      <c r="B21" s="370"/>
      <c r="C21" s="312"/>
      <c r="D21" s="369"/>
      <c r="E21" s="369"/>
      <c r="F21" s="32" t="str">
        <f t="shared" si="0"/>
        <v/>
      </c>
      <c r="G21" s="55"/>
      <c r="H21" s="55"/>
      <c r="I21" s="55"/>
      <c r="J21" s="55"/>
      <c r="AA21" s="273"/>
      <c r="AE21" s="57"/>
      <c r="AU21" s="80" t="str">
        <f t="shared" si="1"/>
        <v/>
      </c>
      <c r="AV21" s="80" t="str">
        <f t="shared" si="2"/>
        <v/>
      </c>
      <c r="BB21" s="56"/>
      <c r="BC21" s="287">
        <f t="shared" si="3"/>
        <v>0</v>
      </c>
      <c r="BD21" s="287">
        <f t="shared" si="4"/>
        <v>0</v>
      </c>
    </row>
    <row r="22" spans="1:56" ht="15" customHeight="1" x14ac:dyDescent="0.25">
      <c r="A22" s="308" t="s">
        <v>397</v>
      </c>
      <c r="B22" s="370"/>
      <c r="C22" s="312"/>
      <c r="D22" s="369"/>
      <c r="E22" s="369"/>
      <c r="F22" s="32" t="str">
        <f t="shared" si="0"/>
        <v/>
      </c>
      <c r="G22" s="55"/>
      <c r="H22" s="55"/>
      <c r="I22" s="55"/>
      <c r="J22" s="55"/>
      <c r="AA22" s="273"/>
      <c r="AE22" s="57"/>
      <c r="AU22" s="80" t="str">
        <f t="shared" si="1"/>
        <v/>
      </c>
      <c r="AV22" s="80" t="str">
        <f t="shared" si="2"/>
        <v/>
      </c>
      <c r="BB22" s="56"/>
      <c r="BC22" s="287">
        <f t="shared" si="3"/>
        <v>0</v>
      </c>
      <c r="BD22" s="287">
        <f t="shared" si="4"/>
        <v>0</v>
      </c>
    </row>
    <row r="23" spans="1:56" ht="15" customHeight="1" x14ac:dyDescent="0.25">
      <c r="A23" s="308" t="s">
        <v>398</v>
      </c>
      <c r="B23" s="370"/>
      <c r="C23" s="312"/>
      <c r="D23" s="369"/>
      <c r="E23" s="369"/>
      <c r="F23" s="32" t="str">
        <f t="shared" si="0"/>
        <v/>
      </c>
      <c r="G23" s="55"/>
      <c r="H23" s="55"/>
      <c r="I23" s="55"/>
      <c r="J23" s="55"/>
      <c r="AA23" s="273"/>
      <c r="AE23" s="57"/>
      <c r="AU23" s="80" t="str">
        <f t="shared" si="1"/>
        <v/>
      </c>
      <c r="AV23" s="80" t="str">
        <f t="shared" si="2"/>
        <v/>
      </c>
      <c r="BB23" s="56"/>
      <c r="BC23" s="287">
        <f t="shared" si="3"/>
        <v>0</v>
      </c>
      <c r="BD23" s="287">
        <f t="shared" si="4"/>
        <v>0</v>
      </c>
    </row>
    <row r="24" spans="1:56" ht="15" customHeight="1" x14ac:dyDescent="0.25">
      <c r="A24" s="447" t="s">
        <v>49</v>
      </c>
      <c r="B24" s="448">
        <f>SUM(B11:B23)</f>
        <v>0</v>
      </c>
      <c r="C24" s="449">
        <f>SUM(C11:C23)</f>
        <v>0</v>
      </c>
      <c r="D24" s="449">
        <f>SUM(D11:D23)</f>
        <v>0</v>
      </c>
      <c r="E24" s="450">
        <f>SUM(E11:E23)</f>
        <v>0</v>
      </c>
      <c r="F24" s="55"/>
      <c r="G24" s="55"/>
      <c r="H24" s="55"/>
      <c r="I24" s="55"/>
      <c r="J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56" ht="15.75" customHeight="1" x14ac:dyDescent="0.25">
      <c r="A25" s="2493" t="s">
        <v>829</v>
      </c>
      <c r="B25" s="2493"/>
      <c r="C25" s="2493"/>
      <c r="D25" s="316"/>
      <c r="E25" s="316"/>
      <c r="F25" s="316"/>
      <c r="G25" s="316"/>
      <c r="H25" s="269"/>
      <c r="I25" s="269"/>
      <c r="J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56" s="54" customFormat="1" ht="17.100000000000001" customHeight="1" x14ac:dyDescent="0.15">
      <c r="A26" s="2495" t="s">
        <v>830</v>
      </c>
      <c r="B26" s="2495"/>
      <c r="C26" s="2495"/>
      <c r="D26" s="316"/>
      <c r="E26" s="316"/>
      <c r="F26" s="316"/>
      <c r="G26" s="316"/>
      <c r="H26" s="269"/>
      <c r="I26" s="60"/>
      <c r="J26" s="60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</row>
    <row r="27" spans="1:56" s="54" customFormat="1" ht="48.75" customHeight="1" x14ac:dyDescent="0.15">
      <c r="A27" s="446" t="s">
        <v>831</v>
      </c>
      <c r="B27" s="444" t="s">
        <v>832</v>
      </c>
      <c r="C27" s="383" t="s">
        <v>833</v>
      </c>
      <c r="D27" s="445" t="s">
        <v>51</v>
      </c>
      <c r="E27" s="446" t="s">
        <v>108</v>
      </c>
      <c r="F27" s="316"/>
      <c r="G27" s="316"/>
      <c r="H27" s="269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</row>
    <row r="28" spans="1:56" s="54" customFormat="1" ht="15" customHeight="1" x14ac:dyDescent="0.15">
      <c r="A28" s="309" t="s">
        <v>60</v>
      </c>
      <c r="B28" s="372"/>
      <c r="C28" s="384"/>
      <c r="D28" s="369"/>
      <c r="E28" s="369"/>
      <c r="F28" s="32" t="str">
        <f t="shared" ref="F28:F34" si="5">AU28&amp;AV28</f>
        <v/>
      </c>
      <c r="G28" s="316"/>
      <c r="H28" s="269"/>
      <c r="I28" s="55"/>
      <c r="J28" s="55"/>
      <c r="K28" s="55"/>
      <c r="L28" s="55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55"/>
      <c r="AB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U28" s="80" t="str">
        <f>IF(AND(B28+C28&gt;0,OR(D28=""))," * No olvide digitar la variable Pueblos Originarios. Digite Cero si no tiene.",IF(D28&gt;B28+C28," * La variable Pueblos Originarios no puede ser Mayor a la suma de Mujeres +Trans con examen VPH Vigente.",""))</f>
        <v/>
      </c>
      <c r="AV28" s="80" t="str">
        <f>IF(AND(B28+C28&gt;0,OR(E28=""))," * No olvide digitar la variable Migrantes. Digite Cero si no tiene.",IF(E28&gt;B28+C28," * La variable Migrantes no puede ser Mayor a la suma de Mujeres +Trans con examen VPH Vigente.",""))</f>
        <v/>
      </c>
      <c r="AZ28" s="59"/>
      <c r="BA28" s="59"/>
      <c r="BB28" s="59"/>
      <c r="BC28" s="287">
        <f t="shared" ref="BC28:BC34" si="6">IF(AND($B28+$C28&gt;0,OR(D28="")),1,IF(D28&gt;$B28+$C28,1,0))</f>
        <v>0</v>
      </c>
      <c r="BD28" s="287">
        <f t="shared" ref="BD28:BD34" si="7">IF(AND($B28+$C28&gt;0,OR(E28="")),1,IF(E28&gt;$B28+$C28,1,0))</f>
        <v>0</v>
      </c>
    </row>
    <row r="29" spans="1:56" s="54" customFormat="1" ht="15" customHeight="1" x14ac:dyDescent="0.15">
      <c r="A29" s="308" t="s">
        <v>61</v>
      </c>
      <c r="B29" s="372"/>
      <c r="C29" s="384"/>
      <c r="D29" s="369"/>
      <c r="E29" s="369"/>
      <c r="F29" s="32" t="str">
        <f t="shared" si="5"/>
        <v/>
      </c>
      <c r="G29" s="316"/>
      <c r="H29" s="269"/>
      <c r="I29" s="55"/>
      <c r="J29" s="55"/>
      <c r="K29" s="55"/>
      <c r="L29" s="55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55"/>
      <c r="AB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U29" s="80" t="str">
        <f t="shared" ref="AU29:AU34" si="8">IF(AND(B29+C29&gt;0,OR(D29=""))," * No olvide digitar la variable Pueblos Originarios. Digite Cero si no tiene.",IF(D29&gt;B29+C29," * La variable Pueblos Originarios no puede ser Mayor a la suma de Mujeres +Trans con examen VPH Vigente.",""))</f>
        <v/>
      </c>
      <c r="AV29" s="80" t="str">
        <f t="shared" ref="AV29:AV34" si="9">IF(AND(B29+C29&gt;0,OR(E29=""))," * No olvide digitar la variable Migrantes. Digite Cero si no tiene.",IF(E29&gt;B29+C29," * La variable Migrantes no puede ser Mayor a la suma de Mujeres +Trans con examen VPH Vigente.",""))</f>
        <v/>
      </c>
      <c r="AZ29" s="59"/>
      <c r="BA29" s="59"/>
      <c r="BB29" s="59"/>
      <c r="BC29" s="287">
        <f t="shared" si="6"/>
        <v>0</v>
      </c>
      <c r="BD29" s="287">
        <f t="shared" si="7"/>
        <v>0</v>
      </c>
    </row>
    <row r="30" spans="1:56" s="54" customFormat="1" ht="15" customHeight="1" x14ac:dyDescent="0.15">
      <c r="A30" s="308" t="s">
        <v>62</v>
      </c>
      <c r="B30" s="372"/>
      <c r="C30" s="384"/>
      <c r="D30" s="369"/>
      <c r="E30" s="369"/>
      <c r="F30" s="32" t="str">
        <f t="shared" si="5"/>
        <v/>
      </c>
      <c r="G30" s="316"/>
      <c r="H30" s="269"/>
      <c r="I30" s="55"/>
      <c r="J30" s="55"/>
      <c r="K30" s="55"/>
      <c r="L30" s="55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55"/>
      <c r="AB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U30" s="80" t="str">
        <f t="shared" si="8"/>
        <v/>
      </c>
      <c r="AV30" s="80" t="str">
        <f t="shared" si="9"/>
        <v/>
      </c>
      <c r="AZ30" s="59"/>
      <c r="BA30" s="59"/>
      <c r="BB30" s="59"/>
      <c r="BC30" s="287">
        <f t="shared" si="6"/>
        <v>0</v>
      </c>
      <c r="BD30" s="287">
        <f t="shared" si="7"/>
        <v>0</v>
      </c>
    </row>
    <row r="31" spans="1:56" s="54" customFormat="1" ht="15" customHeight="1" x14ac:dyDescent="0.15">
      <c r="A31" s="308" t="s">
        <v>63</v>
      </c>
      <c r="B31" s="372"/>
      <c r="C31" s="384"/>
      <c r="D31" s="369"/>
      <c r="E31" s="369"/>
      <c r="F31" s="32" t="str">
        <f t="shared" si="5"/>
        <v/>
      </c>
      <c r="G31" s="316"/>
      <c r="H31" s="269"/>
      <c r="I31" s="55"/>
      <c r="J31" s="55"/>
      <c r="K31" s="55"/>
      <c r="L31" s="55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55"/>
      <c r="AB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U31" s="80" t="str">
        <f t="shared" si="8"/>
        <v/>
      </c>
      <c r="AV31" s="80" t="str">
        <f t="shared" si="9"/>
        <v/>
      </c>
      <c r="AZ31" s="59"/>
      <c r="BA31" s="59"/>
      <c r="BB31" s="59"/>
      <c r="BC31" s="287">
        <f t="shared" si="6"/>
        <v>0</v>
      </c>
      <c r="BD31" s="287">
        <f t="shared" si="7"/>
        <v>0</v>
      </c>
    </row>
    <row r="32" spans="1:56" s="54" customFormat="1" ht="15" customHeight="1" x14ac:dyDescent="0.15">
      <c r="A32" s="308" t="s">
        <v>64</v>
      </c>
      <c r="B32" s="372"/>
      <c r="C32" s="384"/>
      <c r="D32" s="369"/>
      <c r="E32" s="369"/>
      <c r="F32" s="32" t="str">
        <f t="shared" si="5"/>
        <v/>
      </c>
      <c r="G32" s="316"/>
      <c r="H32" s="269"/>
      <c r="I32" s="55"/>
      <c r="J32" s="55"/>
      <c r="K32" s="55"/>
      <c r="L32" s="55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55"/>
      <c r="AB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P32" s="48"/>
      <c r="AU32" s="80" t="str">
        <f t="shared" si="8"/>
        <v/>
      </c>
      <c r="AV32" s="80" t="str">
        <f t="shared" si="9"/>
        <v/>
      </c>
      <c r="BC32" s="287">
        <f t="shared" si="6"/>
        <v>0</v>
      </c>
      <c r="BD32" s="287">
        <f t="shared" si="7"/>
        <v>0</v>
      </c>
    </row>
    <row r="33" spans="1:56" s="54" customFormat="1" ht="15" customHeight="1" x14ac:dyDescent="0.15">
      <c r="A33" s="308" t="s">
        <v>65</v>
      </c>
      <c r="B33" s="372"/>
      <c r="C33" s="384"/>
      <c r="D33" s="369"/>
      <c r="E33" s="369"/>
      <c r="F33" s="32" t="str">
        <f t="shared" si="5"/>
        <v/>
      </c>
      <c r="G33" s="316"/>
      <c r="H33" s="269"/>
      <c r="I33" s="55"/>
      <c r="J33" s="55"/>
      <c r="K33" s="55"/>
      <c r="L33" s="55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55"/>
      <c r="AB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U33" s="80" t="str">
        <f t="shared" si="8"/>
        <v/>
      </c>
      <c r="AV33" s="80" t="str">
        <f t="shared" si="9"/>
        <v/>
      </c>
      <c r="BC33" s="287">
        <f t="shared" si="6"/>
        <v>0</v>
      </c>
      <c r="BD33" s="287">
        <f t="shared" si="7"/>
        <v>0</v>
      </c>
    </row>
    <row r="34" spans="1:56" ht="15" customHeight="1" thickBot="1" x14ac:dyDescent="0.3">
      <c r="A34" s="1761" t="s">
        <v>66</v>
      </c>
      <c r="B34" s="1762"/>
      <c r="C34" s="1763"/>
      <c r="D34" s="1764"/>
      <c r="E34" s="1764"/>
      <c r="F34" s="32" t="str">
        <f t="shared" si="5"/>
        <v/>
      </c>
      <c r="G34" s="316"/>
      <c r="H34" s="269"/>
      <c r="I34" s="55"/>
      <c r="J34" s="55"/>
      <c r="AU34" s="80" t="str">
        <f t="shared" si="8"/>
        <v/>
      </c>
      <c r="AV34" s="80" t="str">
        <f t="shared" si="9"/>
        <v/>
      </c>
      <c r="BC34" s="287">
        <f t="shared" si="6"/>
        <v>0</v>
      </c>
      <c r="BD34" s="287">
        <f t="shared" si="7"/>
        <v>0</v>
      </c>
    </row>
    <row r="35" spans="1:56" ht="15" customHeight="1" thickTop="1" x14ac:dyDescent="0.25">
      <c r="A35" s="1779" t="s">
        <v>919</v>
      </c>
      <c r="B35" s="373"/>
      <c r="C35" s="385"/>
      <c r="D35" s="371"/>
      <c r="E35" s="371"/>
      <c r="F35" s="32"/>
      <c r="G35" s="316"/>
      <c r="H35" s="269"/>
      <c r="I35" s="55"/>
      <c r="J35" s="55"/>
      <c r="AU35" s="80"/>
      <c r="AV35" s="80"/>
      <c r="BC35" s="287"/>
      <c r="BD35" s="287"/>
    </row>
    <row r="36" spans="1:56" ht="15" customHeight="1" x14ac:dyDescent="0.25">
      <c r="A36" s="447" t="s">
        <v>49</v>
      </c>
      <c r="B36" s="448">
        <f>SUM(B28:B34)</f>
        <v>0</v>
      </c>
      <c r="C36" s="386">
        <f>SUM(C28:C34)</f>
        <v>0</v>
      </c>
      <c r="D36" s="451">
        <f>SUM(D28:D34)</f>
        <v>0</v>
      </c>
      <c r="E36" s="452">
        <f>SUM(E28:E34)</f>
        <v>0</v>
      </c>
      <c r="F36" s="316"/>
      <c r="G36" s="316"/>
      <c r="H36" s="269"/>
      <c r="I36" s="55"/>
      <c r="J36" s="55"/>
    </row>
    <row r="37" spans="1:56" ht="15" customHeight="1" x14ac:dyDescent="0.25">
      <c r="A37" s="2489" t="s">
        <v>834</v>
      </c>
      <c r="B37" s="2489"/>
      <c r="I37" s="55"/>
      <c r="J37" s="55"/>
    </row>
    <row r="38" spans="1:56" ht="15" customHeight="1" x14ac:dyDescent="0.25">
      <c r="A38" s="2490" t="s">
        <v>835</v>
      </c>
      <c r="B38" s="2490"/>
      <c r="C38" s="2490"/>
      <c r="D38" s="2490"/>
      <c r="I38" s="55"/>
      <c r="J38" s="55"/>
    </row>
    <row r="39" spans="1:56" ht="42" x14ac:dyDescent="0.25">
      <c r="A39" s="453" t="s">
        <v>836</v>
      </c>
      <c r="B39" s="444" t="s">
        <v>837</v>
      </c>
      <c r="C39" s="445" t="s">
        <v>838</v>
      </c>
      <c r="D39" s="445" t="s">
        <v>51</v>
      </c>
      <c r="E39" s="446" t="s">
        <v>108</v>
      </c>
      <c r="F39" s="55"/>
      <c r="G39" s="55"/>
      <c r="H39" s="55"/>
      <c r="J39" s="55"/>
    </row>
    <row r="40" spans="1:56" ht="17.100000000000001" customHeight="1" x14ac:dyDescent="0.25">
      <c r="A40" s="314" t="s">
        <v>839</v>
      </c>
      <c r="B40" s="370"/>
      <c r="C40" s="369"/>
      <c r="D40" s="369"/>
      <c r="E40" s="369"/>
      <c r="F40" s="32" t="str">
        <f t="shared" ref="F40:F48" si="10">AU40&amp;AV40</f>
        <v/>
      </c>
      <c r="G40" s="55"/>
      <c r="H40" s="55"/>
      <c r="AU40" s="80" t="str">
        <f>IF(AND(B40+C40&gt;0,OR(D40=""))," * No olvide digitar la variable Pueblos Originarios. Digite Cero si no tiene.",IF(D40&gt;B40+C40," * La variable Pueblos Originarios no puede ser Mayor a la suma de Mujeres +Trans con Mamografía Vigente.",""))</f>
        <v/>
      </c>
      <c r="AV40" s="80" t="str">
        <f>IF(AND(B40+C40&gt;0,OR(E40=""))," * No olvide digitar la variable Migrantes. Digite Cero si no tiene.",IF(E40&gt;B40+C40," * La variable Migrantes no puede ser Mayor a la suma de Mujeres +Trans con Mamografía Vigente.",""))</f>
        <v/>
      </c>
      <c r="BC40" s="287">
        <f t="shared" ref="BC40" si="11">IF(AND($B40+$C40&gt;0,OR(D40="")),1,IF(D40&gt;$B40+$C40,1,0))</f>
        <v>0</v>
      </c>
      <c r="BD40" s="287">
        <f t="shared" ref="BD40" si="12">IF(AND($B40+$C40&gt;0,OR(E40="")),1,IF(E40&gt;$B40+$C40,1,0))</f>
        <v>0</v>
      </c>
    </row>
    <row r="41" spans="1:56" x14ac:dyDescent="0.25">
      <c r="A41" s="313" t="s">
        <v>840</v>
      </c>
      <c r="B41" s="370"/>
      <c r="C41" s="369"/>
      <c r="D41" s="369"/>
      <c r="E41" s="369"/>
      <c r="F41" s="32" t="str">
        <f t="shared" si="10"/>
        <v/>
      </c>
      <c r="G41" s="55"/>
      <c r="H41" s="55"/>
      <c r="J41" s="55"/>
      <c r="AU41" s="80" t="str">
        <f t="shared" ref="AU41:AU48" si="13">IF(AND(B41+C41&gt;0,OR(D41=""))," * No olvide digitar la variable Pueblos Originarios. Digite Cero si no tiene.",IF(D41&gt;B41+C41," * La variable Pueblos Originarios no puede ser Mayor a la suma de Mujeres +Trans con Mamografía Vigente.",""))</f>
        <v/>
      </c>
      <c r="AV41" s="80" t="str">
        <f t="shared" ref="AV41:AV48" si="14">IF(AND(B41+C41&gt;0,OR(E41=""))," * No olvide digitar la variable Migrantes. Digite Cero si no tiene.",IF(E41&gt;B41+C41," * La variable Migrantes no puede ser Mayor a la suma de Mujeres +Trans con Mamografía Vigente.",""))</f>
        <v/>
      </c>
      <c r="BC41" s="287">
        <f t="shared" ref="BC41:BC47" si="15">IF(AND($B41+$C41&gt;0,OR(D41="")),1,IF(D41&gt;$B41+$C41,1,0))</f>
        <v>0</v>
      </c>
      <c r="BD41" s="287">
        <f t="shared" ref="BD41:BD48" si="16">IF(AND($B41+$C41&gt;0,OR(E41="")),1,IF(E41&gt;$B41+$C41,1,0))</f>
        <v>0</v>
      </c>
    </row>
    <row r="42" spans="1:56" ht="15" customHeight="1" x14ac:dyDescent="0.25">
      <c r="A42" s="308" t="s">
        <v>64</v>
      </c>
      <c r="B42" s="370"/>
      <c r="C42" s="369"/>
      <c r="D42" s="369"/>
      <c r="E42" s="369"/>
      <c r="F42" s="32" t="str">
        <f t="shared" si="10"/>
        <v/>
      </c>
      <c r="G42" s="55"/>
      <c r="H42" s="55"/>
      <c r="J42" s="55"/>
      <c r="AU42" s="80" t="str">
        <f t="shared" si="13"/>
        <v/>
      </c>
      <c r="AV42" s="80" t="str">
        <f t="shared" si="14"/>
        <v/>
      </c>
      <c r="BC42" s="287">
        <f t="shared" si="15"/>
        <v>0</v>
      </c>
      <c r="BD42" s="287">
        <f t="shared" si="16"/>
        <v>0</v>
      </c>
    </row>
    <row r="43" spans="1:56" ht="15" customHeight="1" x14ac:dyDescent="0.25">
      <c r="A43" s="308" t="s">
        <v>65</v>
      </c>
      <c r="B43" s="370"/>
      <c r="C43" s="369"/>
      <c r="D43" s="369"/>
      <c r="E43" s="369"/>
      <c r="F43" s="32" t="str">
        <f t="shared" si="10"/>
        <v/>
      </c>
      <c r="G43" s="55"/>
      <c r="H43" s="55"/>
      <c r="I43" s="55"/>
      <c r="J43" s="55"/>
      <c r="AU43" s="80" t="str">
        <f t="shared" si="13"/>
        <v/>
      </c>
      <c r="AV43" s="80" t="str">
        <f t="shared" si="14"/>
        <v/>
      </c>
      <c r="BC43" s="287">
        <f t="shared" si="15"/>
        <v>0</v>
      </c>
      <c r="BD43" s="287">
        <f t="shared" si="16"/>
        <v>0</v>
      </c>
    </row>
    <row r="44" spans="1:56" ht="15" customHeight="1" x14ac:dyDescent="0.25">
      <c r="A44" s="308" t="s">
        <v>66</v>
      </c>
      <c r="B44" s="370"/>
      <c r="C44" s="369"/>
      <c r="D44" s="369"/>
      <c r="E44" s="369"/>
      <c r="F44" s="32" t="str">
        <f t="shared" si="10"/>
        <v/>
      </c>
      <c r="G44" s="55"/>
      <c r="H44" s="55"/>
      <c r="I44" s="55"/>
      <c r="J44" s="55"/>
      <c r="AU44" s="80" t="str">
        <f t="shared" si="13"/>
        <v/>
      </c>
      <c r="AV44" s="80" t="str">
        <f t="shared" si="14"/>
        <v/>
      </c>
      <c r="BC44" s="287">
        <f t="shared" si="15"/>
        <v>0</v>
      </c>
      <c r="BD44" s="287">
        <f t="shared" si="16"/>
        <v>0</v>
      </c>
    </row>
    <row r="45" spans="1:56" ht="15" customHeight="1" x14ac:dyDescent="0.25">
      <c r="A45" s="308" t="s">
        <v>67</v>
      </c>
      <c r="B45" s="370"/>
      <c r="C45" s="369"/>
      <c r="D45" s="369"/>
      <c r="E45" s="369"/>
      <c r="F45" s="32" t="str">
        <f t="shared" si="10"/>
        <v/>
      </c>
      <c r="G45" s="55"/>
      <c r="H45" s="55"/>
      <c r="I45" s="55"/>
      <c r="J45" s="55"/>
      <c r="AU45" s="80" t="str">
        <f t="shared" si="13"/>
        <v/>
      </c>
      <c r="AV45" s="80" t="str">
        <f t="shared" si="14"/>
        <v/>
      </c>
      <c r="BC45" s="287">
        <f t="shared" si="15"/>
        <v>0</v>
      </c>
      <c r="BD45" s="287">
        <f t="shared" si="16"/>
        <v>0</v>
      </c>
    </row>
    <row r="46" spans="1:56" ht="15" customHeight="1" x14ac:dyDescent="0.25">
      <c r="A46" s="308" t="s">
        <v>396</v>
      </c>
      <c r="B46" s="370"/>
      <c r="C46" s="369"/>
      <c r="D46" s="369"/>
      <c r="E46" s="369"/>
      <c r="F46" s="32" t="str">
        <f t="shared" si="10"/>
        <v/>
      </c>
      <c r="G46" s="55"/>
      <c r="H46" s="55"/>
      <c r="I46" s="55"/>
      <c r="J46" s="55"/>
      <c r="AU46" s="80" t="str">
        <f t="shared" si="13"/>
        <v/>
      </c>
      <c r="AV46" s="80" t="str">
        <f t="shared" si="14"/>
        <v/>
      </c>
      <c r="BC46" s="287">
        <f t="shared" si="15"/>
        <v>0</v>
      </c>
      <c r="BD46" s="287">
        <f t="shared" si="16"/>
        <v>0</v>
      </c>
    </row>
    <row r="47" spans="1:56" ht="15" customHeight="1" x14ac:dyDescent="0.25">
      <c r="A47" s="308" t="s">
        <v>397</v>
      </c>
      <c r="B47" s="370"/>
      <c r="C47" s="369"/>
      <c r="D47" s="369"/>
      <c r="E47" s="369"/>
      <c r="F47" s="32" t="str">
        <f t="shared" si="10"/>
        <v/>
      </c>
      <c r="G47" s="55"/>
      <c r="H47" s="55"/>
      <c r="I47" s="55"/>
      <c r="J47" s="55"/>
      <c r="AU47" s="80" t="str">
        <f t="shared" si="13"/>
        <v/>
      </c>
      <c r="AV47" s="80" t="str">
        <f t="shared" si="14"/>
        <v/>
      </c>
      <c r="BC47" s="287">
        <f t="shared" si="15"/>
        <v>0</v>
      </c>
      <c r="BD47" s="287">
        <f t="shared" si="16"/>
        <v>0</v>
      </c>
    </row>
    <row r="48" spans="1:56" ht="15" customHeight="1" x14ac:dyDescent="0.25">
      <c r="A48" s="308" t="s">
        <v>398</v>
      </c>
      <c r="B48" s="370"/>
      <c r="C48" s="369"/>
      <c r="D48" s="369"/>
      <c r="E48" s="369"/>
      <c r="F48" s="32" t="str">
        <f t="shared" si="10"/>
        <v/>
      </c>
      <c r="G48" s="55"/>
      <c r="H48" s="55"/>
      <c r="I48" s="55"/>
      <c r="J48" s="55"/>
      <c r="AU48" s="80" t="str">
        <f t="shared" si="13"/>
        <v/>
      </c>
      <c r="AV48" s="80" t="str">
        <f t="shared" si="14"/>
        <v/>
      </c>
      <c r="BC48" s="287">
        <f>IF(AND($B48+$C48&gt;0,OR(D48="")),1,IF(D48&gt;$B48+$C48,1,0))</f>
        <v>0</v>
      </c>
      <c r="BD48" s="287">
        <f t="shared" si="16"/>
        <v>0</v>
      </c>
    </row>
    <row r="49" spans="1:56" ht="15" customHeight="1" x14ac:dyDescent="0.25">
      <c r="A49" s="454" t="s">
        <v>49</v>
      </c>
      <c r="B49" s="455">
        <f>SUM(B40:B48)</f>
        <v>0</v>
      </c>
      <c r="C49" s="456">
        <f>SUM(C40:C48)</f>
        <v>0</v>
      </c>
      <c r="D49" s="456">
        <f t="shared" ref="D49:E49" si="17">SUM(D40:D48)</f>
        <v>0</v>
      </c>
      <c r="E49" s="457">
        <f t="shared" si="17"/>
        <v>0</v>
      </c>
      <c r="F49" s="55"/>
      <c r="G49" s="55"/>
      <c r="H49" s="55"/>
      <c r="I49" s="55"/>
      <c r="J49" s="55"/>
    </row>
    <row r="50" spans="1:56" ht="15" customHeight="1" x14ac:dyDescent="0.25">
      <c r="A50" s="311" t="s">
        <v>841</v>
      </c>
      <c r="B50" s="310"/>
      <c r="C50" s="31"/>
      <c r="D50" s="54"/>
      <c r="E50" s="214"/>
      <c r="F50" s="214"/>
      <c r="G50" s="214"/>
      <c r="H50" s="214"/>
      <c r="I50" s="55"/>
      <c r="J50" s="55"/>
    </row>
    <row r="51" spans="1:56" ht="15" customHeight="1" x14ac:dyDescent="0.25">
      <c r="A51" s="2491" t="s">
        <v>842</v>
      </c>
      <c r="B51" s="2491"/>
      <c r="C51" s="2491"/>
      <c r="D51" s="2491"/>
      <c r="E51" s="315"/>
      <c r="F51" s="214"/>
      <c r="G51" s="214"/>
      <c r="H51" s="214"/>
      <c r="J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56" ht="35.25" customHeight="1" x14ac:dyDescent="0.25">
      <c r="A52" s="443" t="s">
        <v>836</v>
      </c>
      <c r="B52" s="444" t="s">
        <v>843</v>
      </c>
      <c r="C52" s="445" t="s">
        <v>844</v>
      </c>
      <c r="D52" s="445" t="s">
        <v>51</v>
      </c>
      <c r="E52" s="446" t="s">
        <v>108</v>
      </c>
      <c r="F52" s="214"/>
      <c r="G52" s="214"/>
      <c r="H52" s="214"/>
      <c r="J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56" ht="17.100000000000001" customHeight="1" x14ac:dyDescent="0.25">
      <c r="A53" s="314" t="s">
        <v>839</v>
      </c>
      <c r="B53" s="370"/>
      <c r="C53" s="369"/>
      <c r="D53" s="369"/>
      <c r="E53" s="369"/>
      <c r="F53" s="32" t="str">
        <f t="shared" ref="F53:F61" si="18">AU53&amp;AV53</f>
        <v/>
      </c>
      <c r="G53" s="214"/>
      <c r="H53" s="214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U53" s="80" t="str">
        <f>IF(AND(B53+C53&gt;0,OR(D53=""))," * No olvide digitar la variable Pueblos Originarios. Digite Cero si no tiene.",IF(D53&gt;B53+C53," * La variable Pueblos Originarios no puede ser Mayor a la suma de Mujeres +Trans con EFM Vigente.",""))</f>
        <v/>
      </c>
      <c r="AV53" s="80" t="str">
        <f>IF(AND(B53+C53&gt;0,OR(E53=""))," * No olvide digitar la variable Migrantes. Digite Cero si no tiene.",IF(E53&gt;B53+C53," * La variable Migrantes no puede ser Mayor a la suma de Mujeres +Trans con EFM Vigente.",""))</f>
        <v/>
      </c>
      <c r="BC53" s="287">
        <f t="shared" ref="BC53:BC61" si="19">IF(AND($B53+$C53&gt;0,OR(D53="")),1,IF(D53&gt;$B53+$C53,1,0))</f>
        <v>0</v>
      </c>
      <c r="BD53" s="287">
        <f t="shared" ref="BD53:BD61" si="20">IF(AND($B53+$C53&gt;0,OR(E53="")),1,IF(E53&gt;$B53+$C53,1,0))</f>
        <v>0</v>
      </c>
    </row>
    <row r="54" spans="1:56" x14ac:dyDescent="0.25">
      <c r="A54" s="313" t="s">
        <v>840</v>
      </c>
      <c r="B54" s="370"/>
      <c r="C54" s="369"/>
      <c r="D54" s="369"/>
      <c r="E54" s="369"/>
      <c r="F54" s="32" t="str">
        <f t="shared" si="18"/>
        <v/>
      </c>
      <c r="G54" s="55"/>
      <c r="H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U54" s="80" t="str">
        <f t="shared" ref="AU54:AU61" si="21">IF(AND(B54+C54&gt;0,OR(D54=""))," * No olvide digitar la variable Pueblos Originarios. Digite Cero si no tiene.",IF(D54&gt;B54+C54," * La variable Pueblos Originarios no puede ser Mayor a la suma de Mujeres +Trans con EFM Vigente.",""))</f>
        <v/>
      </c>
      <c r="AV54" s="80" t="str">
        <f t="shared" ref="AV54:AV61" si="22">IF(AND(B54+C54&gt;0,OR(E54=""))," * No olvide digitar la variable Migrantes. Digite Cero si no tiene.",IF(E54&gt;B54+C54," * La variable Migrantes no puede ser Mayor a la suma de Mujeres +Trans con EFM Vigente.",""))</f>
        <v/>
      </c>
      <c r="BC54" s="287">
        <f t="shared" si="19"/>
        <v>0</v>
      </c>
      <c r="BD54" s="287">
        <f t="shared" si="20"/>
        <v>0</v>
      </c>
    </row>
    <row r="55" spans="1:56" s="60" customFormat="1" ht="15" customHeight="1" x14ac:dyDescent="0.15">
      <c r="A55" s="308" t="s">
        <v>64</v>
      </c>
      <c r="B55" s="370"/>
      <c r="C55" s="369"/>
      <c r="D55" s="369"/>
      <c r="E55" s="369"/>
      <c r="F55" s="32" t="str">
        <f t="shared" si="18"/>
        <v/>
      </c>
      <c r="G55" s="55"/>
      <c r="H55" s="55"/>
      <c r="K55" s="55"/>
      <c r="L55" s="55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273"/>
      <c r="AB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Q55" s="55"/>
      <c r="AR55" s="55"/>
      <c r="AS55" s="55"/>
      <c r="AT55" s="55"/>
      <c r="AU55" s="80" t="str">
        <f t="shared" si="21"/>
        <v/>
      </c>
      <c r="AV55" s="80" t="str">
        <f t="shared" si="22"/>
        <v/>
      </c>
      <c r="AW55" s="55"/>
      <c r="AX55" s="55"/>
      <c r="AY55" s="55"/>
      <c r="AZ55" s="55"/>
      <c r="BA55" s="55"/>
      <c r="BB55" s="55"/>
      <c r="BC55" s="287">
        <f t="shared" si="19"/>
        <v>0</v>
      </c>
      <c r="BD55" s="287">
        <f t="shared" si="20"/>
        <v>0</v>
      </c>
    </row>
    <row r="56" spans="1:56" ht="15" customHeight="1" x14ac:dyDescent="0.25">
      <c r="A56" s="308" t="s">
        <v>65</v>
      </c>
      <c r="B56" s="370"/>
      <c r="C56" s="369"/>
      <c r="D56" s="369"/>
      <c r="E56" s="369"/>
      <c r="F56" s="32" t="str">
        <f t="shared" si="18"/>
        <v/>
      </c>
      <c r="G56" s="55"/>
      <c r="H56" s="55"/>
      <c r="AA56" s="273"/>
      <c r="AU56" s="80" t="str">
        <f t="shared" si="21"/>
        <v/>
      </c>
      <c r="AV56" s="80" t="str">
        <f t="shared" si="22"/>
        <v/>
      </c>
      <c r="BC56" s="287">
        <f t="shared" si="19"/>
        <v>0</v>
      </c>
      <c r="BD56" s="287">
        <f t="shared" si="20"/>
        <v>0</v>
      </c>
    </row>
    <row r="57" spans="1:56" ht="15" customHeight="1" x14ac:dyDescent="0.25">
      <c r="A57" s="308" t="s">
        <v>66</v>
      </c>
      <c r="B57" s="370"/>
      <c r="C57" s="369"/>
      <c r="D57" s="369"/>
      <c r="E57" s="369"/>
      <c r="F57" s="32" t="str">
        <f t="shared" si="18"/>
        <v/>
      </c>
      <c r="G57" s="55"/>
      <c r="H57" s="55"/>
      <c r="AA57" s="273"/>
      <c r="AU57" s="80" t="str">
        <f t="shared" si="21"/>
        <v/>
      </c>
      <c r="AV57" s="80" t="str">
        <f t="shared" si="22"/>
        <v/>
      </c>
      <c r="BC57" s="287">
        <f t="shared" si="19"/>
        <v>0</v>
      </c>
      <c r="BD57" s="287">
        <f t="shared" si="20"/>
        <v>0</v>
      </c>
    </row>
    <row r="58" spans="1:56" ht="15" customHeight="1" x14ac:dyDescent="0.25">
      <c r="A58" s="308" t="s">
        <v>67</v>
      </c>
      <c r="B58" s="370"/>
      <c r="C58" s="369"/>
      <c r="D58" s="369"/>
      <c r="E58" s="369"/>
      <c r="F58" s="32" t="str">
        <f t="shared" si="18"/>
        <v/>
      </c>
      <c r="G58" s="55"/>
      <c r="H58" s="55"/>
      <c r="AA58" s="273"/>
      <c r="AU58" s="80" t="str">
        <f t="shared" si="21"/>
        <v/>
      </c>
      <c r="AV58" s="80" t="str">
        <f t="shared" si="22"/>
        <v/>
      </c>
      <c r="BC58" s="287">
        <f t="shared" si="19"/>
        <v>0</v>
      </c>
      <c r="BD58" s="287">
        <f t="shared" si="20"/>
        <v>0</v>
      </c>
    </row>
    <row r="59" spans="1:56" ht="15" customHeight="1" x14ac:dyDescent="0.25">
      <c r="A59" s="308" t="s">
        <v>396</v>
      </c>
      <c r="B59" s="370"/>
      <c r="C59" s="369"/>
      <c r="D59" s="369"/>
      <c r="E59" s="369"/>
      <c r="F59" s="32" t="str">
        <f t="shared" si="18"/>
        <v/>
      </c>
      <c r="G59" s="55"/>
      <c r="H59" s="55"/>
      <c r="AA59" s="273"/>
      <c r="AU59" s="80" t="str">
        <f t="shared" si="21"/>
        <v/>
      </c>
      <c r="AV59" s="80" t="str">
        <f t="shared" si="22"/>
        <v/>
      </c>
      <c r="BC59" s="287">
        <f t="shared" si="19"/>
        <v>0</v>
      </c>
      <c r="BD59" s="287">
        <f t="shared" si="20"/>
        <v>0</v>
      </c>
    </row>
    <row r="60" spans="1:56" ht="15" customHeight="1" x14ac:dyDescent="0.25">
      <c r="A60" s="308" t="s">
        <v>397</v>
      </c>
      <c r="B60" s="370"/>
      <c r="C60" s="369"/>
      <c r="D60" s="369"/>
      <c r="E60" s="369"/>
      <c r="F60" s="32" t="str">
        <f t="shared" si="18"/>
        <v/>
      </c>
      <c r="G60" s="55"/>
      <c r="H60" s="55"/>
      <c r="AA60" s="273"/>
      <c r="AU60" s="80" t="str">
        <f t="shared" si="21"/>
        <v/>
      </c>
      <c r="AV60" s="80" t="str">
        <f t="shared" si="22"/>
        <v/>
      </c>
      <c r="BC60" s="287">
        <f t="shared" si="19"/>
        <v>0</v>
      </c>
      <c r="BD60" s="287">
        <f t="shared" si="20"/>
        <v>0</v>
      </c>
    </row>
    <row r="61" spans="1:56" ht="15" customHeight="1" x14ac:dyDescent="0.25">
      <c r="A61" s="308" t="s">
        <v>398</v>
      </c>
      <c r="B61" s="370"/>
      <c r="C61" s="369"/>
      <c r="D61" s="369"/>
      <c r="E61" s="369"/>
      <c r="F61" s="32" t="str">
        <f t="shared" si="18"/>
        <v/>
      </c>
      <c r="G61" s="55"/>
      <c r="H61" s="55"/>
      <c r="AA61" s="273"/>
      <c r="AU61" s="80" t="str">
        <f t="shared" si="21"/>
        <v/>
      </c>
      <c r="AV61" s="80" t="str">
        <f t="shared" si="22"/>
        <v/>
      </c>
      <c r="BC61" s="287">
        <f t="shared" si="19"/>
        <v>0</v>
      </c>
      <c r="BD61" s="287">
        <f t="shared" si="20"/>
        <v>0</v>
      </c>
    </row>
    <row r="62" spans="1:56" ht="15" customHeight="1" x14ac:dyDescent="0.25">
      <c r="A62" s="454" t="s">
        <v>49</v>
      </c>
      <c r="B62" s="455">
        <f>SUM(B53:B61)</f>
        <v>0</v>
      </c>
      <c r="C62" s="456">
        <f>SUM(C53:C61)</f>
        <v>0</v>
      </c>
      <c r="D62" s="456">
        <f t="shared" ref="D62:E62" si="23">SUM(D53:D61)</f>
        <v>0</v>
      </c>
      <c r="E62" s="457">
        <f t="shared" si="23"/>
        <v>0</v>
      </c>
      <c r="F62" s="214"/>
      <c r="G62" s="214"/>
      <c r="H62" s="214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56" x14ac:dyDescent="0.25">
      <c r="A63" s="311" t="s">
        <v>841</v>
      </c>
      <c r="B63" s="310"/>
      <c r="C63" s="31"/>
      <c r="D63" s="54"/>
      <c r="E63" s="214"/>
      <c r="F63" s="214"/>
      <c r="G63" s="214"/>
      <c r="H63" s="214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56" x14ac:dyDescent="0.25"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3:26" x14ac:dyDescent="0.25"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3:26" x14ac:dyDescent="0.25"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3:26" x14ac:dyDescent="0.25"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3:26" x14ac:dyDescent="0.25"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3:26" x14ac:dyDescent="0.25"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3:26" x14ac:dyDescent="0.25"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81" spans="1:2" hidden="1" x14ac:dyDescent="0.25">
      <c r="A81" s="397">
        <f>SUM(B11:C23,B28:C34,B40:C48,B53:C61)</f>
        <v>0</v>
      </c>
      <c r="B81" s="207" t="s">
        <v>204</v>
      </c>
    </row>
    <row r="82" spans="1:2" hidden="1" x14ac:dyDescent="0.25">
      <c r="A82" s="397">
        <f>SUM(BC11:BD61)</f>
        <v>0</v>
      </c>
      <c r="B82" s="207" t="s">
        <v>205</v>
      </c>
    </row>
    <row r="130" spans="1:2" x14ac:dyDescent="0.25">
      <c r="A130" s="55"/>
      <c r="B130" s="55"/>
    </row>
    <row r="131" spans="1:2" x14ac:dyDescent="0.25">
      <c r="A131" s="55"/>
      <c r="B131" s="55"/>
    </row>
  </sheetData>
  <sheetProtection algorithmName="SHA-512" hashValue="ahd5ppTxgTpgDIgYoNmU15VmtJHjwP0/2uh61LWYHDEC/8bOzOzjyEvftHgCUItDLda2NL0Qf6SpaeLJHRwTVQ==" saltValue="o/muMCtibDPxZPf0NYdWwQ==" spinCount="100000" sheet="1" objects="1" scenarios="1"/>
  <mergeCells count="9">
    <mergeCell ref="A37:B37"/>
    <mergeCell ref="A38:D38"/>
    <mergeCell ref="A51:D51"/>
    <mergeCell ref="N5:O5"/>
    <mergeCell ref="A25:C25"/>
    <mergeCell ref="A8:C8"/>
    <mergeCell ref="A9:C9"/>
    <mergeCell ref="A26:C26"/>
    <mergeCell ref="A7:G7"/>
  </mergeCells>
  <phoneticPr fontId="26" type="noConversion"/>
  <dataValidations count="3">
    <dataValidation allowBlank="1" showInputMessage="1" showErrorMessage="1" errorTitle="Error de ingreso" error="Debe ingresar sólo números enteros positivos." sqref="B52:B54 B39:B41 A72:B129 B10:C10 B1:J6 B27 B62:B71 C63:G1048576 N12:AB1048576 H26:M1048576 A132:B1048576 B24:C25 D61:E62 E50:E51 D37 C27:C37 D48:E49 K1:K7 A6:A71 F62 D25:E26 D36:E36 E37:E38 C50:D50 C39:C49 C52:C62 F10:H10 DN1:XFD1048576 AE1:DM10 L1:AB10 I9:K10 G12:M25 AE12:AT1048576 AU62:AV1048576 AU24:AV27 G26:G62 F24:F27 AU36:AV39 AU49:AV52 F36:F39 F49:F52 AW12:BB1048576 BE12:DM1048576 BC24:BD27 BC36:BD39 BC49:BD52 BC62:BD1048576" xr:uid="{00000000-0002-0000-0A00-000000000000}"/>
    <dataValidation type="whole" operator="greaterThanOrEqual" allowBlank="1" showInputMessage="1" showErrorMessage="1" sqref="B11:C23 D34:E35 B42:B50 B28:B36 B55:B61" xr:uid="{00000000-0002-0000-0A00-000001000000}">
      <formula1>0</formula1>
    </dataValidation>
    <dataValidation allowBlank="1" showInputMessage="1" showErrorMessage="1" errorTitle=" Error de ingreso" error="Debe ingresar sólo números enteros positivos." sqref="F53:F61 F11:T11 CK11:DM11 F12:F23 F28:F35 F40:F48 BA11 BC11:CD11 BC12:BD23 BC28:BD35 BC40:BD48 BC53:BD61" xr:uid="{E6E30A2B-9128-4187-B434-EEA2771B8D56}"/>
  </dataValidations>
  <pageMargins left="0.70866141732283472" right="0.70866141732283472" top="0.74803149606299213" bottom="0.74803149606299213" header="0.31496062992125984" footer="0.31496062992125984"/>
  <pageSetup scale="65" orientation="landscape" r:id="rId1"/>
  <rowBreaks count="1" manualBreakCount="1">
    <brk id="25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BZ42"/>
  <sheetViews>
    <sheetView showGridLines="0" zoomScaleNormal="100" workbookViewId="0"/>
  </sheetViews>
  <sheetFormatPr baseColWidth="10" defaultColWidth="11.42578125" defaultRowHeight="10.5" x14ac:dyDescent="0.15"/>
  <cols>
    <col min="1" max="1" width="61.5703125" style="470" customWidth="1"/>
    <col min="2" max="4" width="15.85546875" style="470" customWidth="1"/>
    <col min="5" max="16" width="10.28515625" style="470" customWidth="1"/>
    <col min="17" max="18" width="11" style="470" customWidth="1"/>
    <col min="19" max="19" width="14.85546875" style="470" customWidth="1"/>
    <col min="20" max="20" width="17.85546875" style="470" customWidth="1"/>
    <col min="21" max="48" width="11.42578125" style="470" customWidth="1"/>
    <col min="49" max="49" width="9.42578125" style="470" customWidth="1"/>
    <col min="50" max="50" width="12.28515625" style="468" hidden="1" customWidth="1"/>
    <col min="51" max="52" width="9.42578125" style="468" hidden="1" customWidth="1"/>
    <col min="53" max="53" width="9.42578125" style="470" hidden="1" customWidth="1"/>
    <col min="54" max="54" width="10.5703125" style="470" hidden="1" customWidth="1"/>
    <col min="55" max="61" width="9.42578125" style="470" hidden="1" customWidth="1"/>
    <col min="62" max="62" width="10.7109375" style="470" hidden="1" customWidth="1"/>
    <col min="63" max="69" width="9.42578125" style="470" hidden="1" customWidth="1"/>
    <col min="70" max="74" width="9.42578125" style="470" customWidth="1"/>
    <col min="75" max="78" width="11.42578125" style="471" customWidth="1"/>
    <col min="79" max="90" width="11.42578125" style="470" customWidth="1"/>
    <col min="91" max="16384" width="11.42578125" style="470"/>
  </cols>
  <sheetData>
    <row r="1" spans="1:78" s="468" customFormat="1" ht="13.5" customHeight="1" x14ac:dyDescent="0.15">
      <c r="A1" s="466" t="s">
        <v>0</v>
      </c>
      <c r="BW1" s="466"/>
      <c r="BX1" s="466"/>
      <c r="BY1" s="466"/>
      <c r="BZ1" s="466"/>
    </row>
    <row r="2" spans="1:78" s="468" customFormat="1" ht="13.5" customHeight="1" x14ac:dyDescent="0.15">
      <c r="A2" s="466" t="str">
        <f>CONCATENATE("COMUNA: ",NOMBRE!$B$2,"   ","( ",NOMBRE!$C$2,NOMBRE!$D$2,NOMBRE!$E$2,NOMBRE!$F$2,NOMBRE!$G$2," )")</f>
        <v>COMUNA:    (  )</v>
      </c>
      <c r="BW2" s="466"/>
      <c r="BX2" s="466"/>
      <c r="BY2" s="466"/>
      <c r="BZ2" s="466"/>
    </row>
    <row r="3" spans="1:78" s="468" customFormat="1" ht="13.5" customHeight="1" x14ac:dyDescent="0.15">
      <c r="A3" s="466" t="str">
        <f>CONCATENATE("ESTABLECIMIENTO/ESTRATEGIA: ",NOMBRE!$B$3,"   ","( ",NOMBRE!$C$3,NOMBRE!$D$3,NOMBRE!$E$3,NOMBRE!$F$3,NOMBRE!$G$3,NOMBRE!$H$3," )")</f>
        <v>ESTABLECIMIENTO/ESTRATEGIA:    (  )</v>
      </c>
      <c r="D3" s="1089"/>
      <c r="BW3" s="466"/>
      <c r="BX3" s="466"/>
      <c r="BY3" s="466"/>
      <c r="BZ3" s="466"/>
    </row>
    <row r="4" spans="1:78" s="468" customFormat="1" ht="13.5" customHeight="1" x14ac:dyDescent="0.15">
      <c r="A4" s="466" t="str">
        <f>CONCATENATE("MES: ",NOMBRE!$B$6,"   ","( ",NOMBRE!$C$6,NOMBRE!$D$6," )")</f>
        <v>MES:    (  )</v>
      </c>
      <c r="BW4" s="466"/>
      <c r="BX4" s="466"/>
      <c r="BY4" s="466"/>
      <c r="BZ4" s="466"/>
    </row>
    <row r="5" spans="1:78" s="468" customFormat="1" ht="13.5" customHeight="1" x14ac:dyDescent="0.15">
      <c r="A5" s="466" t="str">
        <f>CONCATENATE("AÑO: ",NOMBRE!$B$7)</f>
        <v>AÑO: 2026</v>
      </c>
      <c r="BW5" s="466"/>
      <c r="BX5" s="466"/>
      <c r="BY5" s="466"/>
      <c r="BZ5" s="466"/>
    </row>
    <row r="6" spans="1:78" s="468" customFormat="1" ht="15" customHeight="1" x14ac:dyDescent="0.15">
      <c r="A6" s="1090"/>
      <c r="BW6" s="466"/>
      <c r="BX6" s="466"/>
      <c r="BY6" s="466"/>
      <c r="BZ6" s="466"/>
    </row>
    <row r="7" spans="1:78" s="472" customFormat="1" ht="20.25" customHeight="1" x14ac:dyDescent="0.15">
      <c r="A7" s="2497" t="s">
        <v>845</v>
      </c>
      <c r="B7" s="2497"/>
      <c r="C7" s="2497"/>
      <c r="D7" s="2497"/>
      <c r="E7" s="2497"/>
      <c r="F7" s="2497"/>
      <c r="G7" s="2497"/>
      <c r="H7" s="2497"/>
      <c r="I7" s="2497"/>
      <c r="J7" s="2497"/>
      <c r="K7" s="2497"/>
      <c r="L7" s="2497"/>
      <c r="M7" s="2497"/>
      <c r="N7" s="2497"/>
      <c r="O7" s="2497"/>
      <c r="P7" s="2497"/>
      <c r="Q7" s="2497"/>
      <c r="R7" s="2497"/>
      <c r="S7" s="470"/>
      <c r="T7" s="470"/>
      <c r="U7" s="470"/>
      <c r="V7" s="470"/>
      <c r="W7" s="470"/>
      <c r="X7" s="470"/>
      <c r="Y7" s="470"/>
      <c r="Z7" s="470"/>
      <c r="AA7" s="470"/>
      <c r="AB7" s="470"/>
      <c r="AC7" s="470"/>
      <c r="AD7" s="470"/>
      <c r="AE7" s="470"/>
      <c r="AF7" s="470"/>
      <c r="AG7" s="470"/>
      <c r="AH7" s="470"/>
      <c r="AI7" s="470"/>
      <c r="AJ7" s="470"/>
      <c r="AK7" s="470"/>
      <c r="AL7" s="470"/>
      <c r="AM7" s="470"/>
      <c r="AN7" s="470"/>
      <c r="AO7" s="470"/>
      <c r="AP7" s="470"/>
      <c r="AQ7" s="470"/>
      <c r="AR7" s="470"/>
      <c r="AS7" s="470"/>
      <c r="AT7" s="470"/>
      <c r="AU7" s="470"/>
      <c r="AV7" s="470"/>
      <c r="AW7" s="470"/>
      <c r="AX7" s="468"/>
      <c r="AY7" s="468"/>
      <c r="AZ7" s="468"/>
      <c r="BW7" s="1532"/>
      <c r="BX7" s="1532"/>
      <c r="BY7" s="1532"/>
      <c r="BZ7" s="1532"/>
    </row>
    <row r="8" spans="1:78" ht="17.100000000000001" customHeight="1" x14ac:dyDescent="0.15">
      <c r="A8" s="1533" t="s">
        <v>846</v>
      </c>
      <c r="B8" s="1534"/>
      <c r="C8" s="1534"/>
      <c r="D8" s="471"/>
      <c r="E8" s="471"/>
      <c r="F8" s="471"/>
      <c r="G8" s="471"/>
      <c r="H8" s="471"/>
      <c r="I8" s="471"/>
      <c r="J8" s="471"/>
      <c r="K8" s="787"/>
    </row>
    <row r="9" spans="1:78" ht="15.75" customHeight="1" x14ac:dyDescent="0.25">
      <c r="A9" s="2500" t="s">
        <v>847</v>
      </c>
      <c r="B9" s="2501" t="s">
        <v>49</v>
      </c>
      <c r="C9" s="2502"/>
      <c r="D9" s="2503"/>
      <c r="E9" s="2507" t="s">
        <v>370</v>
      </c>
      <c r="F9" s="2508"/>
      <c r="G9" s="2508"/>
      <c r="H9" s="2508"/>
      <c r="I9" s="2508"/>
      <c r="J9" s="2508"/>
      <c r="K9" s="2508"/>
      <c r="L9" s="2508"/>
      <c r="M9" s="2508"/>
      <c r="N9" s="2508"/>
      <c r="O9" s="2508"/>
      <c r="P9" s="2509"/>
      <c r="Q9" s="2503" t="s">
        <v>108</v>
      </c>
      <c r="R9" s="1806" t="s">
        <v>51</v>
      </c>
      <c r="W9"/>
      <c r="X9"/>
      <c r="Y9"/>
      <c r="Z9"/>
      <c r="AA9"/>
      <c r="AB9"/>
      <c r="AC9"/>
      <c r="AD9"/>
      <c r="AE9"/>
      <c r="AF9"/>
    </row>
    <row r="10" spans="1:78" ht="15.75" customHeight="1" x14ac:dyDescent="0.15">
      <c r="A10" s="2500"/>
      <c r="B10" s="2504"/>
      <c r="C10" s="2505"/>
      <c r="D10" s="2506"/>
      <c r="E10" s="1828" t="s">
        <v>848</v>
      </c>
      <c r="F10" s="2498"/>
      <c r="G10" s="1828" t="s">
        <v>849</v>
      </c>
      <c r="H10" s="2498"/>
      <c r="I10" s="1828" t="s">
        <v>850</v>
      </c>
      <c r="J10" s="2498"/>
      <c r="K10" s="1828" t="s">
        <v>57</v>
      </c>
      <c r="L10" s="2498"/>
      <c r="M10" s="1828" t="s">
        <v>851</v>
      </c>
      <c r="N10" s="2498"/>
      <c r="O10" s="1828" t="s">
        <v>852</v>
      </c>
      <c r="P10" s="2499"/>
      <c r="Q10" s="2510"/>
      <c r="R10" s="1807"/>
      <c r="BA10" s="1848" t="s">
        <v>108</v>
      </c>
      <c r="BB10" s="1848" t="s">
        <v>51</v>
      </c>
      <c r="BC10" s="2371"/>
      <c r="BD10" s="2371"/>
      <c r="BI10" s="1848" t="s">
        <v>108</v>
      </c>
      <c r="BJ10" s="1848" t="s">
        <v>51</v>
      </c>
      <c r="BK10" s="2371"/>
      <c r="BL10" s="2371"/>
    </row>
    <row r="11" spans="1:78" ht="18" customHeight="1" x14ac:dyDescent="0.15">
      <c r="A11" s="2500"/>
      <c r="B11" s="751" t="s">
        <v>224</v>
      </c>
      <c r="C11" s="435" t="s">
        <v>752</v>
      </c>
      <c r="D11" s="1537" t="s">
        <v>85</v>
      </c>
      <c r="E11" s="359" t="s">
        <v>752</v>
      </c>
      <c r="F11" s="1537" t="s">
        <v>85</v>
      </c>
      <c r="G11" s="359" t="s">
        <v>752</v>
      </c>
      <c r="H11" s="1537" t="s">
        <v>85</v>
      </c>
      <c r="I11" s="359" t="s">
        <v>752</v>
      </c>
      <c r="J11" s="1535" t="s">
        <v>85</v>
      </c>
      <c r="K11" s="359" t="s">
        <v>752</v>
      </c>
      <c r="L11" s="1535" t="s">
        <v>85</v>
      </c>
      <c r="M11" s="359" t="s">
        <v>752</v>
      </c>
      <c r="N11" s="1535" t="s">
        <v>85</v>
      </c>
      <c r="O11" s="435" t="s">
        <v>752</v>
      </c>
      <c r="P11" s="1536" t="s">
        <v>85</v>
      </c>
      <c r="Q11" s="2506"/>
      <c r="R11" s="1808"/>
      <c r="BA11" s="2133"/>
      <c r="BB11" s="2133"/>
      <c r="BC11" s="2371"/>
      <c r="BD11" s="2371"/>
      <c r="BI11" s="2133"/>
      <c r="BJ11" s="2133"/>
      <c r="BK11" s="2371"/>
      <c r="BL11" s="2371"/>
    </row>
    <row r="12" spans="1:78" ht="15" customHeight="1" x14ac:dyDescent="0.15">
      <c r="A12" s="1538" t="s">
        <v>49</v>
      </c>
      <c r="B12" s="505">
        <f>SUM(C12:D12)</f>
        <v>0</v>
      </c>
      <c r="C12" s="1539">
        <f>SUM(C13:C16)</f>
        <v>0</v>
      </c>
      <c r="D12" s="1540">
        <f>SUM(D13:D16)</f>
        <v>0</v>
      </c>
      <c r="E12" s="1541">
        <f>SUM(E13:E16)</f>
        <v>0</v>
      </c>
      <c r="F12" s="707">
        <f>SUM(F13:F15)</f>
        <v>0</v>
      </c>
      <c r="G12" s="1541">
        <f>SUM(G13:G15)</f>
        <v>0</v>
      </c>
      <c r="H12" s="707">
        <f>SUM(H13:H15)</f>
        <v>0</v>
      </c>
      <c r="I12" s="1541">
        <f t="shared" ref="I12:P12" si="0">SUM(I13:I16)</f>
        <v>0</v>
      </c>
      <c r="J12" s="1542">
        <f t="shared" si="0"/>
        <v>0</v>
      </c>
      <c r="K12" s="1541">
        <f t="shared" si="0"/>
        <v>0</v>
      </c>
      <c r="L12" s="1542">
        <f t="shared" si="0"/>
        <v>0</v>
      </c>
      <c r="M12" s="1541">
        <f t="shared" si="0"/>
        <v>0</v>
      </c>
      <c r="N12" s="1542">
        <f t="shared" si="0"/>
        <v>0</v>
      </c>
      <c r="O12" s="1539">
        <f t="shared" si="0"/>
        <v>0</v>
      </c>
      <c r="P12" s="1543">
        <f t="shared" si="0"/>
        <v>0</v>
      </c>
      <c r="Q12" s="1540">
        <f t="shared" ref="Q12" si="1">SUM(Q13:Q16)</f>
        <v>0</v>
      </c>
      <c r="R12" s="1540">
        <f t="shared" ref="R12" si="2">SUM(R13:R16)</f>
        <v>0</v>
      </c>
      <c r="BA12" s="1849"/>
      <c r="BB12" s="1849"/>
      <c r="BC12" s="2371"/>
      <c r="BD12" s="2371"/>
      <c r="BI12" s="1849"/>
      <c r="BJ12" s="1849"/>
      <c r="BK12" s="2371"/>
      <c r="BL12" s="2371"/>
    </row>
    <row r="13" spans="1:78" ht="15" customHeight="1" x14ac:dyDescent="0.15">
      <c r="A13" s="710" t="s">
        <v>853</v>
      </c>
      <c r="B13" s="489">
        <f>SUM(C13:D13)</f>
        <v>0</v>
      </c>
      <c r="C13" s="1544">
        <f t="shared" ref="C13:D15" si="3">+E13+G13+I13+K13+M13+O13</f>
        <v>0</v>
      </c>
      <c r="D13" s="1545">
        <f t="shared" si="3"/>
        <v>0</v>
      </c>
      <c r="E13" s="520"/>
      <c r="F13" s="524"/>
      <c r="G13" s="520"/>
      <c r="H13" s="524"/>
      <c r="I13" s="520"/>
      <c r="J13" s="524"/>
      <c r="K13" s="520"/>
      <c r="L13" s="524"/>
      <c r="M13" s="520"/>
      <c r="N13" s="524"/>
      <c r="O13" s="522"/>
      <c r="P13" s="686"/>
      <c r="Q13" s="521"/>
      <c r="R13" s="521"/>
      <c r="S13" s="470" t="str">
        <f>BA13&amp;BB13</f>
        <v/>
      </c>
      <c r="BA13" s="620" t="str">
        <f>IF(AND($B13&gt;0,OR($Q13=""))," * No olvide digitar la variable Migrantes. Digite Cero si no tiene.",IF($Q13&gt;$B13," * La variable Migrantes no puede ser Mayor al Total Ambos Sexos.",""))</f>
        <v/>
      </c>
      <c r="BB13" s="620" t="str">
        <f>IF(AND($B13&gt;0,OR($R13=""))," * No olvide digitar la variable Pueblos Originarios. Digite Cero si no tiene.",IF($R13&gt;$B13," * La variable Pueblos Originarios no puede ser Mayor al Total Ambos Sexos.",""))</f>
        <v/>
      </c>
      <c r="BI13" s="501">
        <f>IF(AND($B13&gt;0,OR($Q13="")),1,IF($Q13&gt;$B13,1,0))</f>
        <v>0</v>
      </c>
      <c r="BJ13" s="501">
        <f>IF(AND($B13&gt;0,OR($R13="")),1,IF($R13&gt;$B13,1,0))</f>
        <v>0</v>
      </c>
      <c r="BP13" s="472"/>
      <c r="BR13" s="472"/>
    </row>
    <row r="14" spans="1:78" ht="15" customHeight="1" x14ac:dyDescent="0.15">
      <c r="A14" s="1546" t="s">
        <v>854</v>
      </c>
      <c r="B14" s="515">
        <f>SUM(C14:D14)</f>
        <v>0</v>
      </c>
      <c r="C14" s="1547">
        <f t="shared" si="3"/>
        <v>0</v>
      </c>
      <c r="D14" s="1548">
        <f t="shared" si="3"/>
        <v>0</v>
      </c>
      <c r="E14" s="520"/>
      <c r="F14" s="521"/>
      <c r="G14" s="520"/>
      <c r="H14" s="521"/>
      <c r="I14" s="520"/>
      <c r="J14" s="521"/>
      <c r="K14" s="520"/>
      <c r="L14" s="521"/>
      <c r="M14" s="520"/>
      <c r="N14" s="521"/>
      <c r="O14" s="522"/>
      <c r="P14" s="686"/>
      <c r="Q14" s="521"/>
      <c r="R14" s="521"/>
      <c r="S14" s="470" t="str">
        <f t="shared" ref="S14:S16" si="4">BA14&amp;BB14</f>
        <v/>
      </c>
      <c r="BA14" s="620" t="str">
        <f>IF(AND($B14&gt;0,OR($Q14=""))," * No olvide digitar la variable Migrantes. Digite Cero si no tiene.",IF($Q14&gt;$B14," * La variable Migrantes no puede ser Mayor al Total Ambos Sexos.",""))</f>
        <v/>
      </c>
      <c r="BB14" s="620" t="str">
        <f>IF(AND($B14&gt;0,OR($R14=""))," * No olvide digitar la variable Pueblos Originarios. Digite Cero si no tiene.",IF($R14&gt;$B14," * La variable Pueblos Originarios no puede ser Mayor al Total Ambos Sexos.",""))</f>
        <v/>
      </c>
      <c r="BI14" s="501">
        <f>IF(AND($B14&gt;0,OR($Q14="")),1,IF($Q14&gt;$B14,1,0))</f>
        <v>0</v>
      </c>
      <c r="BJ14" s="501">
        <f>IF(AND($B14&gt;0,OR($R14="")),1,IF($R14&gt;$B14,1,0))</f>
        <v>0</v>
      </c>
      <c r="BP14" s="472"/>
      <c r="BR14" s="472"/>
    </row>
    <row r="15" spans="1:78" ht="15" customHeight="1" x14ac:dyDescent="0.15">
      <c r="A15" s="1546" t="s">
        <v>855</v>
      </c>
      <c r="B15" s="515">
        <f>SUM(C15:D15)</f>
        <v>0</v>
      </c>
      <c r="C15" s="1547">
        <f t="shared" si="3"/>
        <v>0</v>
      </c>
      <c r="D15" s="1548">
        <f t="shared" si="3"/>
        <v>0</v>
      </c>
      <c r="E15" s="520"/>
      <c r="F15" s="521"/>
      <c r="G15" s="520"/>
      <c r="H15" s="521"/>
      <c r="I15" s="520"/>
      <c r="J15" s="521"/>
      <c r="K15" s="520"/>
      <c r="L15" s="521"/>
      <c r="M15" s="520"/>
      <c r="N15" s="521"/>
      <c r="O15" s="520"/>
      <c r="P15" s="686"/>
      <c r="Q15" s="521"/>
      <c r="R15" s="521"/>
      <c r="S15" s="470" t="str">
        <f t="shared" si="4"/>
        <v/>
      </c>
      <c r="BA15" s="620" t="str">
        <f>IF(AND($B15&gt;0,OR($Q15=""))," * No olvide digitar la variable Migrantes. Digite Cero si no tiene.",IF($Q15&gt;$B15," * La variable Migrantes no puede ser Mayor al Total Ambos Sexos.",""))</f>
        <v/>
      </c>
      <c r="BB15" s="620" t="str">
        <f>IF(AND($B15&gt;0,OR($R15=""))," * No olvide digitar la variable Pueblos Originarios. Digite Cero si no tiene.",IF($R15&gt;$B15," * La variable Pueblos Originarios no puede ser Mayor al Total Ambos Sexos.",""))</f>
        <v/>
      </c>
      <c r="BI15" s="501">
        <f>IF(AND($B15&gt;0,OR($Q15="")),1,IF($Q15&gt;$B15,1,0))</f>
        <v>0</v>
      </c>
      <c r="BJ15" s="501">
        <f>IF(AND($B15&gt;0,OR($R15="")),1,IF($R15&gt;$B15,1,0))</f>
        <v>0</v>
      </c>
      <c r="BP15" s="472"/>
      <c r="BR15" s="472"/>
    </row>
    <row r="16" spans="1:78" ht="15" customHeight="1" x14ac:dyDescent="0.15">
      <c r="A16" s="717" t="s">
        <v>856</v>
      </c>
      <c r="B16" s="558">
        <f>SUM(C16:D16)</f>
        <v>0</v>
      </c>
      <c r="C16" s="1549">
        <f>I16+K16+M16+O16</f>
        <v>0</v>
      </c>
      <c r="D16" s="1550">
        <f>+J16+L16+N16+P16</f>
        <v>0</v>
      </c>
      <c r="E16" s="1551"/>
      <c r="F16" s="1552"/>
      <c r="G16" s="1551"/>
      <c r="H16" s="1552"/>
      <c r="I16" s="560"/>
      <c r="J16" s="561"/>
      <c r="K16" s="560"/>
      <c r="L16" s="561"/>
      <c r="M16" s="560"/>
      <c r="N16" s="561"/>
      <c r="O16" s="560"/>
      <c r="P16" s="1553"/>
      <c r="Q16" s="561"/>
      <c r="R16" s="561"/>
      <c r="S16" s="470" t="str">
        <f t="shared" si="4"/>
        <v/>
      </c>
      <c r="BA16" s="620" t="str">
        <f>IF(AND($B16&gt;0,OR($Q16=""))," * No olvide digitar la variable Migrantes. Digite Cero si no tiene.",IF($Q16&gt;$B16," * La variable Migrantes no puede ser Mayor al Total Ambos Sexos.",""))</f>
        <v/>
      </c>
      <c r="BB16" s="620" t="str">
        <f>IF(AND($B16&gt;0,OR($R16=""))," * No olvide digitar la variable Pueblos Originarios. Digite Cero si no tiene.",IF($R16&gt;$B16," * La variable Pueblos Originarios no puede ser Mayor al Total Ambos Sexos.",""))</f>
        <v/>
      </c>
      <c r="BI16" s="501">
        <f>IF(AND($B16&gt;0,OR($Q16="")),1,IF($Q16&gt;$B16,1,0))</f>
        <v>0</v>
      </c>
      <c r="BJ16" s="501">
        <f>IF(AND($B16&gt;0,OR($R16="")),1,IF($R16&gt;$B16,1,0))</f>
        <v>0</v>
      </c>
      <c r="BP16" s="472"/>
      <c r="BR16" s="472"/>
      <c r="BW16" s="470"/>
    </row>
    <row r="17" spans="1:78" ht="17.100000000000001" customHeight="1" x14ac:dyDescent="0.15">
      <c r="A17" s="1533" t="s">
        <v>901</v>
      </c>
      <c r="BW17" s="470"/>
      <c r="BX17" s="470"/>
    </row>
    <row r="18" spans="1:78" ht="17.100000000000001" customHeight="1" x14ac:dyDescent="0.25">
      <c r="A18" s="2500" t="s">
        <v>857</v>
      </c>
      <c r="B18" s="2501" t="s">
        <v>49</v>
      </c>
      <c r="C18" s="2502"/>
      <c r="D18" s="2503"/>
      <c r="E18" s="2507" t="s">
        <v>370</v>
      </c>
      <c r="F18" s="2508"/>
      <c r="G18" s="2508"/>
      <c r="H18" s="2508"/>
      <c r="I18" s="2508"/>
      <c r="J18" s="2508"/>
      <c r="K18" s="2508"/>
      <c r="L18" s="2508"/>
      <c r="M18" s="2508"/>
      <c r="N18" s="2508"/>
      <c r="O18" s="2508"/>
      <c r="P18" s="2509"/>
      <c r="Q18" s="2503" t="s">
        <v>108</v>
      </c>
      <c r="R18" s="1806" t="s">
        <v>51</v>
      </c>
      <c r="S18" s="2360" t="s">
        <v>899</v>
      </c>
      <c r="T18" s="2360" t="s">
        <v>898</v>
      </c>
      <c r="Y18"/>
      <c r="AB18"/>
      <c r="BA18" s="1848" t="s">
        <v>108</v>
      </c>
      <c r="BB18" s="1848" t="s">
        <v>51</v>
      </c>
      <c r="BC18" s="1848" t="s">
        <v>805</v>
      </c>
      <c r="BD18" s="1848" t="s">
        <v>806</v>
      </c>
      <c r="BI18" s="1848" t="s">
        <v>108</v>
      </c>
      <c r="BJ18" s="1848" t="s">
        <v>51</v>
      </c>
      <c r="BK18" s="1848" t="s">
        <v>805</v>
      </c>
      <c r="BL18" s="1905" t="s">
        <v>806</v>
      </c>
      <c r="BW18" s="470"/>
      <c r="BX18" s="470"/>
    </row>
    <row r="19" spans="1:78" ht="17.100000000000001" customHeight="1" x14ac:dyDescent="0.15">
      <c r="A19" s="2500"/>
      <c r="B19" s="2504"/>
      <c r="C19" s="2505"/>
      <c r="D19" s="2506"/>
      <c r="E19" s="1828" t="s">
        <v>848</v>
      </c>
      <c r="F19" s="2498"/>
      <c r="G19" s="1828" t="s">
        <v>849</v>
      </c>
      <c r="H19" s="2498"/>
      <c r="I19" s="1828" t="s">
        <v>850</v>
      </c>
      <c r="J19" s="2498"/>
      <c r="K19" s="1828" t="s">
        <v>57</v>
      </c>
      <c r="L19" s="2498"/>
      <c r="M19" s="1828" t="s">
        <v>851</v>
      </c>
      <c r="N19" s="2498"/>
      <c r="O19" s="1828" t="s">
        <v>852</v>
      </c>
      <c r="P19" s="2499"/>
      <c r="Q19" s="2510"/>
      <c r="R19" s="1807"/>
      <c r="S19" s="2373"/>
      <c r="T19" s="2373"/>
      <c r="BA19" s="2133"/>
      <c r="BB19" s="2133"/>
      <c r="BC19" s="2133"/>
      <c r="BD19" s="2133"/>
      <c r="BI19" s="2133"/>
      <c r="BJ19" s="2133"/>
      <c r="BK19" s="2133"/>
      <c r="BL19" s="2511"/>
      <c r="BW19" s="470"/>
      <c r="BX19" s="470"/>
    </row>
    <row r="20" spans="1:78" ht="29.25" customHeight="1" x14ac:dyDescent="0.15">
      <c r="A20" s="2500"/>
      <c r="B20" s="751" t="s">
        <v>224</v>
      </c>
      <c r="C20" s="435" t="s">
        <v>752</v>
      </c>
      <c r="D20" s="1535" t="s">
        <v>85</v>
      </c>
      <c r="E20" s="359" t="s">
        <v>752</v>
      </c>
      <c r="F20" s="1535" t="s">
        <v>85</v>
      </c>
      <c r="G20" s="435" t="s">
        <v>752</v>
      </c>
      <c r="H20" s="1535" t="s">
        <v>85</v>
      </c>
      <c r="I20" s="435" t="s">
        <v>752</v>
      </c>
      <c r="J20" s="1535" t="s">
        <v>85</v>
      </c>
      <c r="K20" s="435" t="s">
        <v>752</v>
      </c>
      <c r="L20" s="1535" t="s">
        <v>85</v>
      </c>
      <c r="M20" s="435" t="s">
        <v>752</v>
      </c>
      <c r="N20" s="1535" t="s">
        <v>85</v>
      </c>
      <c r="O20" s="435" t="s">
        <v>752</v>
      </c>
      <c r="P20" s="1536" t="s">
        <v>85</v>
      </c>
      <c r="Q20" s="2506"/>
      <c r="R20" s="1808"/>
      <c r="S20" s="2362"/>
      <c r="T20" s="2362"/>
      <c r="BA20" s="1849"/>
      <c r="BB20" s="1849"/>
      <c r="BC20" s="1849"/>
      <c r="BD20" s="1849"/>
      <c r="BI20" s="1849"/>
      <c r="BJ20" s="1849"/>
      <c r="BK20" s="1849"/>
      <c r="BL20" s="1895"/>
      <c r="BW20" s="470"/>
      <c r="BX20" s="470"/>
      <c r="BY20" s="470"/>
    </row>
    <row r="21" spans="1:78" ht="15" customHeight="1" x14ac:dyDescent="0.15">
      <c r="A21" s="1211" t="s">
        <v>858</v>
      </c>
      <c r="B21" s="489">
        <f t="shared" ref="B21:B26" si="5">SUM(C21:D21)</f>
        <v>0</v>
      </c>
      <c r="C21" s="1544">
        <f>+I21+K21+M21+O21</f>
        <v>0</v>
      </c>
      <c r="D21" s="1545">
        <f>+J21+L21+N21+P21</f>
        <v>0</v>
      </c>
      <c r="E21" s="1554"/>
      <c r="F21" s="1555"/>
      <c r="G21" s="1554"/>
      <c r="H21" s="1555"/>
      <c r="I21" s="494"/>
      <c r="J21" s="490"/>
      <c r="K21" s="494"/>
      <c r="L21" s="490"/>
      <c r="M21" s="494"/>
      <c r="N21" s="490"/>
      <c r="O21" s="494"/>
      <c r="P21" s="639"/>
      <c r="Q21" s="495"/>
      <c r="R21" s="495"/>
      <c r="S21" s="495"/>
      <c r="T21" s="495"/>
      <c r="U21" s="470" t="str">
        <f>BA21&amp;BB21&amp;BC21&amp;BD21</f>
        <v/>
      </c>
      <c r="BA21" s="620" t="str">
        <f t="shared" ref="BA21:BA28" si="6">IF(AND($B21&gt;0,OR($Q21=""))," * No olvide digitar la variable Migrantes. Digite Cero si no tiene.",IF($Q21&gt;$B21," * La variable Migrantes no puede ser Mayor al Total Ambos Sexos.",""))</f>
        <v/>
      </c>
      <c r="BB21" s="620" t="str">
        <f t="shared" ref="BB21:BB28" si="7">IF(AND($B21&gt;0,OR($R21=""))," * No olvide digitar la variable Pueblos Originarios. Digite Cero si no tiene.",IF($R21&gt;$B21," * La variable Pueblos Originarios no puede ser Mayor al Total Ambos Sexos.",""))</f>
        <v/>
      </c>
      <c r="BC21" s="620" t="str">
        <f>IF(AND($B21&gt;0,OR($S21=""))," * No olvide digitar la variable "&amp;S$18&amp;". Digite Cero si no tiene.",IF($S21&gt;$B21," * La variable "&amp;S$18&amp;" no puede ser Mayor al Total Ambos Sexos.",""))</f>
        <v/>
      </c>
      <c r="BD21" s="620" t="str">
        <f>IF(AND($B21&gt;0,OR($T21=""))," * No olvide digitar la variable "&amp;T$18&amp;".",IF($T21&gt;$B21," * La variable "&amp;T$18&amp;" no puede ser Mayor al Total Ambos Sexos.",""))</f>
        <v/>
      </c>
      <c r="BI21" s="501">
        <f t="shared" ref="BI21:BI28" si="8">IF(AND($B21&gt;0,OR($Q21="")),1,IF($Q21&gt;$B21,1,0))</f>
        <v>0</v>
      </c>
      <c r="BJ21" s="501">
        <f t="shared" ref="BJ21:BL28" si="9">IF(AND($B21&gt;0,OR(R21="")),1,IF(R21&gt;$B21,1,0))</f>
        <v>0</v>
      </c>
      <c r="BK21" s="501">
        <f t="shared" si="9"/>
        <v>0</v>
      </c>
      <c r="BL21" s="501">
        <f t="shared" si="9"/>
        <v>0</v>
      </c>
      <c r="BP21" s="472"/>
      <c r="BR21" s="472"/>
      <c r="BT21" s="472"/>
      <c r="BW21" s="470"/>
      <c r="BX21" s="470"/>
    </row>
    <row r="22" spans="1:78" ht="15" customHeight="1" x14ac:dyDescent="0.15">
      <c r="A22" s="1556" t="s">
        <v>859</v>
      </c>
      <c r="B22" s="542">
        <f t="shared" si="5"/>
        <v>0</v>
      </c>
      <c r="C22" s="1557">
        <f>+I22+K22+M22+O22</f>
        <v>0</v>
      </c>
      <c r="D22" s="1558">
        <f>+J22+L22+N22+P22</f>
        <v>0</v>
      </c>
      <c r="E22" s="1559"/>
      <c r="F22" s="1560"/>
      <c r="G22" s="1559"/>
      <c r="H22" s="1560"/>
      <c r="I22" s="531"/>
      <c r="J22" s="528"/>
      <c r="K22" s="531"/>
      <c r="L22" s="528"/>
      <c r="M22" s="531"/>
      <c r="N22" s="528"/>
      <c r="O22" s="531"/>
      <c r="P22" s="643"/>
      <c r="Q22" s="532"/>
      <c r="R22" s="532"/>
      <c r="S22" s="532"/>
      <c r="T22" s="532"/>
      <c r="U22" s="470" t="str">
        <f t="shared" ref="U22:U28" si="10">BA22&amp;BB22&amp;BC22&amp;BD22</f>
        <v/>
      </c>
      <c r="BA22" s="620" t="str">
        <f t="shared" si="6"/>
        <v/>
      </c>
      <c r="BB22" s="620" t="str">
        <f t="shared" si="7"/>
        <v/>
      </c>
      <c r="BC22" s="620" t="str">
        <f t="shared" ref="BC22:BC28" si="11">IF(AND($B22&gt;0,OR($S22=""))," * No olvide digitar la variable "&amp;S$18&amp;". Digite Cero si no tiene.",IF($S22&gt;$B22," * La variable "&amp;S$18&amp;" no puede ser Mayor al Total Ambos Sexos.",""))</f>
        <v/>
      </c>
      <c r="BD22" s="620" t="str">
        <f t="shared" ref="BD22:BD28" si="12">IF(AND($B22&gt;0,OR($T22=""))," * No olvide digitar la variable "&amp;T$18&amp;".",IF($T22&gt;$B22," * La variable "&amp;T$18&amp;" no puede ser Mayor al Total Ambos Sexos.",""))</f>
        <v/>
      </c>
      <c r="BI22" s="501">
        <f t="shared" si="8"/>
        <v>0</v>
      </c>
      <c r="BJ22" s="501">
        <f t="shared" si="9"/>
        <v>0</v>
      </c>
      <c r="BK22" s="501">
        <f t="shared" si="9"/>
        <v>0</v>
      </c>
      <c r="BL22" s="501">
        <f t="shared" si="9"/>
        <v>0</v>
      </c>
      <c r="BP22" s="472"/>
      <c r="BR22" s="472"/>
      <c r="BT22" s="472"/>
      <c r="BW22" s="470"/>
    </row>
    <row r="23" spans="1:78" ht="15" customHeight="1" x14ac:dyDescent="0.15">
      <c r="A23" s="1556" t="s">
        <v>860</v>
      </c>
      <c r="B23" s="542">
        <f t="shared" si="5"/>
        <v>0</v>
      </c>
      <c r="C23" s="1557">
        <f>+E23+G23</f>
        <v>0</v>
      </c>
      <c r="D23" s="1558">
        <f>+F23+H23</f>
        <v>0</v>
      </c>
      <c r="E23" s="520"/>
      <c r="F23" s="522"/>
      <c r="G23" s="520"/>
      <c r="H23" s="522"/>
      <c r="I23" s="1559"/>
      <c r="J23" s="1560"/>
      <c r="K23" s="1559"/>
      <c r="L23" s="1560"/>
      <c r="M23" s="1559"/>
      <c r="N23" s="1560"/>
      <c r="O23" s="1559"/>
      <c r="P23" s="1561"/>
      <c r="Q23" s="532"/>
      <c r="R23" s="532"/>
      <c r="S23" s="532"/>
      <c r="T23" s="532"/>
      <c r="U23" s="470" t="str">
        <f t="shared" si="10"/>
        <v/>
      </c>
      <c r="BA23" s="620" t="str">
        <f t="shared" si="6"/>
        <v/>
      </c>
      <c r="BB23" s="620" t="str">
        <f t="shared" si="7"/>
        <v/>
      </c>
      <c r="BC23" s="620" t="str">
        <f t="shared" si="11"/>
        <v/>
      </c>
      <c r="BD23" s="620" t="str">
        <f t="shared" si="12"/>
        <v/>
      </c>
      <c r="BI23" s="501">
        <f t="shared" si="8"/>
        <v>0</v>
      </c>
      <c r="BJ23" s="501">
        <f t="shared" si="9"/>
        <v>0</v>
      </c>
      <c r="BK23" s="501">
        <f t="shared" si="9"/>
        <v>0</v>
      </c>
      <c r="BL23" s="501">
        <f t="shared" si="9"/>
        <v>0</v>
      </c>
      <c r="BP23" s="472"/>
      <c r="BR23" s="472"/>
      <c r="BT23" s="472"/>
      <c r="BW23" s="470"/>
    </row>
    <row r="24" spans="1:78" ht="21" customHeight="1" x14ac:dyDescent="0.15">
      <c r="A24" s="1556" t="s">
        <v>861</v>
      </c>
      <c r="B24" s="542">
        <f t="shared" si="5"/>
        <v>0</v>
      </c>
      <c r="C24" s="1557">
        <f>+I24+K24+M24+O24</f>
        <v>0</v>
      </c>
      <c r="D24" s="1558">
        <f>+J24+L24+N24+P24</f>
        <v>0</v>
      </c>
      <c r="E24" s="1559"/>
      <c r="F24" s="1560"/>
      <c r="G24" s="1559"/>
      <c r="H24" s="1560"/>
      <c r="I24" s="531"/>
      <c r="J24" s="528"/>
      <c r="K24" s="531"/>
      <c r="L24" s="528"/>
      <c r="M24" s="531"/>
      <c r="N24" s="528"/>
      <c r="O24" s="531"/>
      <c r="P24" s="643"/>
      <c r="Q24" s="532"/>
      <c r="R24" s="532"/>
      <c r="S24" s="532"/>
      <c r="T24" s="532"/>
      <c r="U24" s="470" t="str">
        <f t="shared" si="10"/>
        <v/>
      </c>
      <c r="BA24" s="620" t="str">
        <f t="shared" si="6"/>
        <v/>
      </c>
      <c r="BB24" s="620" t="str">
        <f t="shared" si="7"/>
        <v/>
      </c>
      <c r="BC24" s="620" t="str">
        <f t="shared" si="11"/>
        <v/>
      </c>
      <c r="BD24" s="620" t="str">
        <f t="shared" si="12"/>
        <v/>
      </c>
      <c r="BI24" s="501">
        <f t="shared" si="8"/>
        <v>0</v>
      </c>
      <c r="BJ24" s="501">
        <f t="shared" si="9"/>
        <v>0</v>
      </c>
      <c r="BK24" s="501">
        <f t="shared" si="9"/>
        <v>0</v>
      </c>
      <c r="BL24" s="501">
        <f t="shared" si="9"/>
        <v>0</v>
      </c>
      <c r="BP24" s="472"/>
      <c r="BR24" s="472"/>
      <c r="BT24" s="472"/>
      <c r="BW24" s="470"/>
    </row>
    <row r="25" spans="1:78" ht="15" customHeight="1" x14ac:dyDescent="0.15">
      <c r="A25" s="1556" t="s">
        <v>862</v>
      </c>
      <c r="B25" s="542">
        <f t="shared" si="5"/>
        <v>0</v>
      </c>
      <c r="C25" s="1557">
        <f>M25+O25</f>
        <v>0</v>
      </c>
      <c r="D25" s="1558">
        <f>N25+P25</f>
        <v>0</v>
      </c>
      <c r="E25" s="1559"/>
      <c r="F25" s="1562"/>
      <c r="G25" s="1559"/>
      <c r="H25" s="1562"/>
      <c r="I25" s="1559"/>
      <c r="J25" s="1560"/>
      <c r="K25" s="1559"/>
      <c r="L25" s="1560"/>
      <c r="M25" s="531"/>
      <c r="N25" s="528"/>
      <c r="O25" s="531"/>
      <c r="P25" s="643"/>
      <c r="Q25" s="532"/>
      <c r="R25" s="532"/>
      <c r="S25" s="532"/>
      <c r="T25" s="532"/>
      <c r="U25" s="470" t="str">
        <f t="shared" si="10"/>
        <v/>
      </c>
      <c r="BA25" s="620" t="str">
        <f t="shared" si="6"/>
        <v/>
      </c>
      <c r="BB25" s="620" t="str">
        <f t="shared" si="7"/>
        <v/>
      </c>
      <c r="BC25" s="620" t="str">
        <f t="shared" si="11"/>
        <v/>
      </c>
      <c r="BD25" s="620" t="str">
        <f t="shared" si="12"/>
        <v/>
      </c>
      <c r="BI25" s="501">
        <f t="shared" si="8"/>
        <v>0</v>
      </c>
      <c r="BJ25" s="501">
        <f t="shared" si="9"/>
        <v>0</v>
      </c>
      <c r="BK25" s="501">
        <f t="shared" si="9"/>
        <v>0</v>
      </c>
      <c r="BL25" s="501">
        <f t="shared" si="9"/>
        <v>0</v>
      </c>
      <c r="BP25" s="472"/>
      <c r="BR25" s="472"/>
      <c r="BT25" s="472"/>
      <c r="BW25" s="470"/>
    </row>
    <row r="26" spans="1:78" ht="15" customHeight="1" x14ac:dyDescent="0.15">
      <c r="A26" s="1556" t="s">
        <v>863</v>
      </c>
      <c r="B26" s="542">
        <f t="shared" si="5"/>
        <v>0</v>
      </c>
      <c r="C26" s="1557">
        <f>+E26+G26+I26+K26+M26+O26</f>
        <v>0</v>
      </c>
      <c r="D26" s="1558">
        <f>+F26+H26+J26+L26+N26+P26</f>
        <v>0</v>
      </c>
      <c r="E26" s="531"/>
      <c r="F26" s="528"/>
      <c r="G26" s="531"/>
      <c r="H26" s="528"/>
      <c r="I26" s="531"/>
      <c r="J26" s="528"/>
      <c r="K26" s="531"/>
      <c r="L26" s="528"/>
      <c r="M26" s="531"/>
      <c r="N26" s="528"/>
      <c r="O26" s="531"/>
      <c r="P26" s="643"/>
      <c r="Q26" s="532"/>
      <c r="R26" s="532"/>
      <c r="S26" s="532"/>
      <c r="T26" s="532"/>
      <c r="U26" s="470" t="str">
        <f t="shared" si="10"/>
        <v/>
      </c>
      <c r="BA26" s="620" t="str">
        <f t="shared" si="6"/>
        <v/>
      </c>
      <c r="BB26" s="620" t="str">
        <f t="shared" si="7"/>
        <v/>
      </c>
      <c r="BC26" s="620" t="str">
        <f t="shared" si="11"/>
        <v/>
      </c>
      <c r="BD26" s="620" t="str">
        <f t="shared" si="12"/>
        <v/>
      </c>
      <c r="BI26" s="501">
        <f t="shared" si="8"/>
        <v>0</v>
      </c>
      <c r="BJ26" s="501">
        <f t="shared" si="9"/>
        <v>0</v>
      </c>
      <c r="BK26" s="501">
        <f t="shared" si="9"/>
        <v>0</v>
      </c>
      <c r="BL26" s="501">
        <f t="shared" si="9"/>
        <v>0</v>
      </c>
      <c r="BP26" s="472"/>
      <c r="BR26" s="472"/>
      <c r="BT26" s="472"/>
    </row>
    <row r="27" spans="1:78" ht="15" customHeight="1" x14ac:dyDescent="0.15">
      <c r="A27" s="1556" t="s">
        <v>864</v>
      </c>
      <c r="B27" s="542">
        <f>SUM(C27:D27)</f>
        <v>0</v>
      </c>
      <c r="C27" s="1557">
        <f>+E27+G27+I27+K27+M27</f>
        <v>0</v>
      </c>
      <c r="D27" s="1558">
        <f>+F27+H27+J27+L27+N27</f>
        <v>0</v>
      </c>
      <c r="E27" s="531"/>
      <c r="F27" s="528"/>
      <c r="G27" s="531"/>
      <c r="H27" s="528"/>
      <c r="I27" s="531"/>
      <c r="J27" s="528"/>
      <c r="K27" s="531"/>
      <c r="L27" s="528"/>
      <c r="M27" s="531"/>
      <c r="N27" s="528"/>
      <c r="O27" s="1221"/>
      <c r="P27" s="530"/>
      <c r="Q27" s="532"/>
      <c r="R27" s="532"/>
      <c r="S27" s="532"/>
      <c r="T27" s="653"/>
      <c r="U27" s="470" t="str">
        <f t="shared" si="10"/>
        <v/>
      </c>
      <c r="BA27" s="620" t="str">
        <f t="shared" si="6"/>
        <v/>
      </c>
      <c r="BB27" s="620" t="str">
        <f t="shared" si="7"/>
        <v/>
      </c>
      <c r="BC27" s="620" t="str">
        <f t="shared" si="11"/>
        <v/>
      </c>
      <c r="BD27" s="620" t="str">
        <f t="shared" si="12"/>
        <v/>
      </c>
      <c r="BI27" s="501">
        <f t="shared" si="8"/>
        <v>0</v>
      </c>
      <c r="BJ27" s="501">
        <f t="shared" si="9"/>
        <v>0</v>
      </c>
      <c r="BK27" s="501">
        <f t="shared" si="9"/>
        <v>0</v>
      </c>
      <c r="BL27" s="501">
        <f t="shared" si="9"/>
        <v>0</v>
      </c>
      <c r="BP27" s="472"/>
      <c r="BR27" s="472"/>
      <c r="BT27" s="472"/>
      <c r="BW27" s="470"/>
      <c r="BX27" s="470"/>
      <c r="BY27" s="470"/>
      <c r="BZ27" s="470"/>
    </row>
    <row r="28" spans="1:78" ht="15" customHeight="1" x14ac:dyDescent="0.15">
      <c r="A28" s="1563" t="s">
        <v>865</v>
      </c>
      <c r="B28" s="505">
        <f t="shared" ref="B28" si="13">SUM(C28:D28)</f>
        <v>0</v>
      </c>
      <c r="C28" s="1539">
        <f>+E28+G28+I28+K28+M28+O28</f>
        <v>0</v>
      </c>
      <c r="D28" s="1540">
        <f>+F28+H28+J28+L28+N28+P28</f>
        <v>0</v>
      </c>
      <c r="E28" s="509"/>
      <c r="F28" s="511"/>
      <c r="G28" s="509"/>
      <c r="H28" s="511"/>
      <c r="I28" s="509"/>
      <c r="J28" s="511"/>
      <c r="K28" s="509"/>
      <c r="L28" s="511"/>
      <c r="M28" s="509"/>
      <c r="N28" s="511"/>
      <c r="O28" s="509"/>
      <c r="P28" s="696"/>
      <c r="Q28" s="510"/>
      <c r="R28" s="510"/>
      <c r="S28" s="510"/>
      <c r="T28" s="510"/>
      <c r="U28" s="470" t="str">
        <f t="shared" si="10"/>
        <v/>
      </c>
      <c r="BA28" s="620" t="str">
        <f t="shared" si="6"/>
        <v/>
      </c>
      <c r="BB28" s="620" t="str">
        <f t="shared" si="7"/>
        <v/>
      </c>
      <c r="BC28" s="620" t="str">
        <f t="shared" si="11"/>
        <v/>
      </c>
      <c r="BD28" s="620" t="str">
        <f t="shared" si="12"/>
        <v/>
      </c>
      <c r="BI28" s="501">
        <f t="shared" si="8"/>
        <v>0</v>
      </c>
      <c r="BJ28" s="501">
        <f t="shared" si="9"/>
        <v>0</v>
      </c>
      <c r="BK28" s="501">
        <f t="shared" si="9"/>
        <v>0</v>
      </c>
      <c r="BL28" s="501">
        <f t="shared" si="9"/>
        <v>0</v>
      </c>
    </row>
    <row r="41" spans="1:52" s="470" customFormat="1" ht="13.15" hidden="1" customHeight="1" x14ac:dyDescent="0.15">
      <c r="A41" s="1231">
        <f>SUM(B13:B16,B21:B28)</f>
        <v>0</v>
      </c>
      <c r="B41" s="1232" t="s">
        <v>204</v>
      </c>
      <c r="AX41" s="468"/>
      <c r="AY41" s="468"/>
      <c r="AZ41" s="468"/>
    </row>
    <row r="42" spans="1:52" s="470" customFormat="1" ht="13.15" hidden="1" customHeight="1" x14ac:dyDescent="0.15">
      <c r="A42" s="1231">
        <f>SUM(BI13:BL28)</f>
        <v>0</v>
      </c>
      <c r="B42" s="1232" t="s">
        <v>205</v>
      </c>
      <c r="AX42" s="468"/>
      <c r="AY42" s="468"/>
      <c r="AZ42" s="468"/>
    </row>
  </sheetData>
  <sheetProtection algorithmName="SHA-512" hashValue="6dV2uIxno4bcxPY5hxSA6F70xaexqYCQGCOmr1LvoKWFhe1JC1J1ZsnYsuI6E3K2W4MwCYNIk8XsZCwOpLPHNw==" saltValue="HhW1OLqzVZO+fbAuXt5UOw==" spinCount="100000" sheet="1" objects="1" scenarios="1"/>
  <mergeCells count="41">
    <mergeCell ref="BI18:BI20"/>
    <mergeCell ref="BJ18:BJ20"/>
    <mergeCell ref="BK18:BK20"/>
    <mergeCell ref="BL18:BL20"/>
    <mergeCell ref="BI10:BI12"/>
    <mergeCell ref="BJ10:BJ12"/>
    <mergeCell ref="BK10:BK12"/>
    <mergeCell ref="BL10:BL12"/>
    <mergeCell ref="BA18:BA20"/>
    <mergeCell ref="BB18:BB20"/>
    <mergeCell ref="BC18:BC20"/>
    <mergeCell ref="BD18:BD20"/>
    <mergeCell ref="BA10:BA12"/>
    <mergeCell ref="BB10:BB12"/>
    <mergeCell ref="BC10:BC12"/>
    <mergeCell ref="BD10:BD12"/>
    <mergeCell ref="K19:L19"/>
    <mergeCell ref="M19:N19"/>
    <mergeCell ref="O19:P19"/>
    <mergeCell ref="K10:L10"/>
    <mergeCell ref="T18:T20"/>
    <mergeCell ref="R18:R20"/>
    <mergeCell ref="R9:R11"/>
    <mergeCell ref="Q9:Q11"/>
    <mergeCell ref="Q18:Q20"/>
    <mergeCell ref="A7:R7"/>
    <mergeCell ref="M10:N10"/>
    <mergeCell ref="O10:P10"/>
    <mergeCell ref="I10:J10"/>
    <mergeCell ref="S18:S20"/>
    <mergeCell ref="A9:A11"/>
    <mergeCell ref="B9:D10"/>
    <mergeCell ref="E9:P9"/>
    <mergeCell ref="A18:A20"/>
    <mergeCell ref="B18:D19"/>
    <mergeCell ref="E18:P18"/>
    <mergeCell ref="E19:F19"/>
    <mergeCell ref="G19:H19"/>
    <mergeCell ref="I19:J19"/>
    <mergeCell ref="E10:F10"/>
    <mergeCell ref="G10:H10"/>
  </mergeCells>
  <dataValidations count="3">
    <dataValidation allowBlank="1" showInputMessage="1" showErrorMessage="1" errorTitle="Error de ingreso" error="Debe ingresar sólo números enteros positivos." sqref="E29:T1048576 V16 CA29:CL1048576 W1:AF8 Y10:Y17 AB10:AB17 U1:V15 B8:D1048576 E8:R12 E17:R20 S1:T17 CM1:XFD1048576 AC10:AF1048576 Z10:AA1048576 Y19:Y1048576 W10:X1048576 AB19:AB1048576 A26:A1048576 B1:R6 A6:A24 U17:V1048576 CA1:CL9 AG1:BZ1048576" xr:uid="{00000000-0002-0000-0B00-000000000000}"/>
    <dataValidation allowBlank="1" showInputMessage="1" showErrorMessage="1" errorTitle=" Error de ingreso" error="Debe ingresar sólo números enteros positivos." sqref="W9:AF9 Y18 AB18" xr:uid="{00000000-0002-0000-0B00-000001000000}"/>
    <dataValidation type="whole" operator="greaterThanOrEqual" allowBlank="1" showInputMessage="1" showErrorMessage="1" sqref="E13:R16 E21:T28" xr:uid="{00000000-0002-0000-0B00-000002000000}">
      <formula1>0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W50"/>
  <sheetViews>
    <sheetView showGridLines="0" showZeros="0" showOutlineSymbols="0" zoomScaleNormal="100" workbookViewId="0">
      <selection activeCell="D13" sqref="D13"/>
    </sheetView>
  </sheetViews>
  <sheetFormatPr baseColWidth="10" defaultColWidth="11.42578125" defaultRowHeight="12.75" x14ac:dyDescent="0.2"/>
  <cols>
    <col min="1" max="2" width="1.85546875" style="17" customWidth="1"/>
    <col min="3" max="3" width="33.42578125" style="17" customWidth="1"/>
    <col min="4" max="4" width="19.140625" style="17" customWidth="1"/>
    <col min="5" max="5" width="38.140625" style="17" customWidth="1"/>
    <col min="6" max="8" width="73.42578125" style="17" customWidth="1"/>
    <col min="9" max="9" width="13.85546875" style="17" customWidth="1"/>
    <col min="10" max="14" width="14.140625" style="17" customWidth="1"/>
    <col min="15" max="17" width="11.42578125" style="17"/>
    <col min="18" max="18" width="18.28515625" style="17" customWidth="1"/>
    <col min="19" max="22" width="11.42578125" style="17"/>
    <col min="23" max="23" width="19.42578125" style="17" hidden="1" customWidth="1"/>
    <col min="24" max="25" width="19.42578125" style="17" customWidth="1"/>
    <col min="26" max="16384" width="11.42578125" style="17"/>
  </cols>
  <sheetData>
    <row r="1" spans="1:23" ht="35.25" customHeight="1" x14ac:dyDescent="0.2">
      <c r="A1" s="25"/>
      <c r="B1" s="25"/>
      <c r="C1" s="2512" t="s">
        <v>866</v>
      </c>
      <c r="D1" s="2513"/>
      <c r="E1" s="2514"/>
      <c r="F1" s="25"/>
      <c r="G1" s="25"/>
      <c r="H1" s="25"/>
      <c r="I1" s="25"/>
      <c r="J1" s="25"/>
      <c r="K1" s="25"/>
    </row>
    <row r="2" spans="1:23" ht="49.5" customHeight="1" x14ac:dyDescent="0.2">
      <c r="A2" s="25"/>
      <c r="B2" s="25"/>
      <c r="C2" s="26" t="str">
        <f>CONCATENATE("ESTABLECIMIENTO/ESTRATEGIA: ",NOMBRE!$B$3," - ","( ",NOMBRE!$C$3,NOMBRE!$D$3,NOMBRE!$E$3,NOMBRE!$F$3,NOMBRE!$G$3,NOMBRE!$H$3,NOMBRE!$I$3," )")</f>
        <v>ESTABLECIMIENTO/ESTRATEGIA:  - ( Falta Cód. Est. )</v>
      </c>
      <c r="D2" s="25"/>
      <c r="E2" s="25"/>
      <c r="F2" s="25"/>
      <c r="G2" s="25"/>
      <c r="H2" s="25"/>
      <c r="I2" s="25"/>
      <c r="J2" s="25"/>
      <c r="K2" s="25"/>
    </row>
    <row r="3" spans="1:23" ht="34.5" customHeight="1" x14ac:dyDescent="0.2">
      <c r="A3" s="25"/>
      <c r="B3" s="25"/>
      <c r="C3" s="458" t="s">
        <v>867</v>
      </c>
      <c r="D3" s="458" t="s">
        <v>868</v>
      </c>
      <c r="E3" s="458" t="s">
        <v>869</v>
      </c>
      <c r="F3" s="25"/>
      <c r="G3" s="25"/>
      <c r="H3" s="25"/>
      <c r="I3" s="25"/>
      <c r="J3" s="25"/>
      <c r="K3" s="25"/>
    </row>
    <row r="4" spans="1:23" ht="21.6" customHeight="1" x14ac:dyDescent="0.25">
      <c r="A4" s="25"/>
      <c r="B4" s="25"/>
      <c r="C4" s="459" t="s">
        <v>870</v>
      </c>
      <c r="D4" s="460">
        <f>NOMBRE!AG7</f>
        <v>3</v>
      </c>
      <c r="E4" s="25"/>
      <c r="F4" s="25"/>
      <c r="G4" s="25"/>
      <c r="H4" s="25"/>
      <c r="I4" s="25"/>
      <c r="J4" s="25"/>
      <c r="K4" s="25"/>
    </row>
    <row r="5" spans="1:23" ht="21.6" customHeight="1" x14ac:dyDescent="0.25">
      <c r="A5" s="25"/>
      <c r="B5" s="25"/>
      <c r="C5" s="459" t="s">
        <v>871</v>
      </c>
      <c r="D5" s="461">
        <f>+'P1'!$A173</f>
        <v>0</v>
      </c>
      <c r="E5" s="462" t="str">
        <f>IF('P1'!A172&gt;0,"","SIN DATOS")</f>
        <v>SIN DATOS</v>
      </c>
      <c r="F5" s="25"/>
      <c r="G5" s="25"/>
      <c r="H5" s="25"/>
      <c r="I5" s="25"/>
      <c r="J5" s="25"/>
      <c r="K5" s="25"/>
      <c r="W5" s="29" t="s">
        <v>872</v>
      </c>
    </row>
    <row r="6" spans="1:23" ht="21.6" customHeight="1" x14ac:dyDescent="0.25">
      <c r="A6" s="25"/>
      <c r="B6" s="25"/>
      <c r="C6" s="459" t="s">
        <v>873</v>
      </c>
      <c r="D6" s="461">
        <f>+'P2'!A221</f>
        <v>0</v>
      </c>
      <c r="E6" s="462" t="str">
        <f>IF('P2'!A220&gt;0,"","SIN DATOS")</f>
        <v>SIN DATOS</v>
      </c>
      <c r="F6" s="25"/>
      <c r="G6" s="25"/>
      <c r="H6" s="25"/>
      <c r="I6" s="25"/>
      <c r="J6" s="25"/>
      <c r="K6" s="25"/>
      <c r="W6" s="29" t="s">
        <v>874</v>
      </c>
    </row>
    <row r="7" spans="1:23" ht="21.6" customHeight="1" x14ac:dyDescent="0.25">
      <c r="A7" s="25"/>
      <c r="B7" s="25"/>
      <c r="C7" s="459" t="s">
        <v>875</v>
      </c>
      <c r="D7" s="461">
        <f>+'P3'!A94</f>
        <v>0</v>
      </c>
      <c r="E7" s="462" t="str">
        <f>IF('P3'!A93&gt;0,"","SIN DATOS")</f>
        <v>SIN DATOS</v>
      </c>
      <c r="F7" s="25"/>
      <c r="G7" s="25"/>
      <c r="H7" s="25"/>
      <c r="I7" s="25"/>
      <c r="J7" s="25"/>
      <c r="K7" s="25"/>
      <c r="W7" s="29" t="s">
        <v>876</v>
      </c>
    </row>
    <row r="8" spans="1:23" ht="21.6" customHeight="1" x14ac:dyDescent="0.25">
      <c r="A8" s="25"/>
      <c r="B8" s="25"/>
      <c r="C8" s="459" t="s">
        <v>877</v>
      </c>
      <c r="D8" s="461">
        <f>+'P4'!A113</f>
        <v>0</v>
      </c>
      <c r="E8" s="462" t="str">
        <f>IF('P4'!A112&gt;0,"","SIN DATOS")</f>
        <v>SIN DATOS</v>
      </c>
      <c r="F8" s="25"/>
      <c r="G8" s="25"/>
      <c r="H8" s="25"/>
      <c r="I8" s="25"/>
      <c r="J8" s="25"/>
      <c r="K8" s="25"/>
      <c r="W8" s="29" t="s">
        <v>878</v>
      </c>
    </row>
    <row r="9" spans="1:23" ht="21.6" customHeight="1" x14ac:dyDescent="0.25">
      <c r="A9" s="25"/>
      <c r="B9" s="25"/>
      <c r="C9" s="459" t="s">
        <v>879</v>
      </c>
      <c r="D9" s="461">
        <f>+'P5'!A82</f>
        <v>0</v>
      </c>
      <c r="E9" s="462" t="str">
        <f>IF('P5'!A81&gt;0,"","SIN DATOS")</f>
        <v>SIN DATOS</v>
      </c>
      <c r="F9" s="25"/>
      <c r="G9" s="25"/>
      <c r="H9" s="25"/>
      <c r="I9" s="25"/>
      <c r="J9" s="25"/>
      <c r="K9" s="25"/>
      <c r="W9" s="29" t="s">
        <v>880</v>
      </c>
    </row>
    <row r="10" spans="1:23" ht="21.6" customHeight="1" x14ac:dyDescent="0.25">
      <c r="A10" s="25"/>
      <c r="B10" s="25"/>
      <c r="C10" s="459" t="s">
        <v>881</v>
      </c>
      <c r="D10" s="461">
        <f>+'P6'!A147</f>
        <v>0</v>
      </c>
      <c r="E10" s="462" t="str">
        <f>IF('P6'!A146&gt;0,"","SIN DATOS")</f>
        <v>SIN DATOS</v>
      </c>
      <c r="F10" s="25"/>
      <c r="G10" s="25"/>
      <c r="H10" s="25"/>
      <c r="I10" s="25"/>
      <c r="J10" s="25"/>
      <c r="K10" s="25"/>
    </row>
    <row r="11" spans="1:23" ht="21.6" customHeight="1" x14ac:dyDescent="0.25">
      <c r="A11" s="25"/>
      <c r="B11" s="25"/>
      <c r="C11" s="459" t="s">
        <v>882</v>
      </c>
      <c r="D11" s="461">
        <f>+'P7'!A50</f>
        <v>0</v>
      </c>
      <c r="E11" s="462" t="str">
        <f>IF('P7'!A49&gt;0,"","SIN DATOS")</f>
        <v>SIN DATOS</v>
      </c>
      <c r="F11" s="25"/>
      <c r="G11" s="25"/>
      <c r="H11" s="25"/>
      <c r="I11" s="25"/>
      <c r="J11" s="25"/>
      <c r="K11" s="25"/>
    </row>
    <row r="12" spans="1:23" ht="21.6" customHeight="1" x14ac:dyDescent="0.25">
      <c r="A12" s="25"/>
      <c r="B12" s="25"/>
      <c r="C12" s="459" t="s">
        <v>883</v>
      </c>
      <c r="D12" s="461">
        <f>+'P9'!A110</f>
        <v>0</v>
      </c>
      <c r="E12" s="462" t="str">
        <f>IF('P9'!A109&gt;0,"","SIN DATOS")</f>
        <v>SIN DATOS</v>
      </c>
      <c r="F12" s="25"/>
      <c r="G12" s="25"/>
      <c r="H12" s="25"/>
      <c r="I12" s="25"/>
      <c r="J12" s="25"/>
      <c r="K12" s="25"/>
    </row>
    <row r="13" spans="1:23" ht="21.6" customHeight="1" x14ac:dyDescent="0.25">
      <c r="A13" s="25"/>
      <c r="B13" s="25"/>
      <c r="C13" s="459" t="s">
        <v>884</v>
      </c>
      <c r="D13" s="461">
        <f>+'P11'!A34</f>
        <v>0</v>
      </c>
      <c r="E13" s="462" t="str">
        <f>IF('P11'!A33&gt;0,"","SIN DATOS")</f>
        <v>SIN DATOS</v>
      </c>
      <c r="F13" s="25"/>
      <c r="G13" s="25"/>
      <c r="H13" s="25"/>
      <c r="I13" s="25"/>
      <c r="J13" s="25"/>
      <c r="K13" s="25"/>
    </row>
    <row r="14" spans="1:23" ht="21.6" customHeight="1" x14ac:dyDescent="0.25">
      <c r="A14" s="25"/>
      <c r="B14" s="25"/>
      <c r="C14" s="459" t="s">
        <v>885</v>
      </c>
      <c r="D14" s="461">
        <f>+'P12'!A82</f>
        <v>0</v>
      </c>
      <c r="E14" s="462" t="str">
        <f>IF('P12'!A81&gt;0,"","SIN DATOS")</f>
        <v>SIN DATOS</v>
      </c>
      <c r="F14" s="25"/>
      <c r="G14" s="25"/>
      <c r="H14" s="25"/>
      <c r="I14" s="25"/>
      <c r="J14" s="25"/>
      <c r="K14" s="25"/>
    </row>
    <row r="15" spans="1:23" ht="21.6" customHeight="1" x14ac:dyDescent="0.25">
      <c r="A15" s="25"/>
      <c r="B15" s="25"/>
      <c r="C15" s="459" t="s">
        <v>886</v>
      </c>
      <c r="D15" s="461">
        <f>+'P13'!A42</f>
        <v>0</v>
      </c>
      <c r="E15" s="462" t="str">
        <f>IF('P13'!A41&gt;0,"","SIN DATOS")</f>
        <v>SIN DATOS</v>
      </c>
      <c r="F15" s="25"/>
      <c r="G15" s="25"/>
      <c r="H15" s="25"/>
      <c r="I15" s="25"/>
      <c r="J15" s="25"/>
      <c r="K15" s="25"/>
    </row>
    <row r="16" spans="1:23" ht="21.6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21.6" customHeight="1" x14ac:dyDescent="0.25">
      <c r="A17" s="25"/>
      <c r="B17" s="25"/>
      <c r="C17" s="463" t="s">
        <v>49</v>
      </c>
      <c r="D17" s="460">
        <f>SUM(D4:D15)</f>
        <v>3</v>
      </c>
      <c r="E17" s="25"/>
      <c r="F17" s="25"/>
      <c r="G17" s="25"/>
      <c r="H17" s="25"/>
      <c r="I17" s="25"/>
      <c r="J17" s="25"/>
      <c r="K17" s="25"/>
    </row>
    <row r="18" spans="1:1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1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1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spans="1:1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</row>
    <row r="30" spans="1:11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1:11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1:1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spans="1:1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spans="1:1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spans="1:11" x14ac:dyDescent="0.2">
      <c r="C50" s="25"/>
      <c r="D50" s="25"/>
      <c r="E50" s="25"/>
    </row>
  </sheetData>
  <sheetProtection algorithmName="SHA-512" hashValue="Ux59lkorsMi6CVRwKtt6lnGVJB5qFa2zvTwsUMOcNd8G/+uWwQV8iqqVUwIiL9yCjr5gmNn+JxgJOegOnqu7pA==" saltValue="XrrtuI7ANvwbbkNax1640w==" spinCount="100000" sheet="1" objects="1" scenarios="1"/>
  <mergeCells count="1">
    <mergeCell ref="C1:E1"/>
  </mergeCells>
  <phoneticPr fontId="26" type="noConversion"/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X15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22" customWidth="1"/>
    <col min="2" max="2" width="43.42578125" style="22" customWidth="1"/>
    <col min="3" max="4" width="3.140625" style="22" customWidth="1"/>
    <col min="5" max="5" width="22.7109375" style="22" customWidth="1"/>
    <col min="6" max="6" width="5.140625" style="22" customWidth="1"/>
    <col min="7" max="11" width="3.140625" style="22" customWidth="1"/>
    <col min="12" max="12" width="3.7109375" style="22" customWidth="1"/>
    <col min="13" max="20" width="3.140625" style="22" customWidth="1"/>
    <col min="21" max="21" width="7.28515625" style="22" customWidth="1"/>
    <col min="22" max="16384" width="3.140625" style="22"/>
  </cols>
  <sheetData>
    <row r="1" spans="1:24" ht="54" customHeight="1" thickBot="1" x14ac:dyDescent="0.25">
      <c r="A1" s="2515" t="s">
        <v>887</v>
      </c>
      <c r="B1" s="2516"/>
      <c r="C1" s="2516"/>
      <c r="D1" s="2516"/>
      <c r="E1" s="2516"/>
      <c r="F1" s="2516"/>
      <c r="G1" s="2516"/>
      <c r="H1" s="2516"/>
      <c r="I1" s="2516"/>
      <c r="J1" s="2516"/>
      <c r="K1" s="2516"/>
      <c r="L1" s="2516"/>
      <c r="M1" s="2516"/>
      <c r="N1" s="2517"/>
    </row>
    <row r="3" spans="1:24" ht="21.75" customHeight="1" thickBot="1" x14ac:dyDescent="0.25">
      <c r="A3" s="28" t="str">
        <f>CONCATENATE("ESTABLECIMIENTO/ESTRATEGIA: ",NOMBRE!B3," - ","( ",NOMBRE!C3,NOMBRE!D3,NOMBRE!E3,NOMBRE!F3,NOMBRE!G3,NOMBRE!H3," )")</f>
        <v>ESTABLECIMIENTO/ESTRATEGIA:  - (  )</v>
      </c>
    </row>
    <row r="4" spans="1:24" ht="41.25" customHeight="1" thickBot="1" x14ac:dyDescent="0.25">
      <c r="B4" s="27" t="s">
        <v>888</v>
      </c>
      <c r="E4" s="27"/>
    </row>
    <row r="5" spans="1:24" ht="12.75" customHeight="1" thickBot="1" x14ac:dyDescent="0.25"/>
    <row r="6" spans="1:24" ht="39" customHeight="1" thickBot="1" x14ac:dyDescent="0.25">
      <c r="A6" s="23"/>
      <c r="B6" s="27" t="s">
        <v>889</v>
      </c>
      <c r="C6" s="23"/>
      <c r="D6" s="23"/>
      <c r="E6" s="27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4" ht="12.75" customHeight="1" thickBot="1" x14ac:dyDescent="0.25">
      <c r="X7" s="23"/>
    </row>
    <row r="8" spans="1:24" ht="52.5" customHeight="1" thickBot="1" x14ac:dyDescent="0.25">
      <c r="B8" s="27" t="s">
        <v>890</v>
      </c>
      <c r="E8" s="27"/>
    </row>
    <row r="9" spans="1:24" ht="19.5" customHeight="1" thickBot="1" x14ac:dyDescent="0.25"/>
    <row r="10" spans="1:24" ht="16.5" customHeight="1" x14ac:dyDescent="0.2">
      <c r="B10" s="2518" t="str">
        <f>IF(Control!D17&gt;0,"REVISE LA HOJA CONTROL, EXISTEN ERRORES","")</f>
        <v>REVISE LA HOJA CONTROL, EXISTEN ERRORES</v>
      </c>
      <c r="C10" s="2519"/>
      <c r="D10" s="2519"/>
      <c r="E10" s="2519"/>
      <c r="F10" s="2519"/>
      <c r="G10" s="2519"/>
      <c r="H10" s="2520"/>
    </row>
    <row r="11" spans="1:24" ht="16.5" customHeight="1" thickBot="1" x14ac:dyDescent="0.25">
      <c r="B11" s="2521"/>
      <c r="C11" s="2522"/>
      <c r="D11" s="2522"/>
      <c r="E11" s="2522"/>
      <c r="F11" s="2522"/>
      <c r="G11" s="2522"/>
      <c r="H11" s="2523"/>
    </row>
    <row r="12" spans="1:24" ht="16.5" customHeight="1" x14ac:dyDescent="0.2"/>
    <row r="13" spans="1:24" ht="16.5" customHeight="1" x14ac:dyDescent="0.2">
      <c r="B13" s="24" t="s">
        <v>891</v>
      </c>
    </row>
    <row r="14" spans="1:24" ht="16.5" customHeight="1" x14ac:dyDescent="0.2"/>
    <row r="15" spans="1:24" ht="16.5" customHeight="1" x14ac:dyDescent="0.2"/>
  </sheetData>
  <sheetProtection algorithmName="SHA-512" hashValue="KTbV3qAm9ckonu6AtwxZ8TGv1k3PzcZHPQsIHkBDyjm2Kkpfqsd45JvISe/5mVowYBVPo8StFRoX4MyMd6Lzgw==" saltValue="JlWle0wPSg7XhgAGtUuqAA==" spinCount="100000" sheet="1" objects="1" scenarios="1"/>
  <dataConsolidate/>
  <mergeCells count="2">
    <mergeCell ref="A1:N1"/>
    <mergeCell ref="B10:H11"/>
  </mergeCells>
  <phoneticPr fontId="26" type="noConversion"/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73dd31-91fd-4af7-84e4-68fbd0eb68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3E1FF42CA5564095E457897D401A8B" ma:contentTypeVersion="16" ma:contentTypeDescription="Crear nuevo documento." ma:contentTypeScope="" ma:versionID="e79b74d4c0afdb9399f7ff32887f5f09">
  <xsd:schema xmlns:xsd="http://www.w3.org/2001/XMLSchema" xmlns:xs="http://www.w3.org/2001/XMLSchema" xmlns:p="http://schemas.microsoft.com/office/2006/metadata/properties" xmlns:ns3="4673dd31-91fd-4af7-84e4-68fbd0eb68a1" xmlns:ns4="383d41e4-98c8-470b-87e4-a454bb942166" targetNamespace="http://schemas.microsoft.com/office/2006/metadata/properties" ma:root="true" ma:fieldsID="938b6fbe3968d8f6787e526d390a3bdd" ns3:_="" ns4:_="">
    <xsd:import namespace="4673dd31-91fd-4af7-84e4-68fbd0eb68a1"/>
    <xsd:import namespace="383d41e4-98c8-470b-87e4-a454bb942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3dd31-91fd-4af7-84e4-68fbd0eb6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d41e4-98c8-470b-87e4-a454bb942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D2C8A7-1B76-436F-BFBB-2B554F75B0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1AA8B7-8621-4822-8293-16C330E249E5}">
  <ds:schemaRefs>
    <ds:schemaRef ds:uri="http://schemas.microsoft.com/office/2006/metadata/properties"/>
    <ds:schemaRef ds:uri="http://schemas.microsoft.com/office/2006/documentManagement/types"/>
    <ds:schemaRef ds:uri="4673dd31-91fd-4af7-84e4-68fbd0eb68a1"/>
    <ds:schemaRef ds:uri="http://purl.org/dc/terms/"/>
    <ds:schemaRef ds:uri="383d41e4-98c8-470b-87e4-a454bb942166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438B01-1875-4756-A90C-A1E07266D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3dd31-91fd-4af7-84e4-68fbd0eb68a1"/>
    <ds:schemaRef ds:uri="383d41e4-98c8-470b-87e4-a454bb9421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NOMBRE</vt:lpstr>
      <vt:lpstr>P1</vt:lpstr>
      <vt:lpstr>P2</vt:lpstr>
      <vt:lpstr>P3</vt:lpstr>
      <vt:lpstr>P4</vt:lpstr>
      <vt:lpstr>P5</vt:lpstr>
      <vt:lpstr>P6</vt:lpstr>
      <vt:lpstr>P7</vt:lpstr>
      <vt:lpstr>P9</vt:lpstr>
      <vt:lpstr>P11</vt:lpstr>
      <vt:lpstr>P12</vt:lpstr>
      <vt:lpstr>P13</vt:lpstr>
      <vt:lpstr>Control</vt:lpstr>
      <vt:lpstr>MACROS</vt:lpstr>
      <vt:lpstr>Control!Área_de_impresión</vt:lpstr>
      <vt:lpstr>'P1'!Área_de_impresión</vt:lpstr>
      <vt:lpstr>'P11'!Área_de_impresión</vt:lpstr>
      <vt:lpstr>'P12'!Área_de_impresión</vt:lpstr>
      <vt:lpstr>'P3'!Área_de_impresión</vt:lpstr>
      <vt:lpstr>'P4'!Área_de_impresión</vt:lpstr>
      <vt:lpstr>'P5'!Área_de_impresión</vt:lpstr>
      <vt:lpstr>'P6'!Área_de_impresión</vt:lpstr>
      <vt:lpstr>'P7'!Área_de_impresión</vt:lpstr>
      <vt:lpstr>'P3'!OLE_LINK1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Paola Pacheco Silva</dc:creator>
  <cp:keywords/>
  <dc:description/>
  <cp:lastModifiedBy>Carmen Gloria Sepulveda</cp:lastModifiedBy>
  <cp:revision/>
  <dcterms:created xsi:type="dcterms:W3CDTF">2013-12-18T19:51:11Z</dcterms:created>
  <dcterms:modified xsi:type="dcterms:W3CDTF">2026-02-20T12:42:18Z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0x0101009E3E1FF42CA5564095E457897D401A8B</vt:lpwstr>
  </property>
</Properties>
</file>