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 codeName="{37A63EE7-654F-3FA9-A528-636911D70600}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rchivos Desbloqueados\SERIE P\"/>
    </mc:Choice>
  </mc:AlternateContent>
  <xr:revisionPtr revIDLastSave="0" documentId="13_ncr:1_{90E93C60-74B2-4014-9AF3-0CD757D691A8}" xr6:coauthVersionLast="47" xr6:coauthVersionMax="47" xr10:uidLastSave="{00000000-0000-0000-0000-000000000000}"/>
  <bookViews>
    <workbookView xWindow="-120" yWindow="-120" windowWidth="20730" windowHeight="11160" tabRatio="707" xr2:uid="{00000000-000D-0000-FFFF-FFFF00000000}"/>
  </bookViews>
  <sheets>
    <sheet name="NOMBRE" sheetId="1" r:id="rId1"/>
    <sheet name="P1" sheetId="2" r:id="rId2"/>
    <sheet name="P2" sheetId="17" r:id="rId3"/>
    <sheet name="P3" sheetId="4" r:id="rId4"/>
    <sheet name="P4" sheetId="5" r:id="rId5"/>
    <sheet name="P5" sheetId="6" r:id="rId6"/>
    <sheet name="P6" sheetId="7" r:id="rId7"/>
    <sheet name="P7" sheetId="8" r:id="rId8"/>
    <sheet name="P9" sheetId="16" r:id="rId9"/>
    <sheet name="P11" sheetId="10" r:id="rId10"/>
    <sheet name="P12" sheetId="11" r:id="rId11"/>
    <sheet name="P13" sheetId="18" r:id="rId12"/>
    <sheet name="Control" sheetId="12" r:id="rId13"/>
    <sheet name="MACROS" sheetId="13" r:id="rId14"/>
  </sheets>
  <definedNames>
    <definedName name="_xlnm.Print_Area" localSheetId="12">Control!$A$1:$H$26</definedName>
    <definedName name="_xlnm.Print_Area" localSheetId="1">'P1'!$A$1:$M$141</definedName>
    <definedName name="_xlnm.Print_Area" localSheetId="9">'P11'!$A$1:$AR$22</definedName>
    <definedName name="_xlnm.Print_Area" localSheetId="10">'P12'!$A$1:$K$88</definedName>
    <definedName name="_xlnm.Print_Area" localSheetId="3">'P3'!$A$1:$AN$65</definedName>
    <definedName name="_xlnm.Print_Area" localSheetId="4">'P4'!$A$1:$AJ$86</definedName>
    <definedName name="_xlnm.Print_Area" localSheetId="5">'P5'!$A$1:$P$53</definedName>
    <definedName name="_xlnm.Print_Area" localSheetId="6">'P6'!$A$1:$AQ$117</definedName>
    <definedName name="_xlnm.Print_Area" localSheetId="7">'P7'!$A$1:$J$29</definedName>
    <definedName name="OLE_LINK1" localSheetId="3">'P3'!$CJ$62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41" i="17" l="1"/>
  <c r="AT141" i="17"/>
  <c r="AS141" i="17"/>
  <c r="AR141" i="17"/>
  <c r="G141" i="17"/>
  <c r="H141" i="17"/>
  <c r="I141" i="17"/>
  <c r="J141" i="17"/>
  <c r="K141" i="17"/>
  <c r="L141" i="17"/>
  <c r="M141" i="17"/>
  <c r="N141" i="17"/>
  <c r="O141" i="17"/>
  <c r="P141" i="17"/>
  <c r="Q141" i="17"/>
  <c r="R141" i="17"/>
  <c r="S141" i="17"/>
  <c r="T141" i="17"/>
  <c r="U141" i="17"/>
  <c r="V141" i="17"/>
  <c r="W141" i="17"/>
  <c r="X141" i="17"/>
  <c r="Y141" i="17"/>
  <c r="Z141" i="17"/>
  <c r="AA141" i="17"/>
  <c r="AB141" i="17"/>
  <c r="AC141" i="17"/>
  <c r="AD141" i="17"/>
  <c r="AE141" i="17"/>
  <c r="AF141" i="17"/>
  <c r="AG141" i="17"/>
  <c r="AH141" i="17"/>
  <c r="AI141" i="17"/>
  <c r="AJ141" i="17"/>
  <c r="AK141" i="17"/>
  <c r="AL141" i="17"/>
  <c r="AM141" i="17"/>
  <c r="AN141" i="17"/>
  <c r="AO141" i="17"/>
  <c r="AP141" i="17"/>
  <c r="AQ141" i="17"/>
  <c r="F141" i="17"/>
  <c r="B46" i="4"/>
  <c r="A200" i="11" l="1"/>
  <c r="A199" i="11"/>
  <c r="A50" i="8"/>
  <c r="AN64" i="4" l="1"/>
  <c r="AN63" i="4"/>
  <c r="AN61" i="4"/>
  <c r="AN60" i="4"/>
  <c r="AN59" i="4"/>
  <c r="CL46" i="4"/>
  <c r="CK46" i="4"/>
  <c r="CD46" i="4"/>
  <c r="CC46" i="4"/>
  <c r="L46" i="4" s="1"/>
  <c r="CI19" i="4"/>
  <c r="CA19" i="4"/>
  <c r="CI18" i="4"/>
  <c r="CA18" i="4"/>
  <c r="CI17" i="4"/>
  <c r="CA17" i="4"/>
  <c r="CI16" i="4"/>
  <c r="CA16" i="4"/>
  <c r="CI15" i="4"/>
  <c r="CA15" i="4"/>
  <c r="CI14" i="4"/>
  <c r="CA14" i="4"/>
  <c r="CI13" i="4"/>
  <c r="CA13" i="4"/>
  <c r="CI12" i="4"/>
  <c r="CA12" i="4"/>
  <c r="AT190" i="17"/>
  <c r="AU190" i="17"/>
  <c r="AS190" i="17"/>
  <c r="AR190" i="17"/>
  <c r="H190" i="17"/>
  <c r="I190" i="17"/>
  <c r="J190" i="17"/>
  <c r="K190" i="17"/>
  <c r="L190" i="17"/>
  <c r="M190" i="17"/>
  <c r="N190" i="17"/>
  <c r="O190" i="17"/>
  <c r="P190" i="17"/>
  <c r="Q190" i="17"/>
  <c r="R190" i="17"/>
  <c r="S190" i="17"/>
  <c r="T190" i="17"/>
  <c r="U190" i="17"/>
  <c r="V190" i="17"/>
  <c r="W190" i="17"/>
  <c r="X190" i="17"/>
  <c r="Y190" i="17"/>
  <c r="Z190" i="17"/>
  <c r="AA190" i="17"/>
  <c r="AB190" i="17"/>
  <c r="AC190" i="17"/>
  <c r="AD190" i="17"/>
  <c r="AE190" i="17"/>
  <c r="AF190" i="17"/>
  <c r="AG190" i="17"/>
  <c r="AH190" i="17"/>
  <c r="AI190" i="17"/>
  <c r="AJ190" i="17"/>
  <c r="AK190" i="17"/>
  <c r="AL190" i="17"/>
  <c r="AM190" i="17"/>
  <c r="AN190" i="17"/>
  <c r="AO190" i="17"/>
  <c r="AP190" i="17"/>
  <c r="AQ190" i="17"/>
  <c r="G190" i="17"/>
  <c r="R12" i="18" l="1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S41" i="5"/>
  <c r="DR41" i="5"/>
  <c r="DQ41" i="5"/>
  <c r="DP41" i="5"/>
  <c r="DO41" i="5"/>
  <c r="DN41" i="5"/>
  <c r="DM41" i="5"/>
  <c r="DL41" i="5"/>
  <c r="DK41" i="5"/>
  <c r="DJ41" i="5"/>
  <c r="DI41" i="5"/>
  <c r="DH41" i="5"/>
  <c r="DG41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CW72" i="5"/>
  <c r="CV72" i="5"/>
  <c r="CW78" i="5"/>
  <c r="CV78" i="5"/>
  <c r="AL86" i="5"/>
  <c r="CJ135" i="17" l="1"/>
  <c r="CJ134" i="17"/>
  <c r="CI135" i="17"/>
  <c r="CI134" i="17"/>
  <c r="CH135" i="17"/>
  <c r="CH134" i="17"/>
  <c r="CG135" i="17"/>
  <c r="CG134" i="17"/>
  <c r="CF135" i="17"/>
  <c r="CF134" i="17"/>
  <c r="DE134" i="17"/>
  <c r="DJ134" i="17"/>
  <c r="DI135" i="17"/>
  <c r="DI134" i="17"/>
  <c r="DH135" i="17"/>
  <c r="DH134" i="17"/>
  <c r="DG134" i="17"/>
  <c r="DG135" i="17"/>
  <c r="DF135" i="17"/>
  <c r="DE135" i="17"/>
  <c r="DF134" i="17"/>
  <c r="DG129" i="17"/>
  <c r="DG128" i="17"/>
  <c r="DG127" i="17"/>
  <c r="DG126" i="17"/>
  <c r="DF129" i="17"/>
  <c r="DF128" i="17"/>
  <c r="DF127" i="17"/>
  <c r="DF126" i="17"/>
  <c r="DE129" i="17"/>
  <c r="DE128" i="17"/>
  <c r="DE127" i="17"/>
  <c r="DE126" i="17"/>
  <c r="CJ126" i="17"/>
  <c r="CI126" i="17"/>
  <c r="CI129" i="17"/>
  <c r="CI128" i="17"/>
  <c r="CI127" i="17"/>
  <c r="CJ129" i="17"/>
  <c r="CJ128" i="17"/>
  <c r="CJ127" i="17"/>
  <c r="CK129" i="17"/>
  <c r="CK128" i="17"/>
  <c r="CK127" i="17"/>
  <c r="CK126" i="17"/>
  <c r="DF82" i="17"/>
  <c r="DF81" i="17"/>
  <c r="DF80" i="17"/>
  <c r="DF79" i="17"/>
  <c r="DF78" i="17"/>
  <c r="DE82" i="17"/>
  <c r="DE81" i="17"/>
  <c r="DE80" i="17"/>
  <c r="DE79" i="17"/>
  <c r="DE78" i="17"/>
  <c r="CF78" i="17"/>
  <c r="DF77" i="17"/>
  <c r="DE77" i="17"/>
  <c r="CF77" i="17"/>
  <c r="CF79" i="17"/>
  <c r="CF80" i="17"/>
  <c r="CF81" i="17"/>
  <c r="CF82" i="17"/>
  <c r="CG82" i="17"/>
  <c r="CG81" i="17"/>
  <c r="CG80" i="17"/>
  <c r="CG79" i="17"/>
  <c r="CG78" i="17"/>
  <c r="CG77" i="17"/>
  <c r="M129" i="17" l="1"/>
  <c r="M128" i="17"/>
  <c r="M126" i="17"/>
  <c r="M127" i="17"/>
  <c r="T28" i="2" l="1"/>
  <c r="T27" i="2"/>
  <c r="E86" i="5"/>
  <c r="C86" i="5" s="1"/>
  <c r="D86" i="5"/>
  <c r="G29" i="6"/>
  <c r="F29" i="6"/>
  <c r="D28" i="6"/>
  <c r="D27" i="6"/>
  <c r="E28" i="6"/>
  <c r="E27" i="6"/>
  <c r="D22" i="18" l="1"/>
  <c r="I61" i="16"/>
  <c r="G128" i="2" l="1"/>
  <c r="F128" i="2"/>
  <c r="E128" i="2"/>
  <c r="D128" i="2"/>
  <c r="C128" i="2"/>
  <c r="B128" i="2"/>
  <c r="D24" i="2" l="1"/>
  <c r="E24" i="2" l="1"/>
  <c r="L24" i="2"/>
  <c r="S24" i="2"/>
  <c r="R24" i="2"/>
  <c r="Q24" i="2"/>
  <c r="M24" i="2"/>
  <c r="D34" i="4" l="1"/>
  <c r="E53" i="6"/>
  <c r="F70" i="17"/>
  <c r="F29" i="17"/>
  <c r="AI23" i="17"/>
  <c r="H26" i="17"/>
  <c r="F20" i="17"/>
  <c r="H14" i="17"/>
  <c r="F14" i="17"/>
  <c r="E37" i="17"/>
  <c r="E35" i="17"/>
  <c r="E34" i="17"/>
  <c r="E33" i="17"/>
  <c r="E32" i="17"/>
  <c r="E31" i="17"/>
  <c r="D37" i="17"/>
  <c r="D35" i="17"/>
  <c r="D34" i="17"/>
  <c r="D33" i="17"/>
  <c r="D32" i="17"/>
  <c r="D31" i="17"/>
  <c r="E39" i="17"/>
  <c r="E30" i="17"/>
  <c r="E27" i="17"/>
  <c r="E28" i="17"/>
  <c r="E25" i="17"/>
  <c r="E24" i="17"/>
  <c r="E22" i="17"/>
  <c r="E21" i="17"/>
  <c r="E19" i="17"/>
  <c r="E18" i="17"/>
  <c r="E16" i="17"/>
  <c r="E15" i="17"/>
  <c r="E13" i="17"/>
  <c r="E12" i="17"/>
  <c r="E11" i="17"/>
  <c r="D39" i="17"/>
  <c r="D30" i="17"/>
  <c r="D28" i="17"/>
  <c r="D27" i="17"/>
  <c r="D25" i="17"/>
  <c r="D24" i="17"/>
  <c r="D22" i="17"/>
  <c r="D21" i="17"/>
  <c r="D19" i="17"/>
  <c r="D18" i="17"/>
  <c r="D16" i="17"/>
  <c r="D15" i="17"/>
  <c r="D13" i="17"/>
  <c r="D12" i="17"/>
  <c r="D11" i="17"/>
  <c r="DP28" i="17" l="1"/>
  <c r="CR28" i="17"/>
  <c r="DO28" i="17"/>
  <c r="CS28" i="17"/>
  <c r="DP15" i="17"/>
  <c r="DO15" i="17"/>
  <c r="CS15" i="17"/>
  <c r="CR15" i="17"/>
  <c r="DP24" i="17"/>
  <c r="CR24" i="17"/>
  <c r="DO24" i="17"/>
  <c r="CS24" i="17"/>
  <c r="DO34" i="17"/>
  <c r="CS34" i="17"/>
  <c r="CR34" i="17"/>
  <c r="DP34" i="17"/>
  <c r="DP16" i="17"/>
  <c r="CR16" i="17"/>
  <c r="AJ16" i="17" s="1"/>
  <c r="DO16" i="17"/>
  <c r="CS16" i="17"/>
  <c r="DP25" i="17"/>
  <c r="CR25" i="17"/>
  <c r="DO25" i="17"/>
  <c r="CS25" i="17"/>
  <c r="DP35" i="17"/>
  <c r="CR35" i="17"/>
  <c r="DO35" i="17"/>
  <c r="CS35" i="17"/>
  <c r="DO18" i="17"/>
  <c r="CS18" i="17"/>
  <c r="CR18" i="17"/>
  <c r="DP18" i="17"/>
  <c r="DO27" i="17"/>
  <c r="CS27" i="17"/>
  <c r="CR27" i="17"/>
  <c r="AJ27" i="17" s="1"/>
  <c r="DP27" i="17"/>
  <c r="DP19" i="17"/>
  <c r="CR19" i="17"/>
  <c r="AJ19" i="17" s="1"/>
  <c r="DO19" i="17"/>
  <c r="CS19" i="17"/>
  <c r="DO31" i="17"/>
  <c r="CS31" i="17"/>
  <c r="CR31" i="17"/>
  <c r="DP31" i="17"/>
  <c r="DP12" i="17"/>
  <c r="DO12" i="17"/>
  <c r="DP21" i="17"/>
  <c r="CR21" i="17"/>
  <c r="DO21" i="17"/>
  <c r="CS21" i="17"/>
  <c r="DP30" i="17"/>
  <c r="CR30" i="17"/>
  <c r="DO30" i="17"/>
  <c r="CS30" i="17"/>
  <c r="DP32" i="17"/>
  <c r="CR32" i="17"/>
  <c r="AJ32" i="17" s="1"/>
  <c r="DO32" i="17"/>
  <c r="CS32" i="17"/>
  <c r="CM53" i="6"/>
  <c r="CF53" i="6"/>
  <c r="CK53" i="6"/>
  <c r="CD53" i="6"/>
  <c r="DO13" i="17"/>
  <c r="DP13" i="17"/>
  <c r="DO22" i="17"/>
  <c r="CS22" i="17"/>
  <c r="CR22" i="17"/>
  <c r="DP22" i="17"/>
  <c r="DP33" i="17"/>
  <c r="CR33" i="17"/>
  <c r="DO33" i="17"/>
  <c r="CS33" i="17"/>
  <c r="DP37" i="17"/>
  <c r="DO37" i="17"/>
  <c r="CS37" i="17"/>
  <c r="CR37" i="17"/>
  <c r="CS39" i="17"/>
  <c r="CR39" i="17"/>
  <c r="DP39" i="17"/>
  <c r="DO39" i="17"/>
  <c r="CS13" i="17"/>
  <c r="CR13" i="17"/>
  <c r="CS12" i="17"/>
  <c r="CR12" i="17"/>
  <c r="CS11" i="17"/>
  <c r="CR11" i="17"/>
  <c r="C20" i="2"/>
  <c r="C11" i="2"/>
  <c r="D70" i="2"/>
  <c r="D65" i="2"/>
  <c r="C61" i="2"/>
  <c r="F49" i="2"/>
  <c r="E49" i="2"/>
  <c r="D49" i="2"/>
  <c r="C49" i="2"/>
  <c r="B49" i="2"/>
  <c r="B57" i="2"/>
  <c r="C55" i="2"/>
  <c r="C54" i="2"/>
  <c r="C53" i="2"/>
  <c r="C89" i="2"/>
  <c r="E108" i="2"/>
  <c r="D108" i="2"/>
  <c r="C108" i="2"/>
  <c r="B108" i="2"/>
  <c r="D116" i="2"/>
  <c r="C112" i="2"/>
  <c r="B151" i="2"/>
  <c r="E23" i="4"/>
  <c r="E20" i="4"/>
  <c r="E18" i="4"/>
  <c r="E15" i="4"/>
  <c r="E12" i="4"/>
  <c r="D24" i="4"/>
  <c r="D23" i="4"/>
  <c r="D20" i="4"/>
  <c r="D18" i="4"/>
  <c r="D15" i="4"/>
  <c r="D12" i="4"/>
  <c r="E51" i="4"/>
  <c r="D51" i="4"/>
  <c r="E63" i="4"/>
  <c r="E59" i="4"/>
  <c r="D63" i="4"/>
  <c r="D59" i="4"/>
  <c r="E73" i="4"/>
  <c r="E70" i="4"/>
  <c r="D73" i="4"/>
  <c r="D70" i="4"/>
  <c r="E48" i="5"/>
  <c r="D48" i="5"/>
  <c r="E61" i="5"/>
  <c r="D61" i="5"/>
  <c r="E65" i="5"/>
  <c r="D65" i="5"/>
  <c r="E68" i="5"/>
  <c r="D68" i="5"/>
  <c r="E76" i="5"/>
  <c r="D76" i="5"/>
  <c r="E85" i="5"/>
  <c r="E84" i="5"/>
  <c r="E83" i="5"/>
  <c r="E82" i="5"/>
  <c r="D85" i="5"/>
  <c r="D84" i="5"/>
  <c r="D83" i="5"/>
  <c r="D82" i="5"/>
  <c r="D38" i="5"/>
  <c r="D37" i="5"/>
  <c r="D36" i="5"/>
  <c r="D35" i="5"/>
  <c r="D34" i="5"/>
  <c r="AL29" i="5"/>
  <c r="F29" i="5"/>
  <c r="F12" i="5"/>
  <c r="E19" i="5"/>
  <c r="D19" i="5"/>
  <c r="F20" i="6"/>
  <c r="E12" i="6"/>
  <c r="D12" i="6"/>
  <c r="E26" i="6"/>
  <c r="D26" i="6"/>
  <c r="E34" i="6"/>
  <c r="D34" i="6"/>
  <c r="E43" i="6"/>
  <c r="D43" i="6"/>
  <c r="D48" i="6"/>
  <c r="D57" i="6"/>
  <c r="D56" i="6"/>
  <c r="D55" i="6"/>
  <c r="D54" i="6"/>
  <c r="D53" i="6"/>
  <c r="E12" i="16"/>
  <c r="D12" i="16"/>
  <c r="D46" i="16"/>
  <c r="E49" i="16"/>
  <c r="E48" i="16"/>
  <c r="E46" i="16"/>
  <c r="I48" i="16"/>
  <c r="E58" i="16"/>
  <c r="D57" i="16"/>
  <c r="O72" i="16"/>
  <c r="L72" i="16"/>
  <c r="I72" i="16"/>
  <c r="F72" i="16"/>
  <c r="E72" i="16"/>
  <c r="D72" i="16"/>
  <c r="AJ35" i="17" l="1"/>
  <c r="C12" i="4"/>
  <c r="CE12" i="4"/>
  <c r="CM12" i="4"/>
  <c r="CE15" i="4"/>
  <c r="CM15" i="4"/>
  <c r="CE18" i="4"/>
  <c r="CM18" i="4"/>
  <c r="AJ34" i="17"/>
  <c r="CE20" i="4"/>
  <c r="CM20" i="4"/>
  <c r="AJ15" i="17"/>
  <c r="AJ28" i="17"/>
  <c r="CE23" i="4"/>
  <c r="CM23" i="4"/>
  <c r="AJ12" i="17"/>
  <c r="AJ21" i="17"/>
  <c r="BG82" i="5"/>
  <c r="BE82" i="5"/>
  <c r="BK68" i="5"/>
  <c r="CW65" i="5"/>
  <c r="CP68" i="5"/>
  <c r="BF68" i="5"/>
  <c r="CN68" i="5"/>
  <c r="BJ68" i="5"/>
  <c r="BD68" i="5"/>
  <c r="CV65" i="5"/>
  <c r="C53" i="6"/>
  <c r="CJ53" i="6"/>
  <c r="CC53" i="6"/>
  <c r="CO53" i="6"/>
  <c r="CH53" i="6"/>
  <c r="CL53" i="6"/>
  <c r="CE53" i="6"/>
  <c r="CN53" i="6"/>
  <c r="CG53" i="6"/>
  <c r="BG83" i="5"/>
  <c r="BE83" i="5"/>
  <c r="BE68" i="5"/>
  <c r="CQ68" i="5"/>
  <c r="CO68" i="5"/>
  <c r="BG68" i="5"/>
  <c r="CJ54" i="6"/>
  <c r="CC54" i="6"/>
  <c r="CL54" i="6"/>
  <c r="CE54" i="6"/>
  <c r="CF43" i="6"/>
  <c r="CD43" i="6"/>
  <c r="CW79" i="5"/>
  <c r="BD82" i="5"/>
  <c r="CV79" i="5"/>
  <c r="BF82" i="5"/>
  <c r="BE84" i="5"/>
  <c r="BG84" i="5"/>
  <c r="BK65" i="5"/>
  <c r="CW62" i="5"/>
  <c r="CP65" i="5"/>
  <c r="BF65" i="5"/>
  <c r="CN65" i="5"/>
  <c r="CV62" i="5"/>
  <c r="BJ65" i="5"/>
  <c r="BD65" i="5"/>
  <c r="AJ13" i="17"/>
  <c r="AJ37" i="17"/>
  <c r="AJ33" i="17"/>
  <c r="AJ30" i="17"/>
  <c r="AJ25" i="17"/>
  <c r="AJ24" i="17"/>
  <c r="CE55" i="6"/>
  <c r="CL55" i="6"/>
  <c r="CJ55" i="6"/>
  <c r="CC55" i="6"/>
  <c r="CH34" i="6"/>
  <c r="CN34" i="6"/>
  <c r="CO34" i="6"/>
  <c r="CG34" i="6"/>
  <c r="CV80" i="5"/>
  <c r="BF83" i="5"/>
  <c r="CW80" i="5"/>
  <c r="BJ83" i="5"/>
  <c r="BD83" i="5"/>
  <c r="BK83" i="5"/>
  <c r="BG85" i="5"/>
  <c r="BE85" i="5"/>
  <c r="BE65" i="5"/>
  <c r="CQ65" i="5"/>
  <c r="CO65" i="5"/>
  <c r="BG65" i="5"/>
  <c r="CJ56" i="6"/>
  <c r="CC56" i="6"/>
  <c r="CL56" i="6"/>
  <c r="CE56" i="6"/>
  <c r="BK84" i="5"/>
  <c r="BJ84" i="5"/>
  <c r="BF84" i="5"/>
  <c r="BD84" i="5"/>
  <c r="CV73" i="5"/>
  <c r="CW73" i="5"/>
  <c r="CV58" i="5"/>
  <c r="BK61" i="5"/>
  <c r="CN61" i="5"/>
  <c r="BF61" i="5"/>
  <c r="BJ61" i="5"/>
  <c r="BD61" i="5"/>
  <c r="CP61" i="5"/>
  <c r="CW58" i="5"/>
  <c r="CJ57" i="6"/>
  <c r="CC57" i="6"/>
  <c r="CL57" i="6"/>
  <c r="CE57" i="6"/>
  <c r="BK85" i="5"/>
  <c r="BD85" i="5"/>
  <c r="BJ85" i="5"/>
  <c r="BF85" i="5"/>
  <c r="CQ61" i="5"/>
  <c r="CO61" i="5"/>
  <c r="BG61" i="5"/>
  <c r="BE61" i="5"/>
  <c r="AJ22" i="17"/>
  <c r="AJ31" i="17"/>
  <c r="AJ18" i="17"/>
  <c r="CL48" i="6"/>
  <c r="CJ48" i="6"/>
  <c r="CE48" i="6"/>
  <c r="CC48" i="6"/>
  <c r="CH43" i="6"/>
  <c r="CC43" i="6"/>
  <c r="CE43" i="6"/>
  <c r="CL43" i="6"/>
  <c r="CJ43" i="6"/>
  <c r="CG43" i="6"/>
  <c r="C43" i="6"/>
  <c r="CK43" i="6"/>
  <c r="CN43" i="6"/>
  <c r="CO43" i="6"/>
  <c r="CM43" i="6"/>
  <c r="C57" i="2"/>
  <c r="L86" i="16"/>
  <c r="I86" i="16"/>
  <c r="F86" i="16"/>
  <c r="C86" i="16"/>
  <c r="F17" i="10"/>
  <c r="F16" i="10"/>
  <c r="F15" i="10"/>
  <c r="F14" i="10"/>
  <c r="F13" i="10"/>
  <c r="F12" i="10"/>
  <c r="E17" i="10"/>
  <c r="D17" i="10" s="1"/>
  <c r="E15" i="10"/>
  <c r="E14" i="10"/>
  <c r="D22" i="10"/>
  <c r="C22" i="10"/>
  <c r="C131" i="11"/>
  <c r="B120" i="11"/>
  <c r="C114" i="11"/>
  <c r="B103" i="11"/>
  <c r="C98" i="11"/>
  <c r="B98" i="11"/>
  <c r="B87" i="11"/>
  <c r="B74" i="11"/>
  <c r="C61" i="11"/>
  <c r="B48" i="11"/>
  <c r="C42" i="11"/>
  <c r="B29" i="11"/>
  <c r="C23" i="11"/>
  <c r="B23" i="11"/>
  <c r="D25" i="18"/>
  <c r="D24" i="18"/>
  <c r="D23" i="18"/>
  <c r="D21" i="18"/>
  <c r="D20" i="18"/>
  <c r="C25" i="18"/>
  <c r="C24" i="18"/>
  <c r="C23" i="18"/>
  <c r="C22" i="18"/>
  <c r="C21" i="18"/>
  <c r="C20" i="18"/>
  <c r="D15" i="18"/>
  <c r="D14" i="18"/>
  <c r="D13" i="18"/>
  <c r="C15" i="18"/>
  <c r="C14" i="18"/>
  <c r="C13" i="18"/>
  <c r="CK12" i="4" l="1"/>
  <c r="CJ12" i="4"/>
  <c r="CL12" i="4"/>
  <c r="CD12" i="4"/>
  <c r="CC12" i="4"/>
  <c r="CB12" i="4"/>
  <c r="B22" i="10"/>
  <c r="CG14" i="10"/>
  <c r="CL14" i="10"/>
  <c r="CR14" i="10"/>
  <c r="CW14" i="10"/>
  <c r="CR15" i="10"/>
  <c r="CG15" i="10"/>
  <c r="CW15" i="10"/>
  <c r="CL15" i="10"/>
  <c r="D16" i="10"/>
  <c r="CW16" i="10"/>
  <c r="CG16" i="10"/>
  <c r="CR16" i="10"/>
  <c r="CL16" i="10"/>
  <c r="AB53" i="6"/>
  <c r="CU17" i="10"/>
  <c r="CV17" i="10"/>
  <c r="CS17" i="10"/>
  <c r="CT17" i="10"/>
  <c r="CW17" i="10"/>
  <c r="CL17" i="10"/>
  <c r="CR17" i="10"/>
  <c r="CG17" i="10"/>
  <c r="D12" i="18"/>
  <c r="D12" i="10"/>
  <c r="CW12" i="10"/>
  <c r="CU12" i="10"/>
  <c r="CG12" i="10"/>
  <c r="CR12" i="10"/>
  <c r="CS12" i="10"/>
  <c r="CL12" i="10"/>
  <c r="CT12" i="10"/>
  <c r="CV12" i="10"/>
  <c r="D13" i="10"/>
  <c r="CV13" i="10"/>
  <c r="CW13" i="10"/>
  <c r="CG13" i="10"/>
  <c r="CS13" i="10"/>
  <c r="CL13" i="10"/>
  <c r="CT13" i="10"/>
  <c r="CR13" i="10"/>
  <c r="CU13" i="10"/>
  <c r="D14" i="10"/>
  <c r="A33" i="10" s="1"/>
  <c r="D15" i="10"/>
  <c r="C12" i="18"/>
  <c r="F24" i="2"/>
  <c r="C66" i="2"/>
  <c r="C64" i="2"/>
  <c r="C62" i="2"/>
  <c r="C90" i="2"/>
  <c r="C91" i="2"/>
  <c r="C92" i="2"/>
  <c r="C93" i="2"/>
  <c r="C94" i="2"/>
  <c r="C95" i="2"/>
  <c r="C115" i="2"/>
  <c r="C114" i="2"/>
  <c r="C113" i="2"/>
  <c r="AS12" i="4" l="1"/>
  <c r="CU16" i="10"/>
  <c r="CS16" i="10"/>
  <c r="CV16" i="10"/>
  <c r="CT16" i="10"/>
  <c r="CS15" i="10"/>
  <c r="CV15" i="10"/>
  <c r="CT15" i="10"/>
  <c r="CU15" i="10"/>
  <c r="CS14" i="10"/>
  <c r="CT14" i="10"/>
  <c r="CV14" i="10"/>
  <c r="CU14" i="10"/>
  <c r="N107" i="17"/>
  <c r="M107" i="17"/>
  <c r="E100" i="7"/>
  <c r="D100" i="7"/>
  <c r="E36" i="7"/>
  <c r="D36" i="7"/>
  <c r="D78" i="16"/>
  <c r="E78" i="16"/>
  <c r="F78" i="16"/>
  <c r="I78" i="16"/>
  <c r="L78" i="16"/>
  <c r="O78" i="16"/>
  <c r="D79" i="16"/>
  <c r="E79" i="16"/>
  <c r="F79" i="16"/>
  <c r="I79" i="16"/>
  <c r="L79" i="16"/>
  <c r="O79" i="16"/>
  <c r="D61" i="16"/>
  <c r="E61" i="16"/>
  <c r="F61" i="16"/>
  <c r="L61" i="16"/>
  <c r="O61" i="16"/>
  <c r="D60" i="5"/>
  <c r="E60" i="5"/>
  <c r="DT100" i="7" l="1"/>
  <c r="CV100" i="7"/>
  <c r="CS36" i="7"/>
  <c r="DQ36" i="7"/>
  <c r="CV57" i="5"/>
  <c r="BD60" i="5"/>
  <c r="CP60" i="5"/>
  <c r="BJ60" i="5"/>
  <c r="CW57" i="5"/>
  <c r="BF60" i="5"/>
  <c r="CN60" i="5"/>
  <c r="BK60" i="5"/>
  <c r="CO60" i="5"/>
  <c r="BG60" i="5"/>
  <c r="BE60" i="5"/>
  <c r="CQ60" i="5"/>
  <c r="AX61" i="16"/>
  <c r="AN61" i="16"/>
  <c r="AM61" i="16"/>
  <c r="AY61" i="16"/>
  <c r="AX79" i="16"/>
  <c r="AY79" i="16"/>
  <c r="AN79" i="16"/>
  <c r="AM79" i="16"/>
  <c r="AY78" i="16"/>
  <c r="AX78" i="16"/>
  <c r="AM78" i="16"/>
  <c r="AN78" i="16"/>
  <c r="AW79" i="16"/>
  <c r="C79" i="16"/>
  <c r="AK79" i="16" s="1"/>
  <c r="C60" i="5"/>
  <c r="C78" i="16"/>
  <c r="C100" i="7"/>
  <c r="C36" i="7"/>
  <c r="C61" i="16"/>
  <c r="AV61" i="16" s="1"/>
  <c r="CK36" i="7" l="1"/>
  <c r="CI36" i="7"/>
  <c r="DJ36" i="7"/>
  <c r="DH36" i="7"/>
  <c r="AV79" i="16"/>
  <c r="DH100" i="7"/>
  <c r="CI100" i="7"/>
  <c r="CT100" i="7"/>
  <c r="CS100" i="7"/>
  <c r="CK100" i="7"/>
  <c r="CH100" i="7"/>
  <c r="DR100" i="7"/>
  <c r="DQ100" i="7"/>
  <c r="DJ100" i="7"/>
  <c r="DG100" i="7"/>
  <c r="AK61" i="16"/>
  <c r="AL79" i="16"/>
  <c r="AL60" i="5"/>
  <c r="AW61" i="16"/>
  <c r="AL61" i="16"/>
  <c r="AL78" i="16"/>
  <c r="AW78" i="16"/>
  <c r="AK78" i="16"/>
  <c r="AV78" i="16"/>
  <c r="D174" i="17"/>
  <c r="E174" i="17"/>
  <c r="D158" i="17"/>
  <c r="E158" i="17"/>
  <c r="E21" i="4"/>
  <c r="AY36" i="7" l="1"/>
  <c r="AY100" i="7"/>
  <c r="C174" i="17"/>
  <c r="C158" i="17"/>
  <c r="E39" i="4"/>
  <c r="D39" i="4"/>
  <c r="D52" i="17"/>
  <c r="G29" i="17"/>
  <c r="G26" i="17"/>
  <c r="F26" i="17"/>
  <c r="G23" i="17"/>
  <c r="F23" i="17"/>
  <c r="G20" i="17"/>
  <c r="G17" i="17"/>
  <c r="F17" i="17"/>
  <c r="G14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T38" i="17"/>
  <c r="U38" i="17"/>
  <c r="V38" i="17"/>
  <c r="W38" i="17"/>
  <c r="X38" i="17"/>
  <c r="Y38" i="17"/>
  <c r="Z38" i="17"/>
  <c r="AA38" i="17"/>
  <c r="AB38" i="17"/>
  <c r="AC38" i="17"/>
  <c r="AD38" i="17"/>
  <c r="AE38" i="17"/>
  <c r="AF38" i="17"/>
  <c r="AG38" i="17"/>
  <c r="AH38" i="17"/>
  <c r="AI38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AH23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DB11" i="17" l="1"/>
  <c r="CM39" i="4"/>
  <c r="CE39" i="4"/>
  <c r="DP11" i="17"/>
  <c r="CQ11" i="17"/>
  <c r="CI11" i="17"/>
  <c r="DH11" i="17"/>
  <c r="CP11" i="17"/>
  <c r="DO11" i="17"/>
  <c r="DJ11" i="17"/>
  <c r="CK11" i="17"/>
  <c r="CH11" i="17"/>
  <c r="DG11" i="17"/>
  <c r="DD11" i="17"/>
  <c r="DA11" i="17"/>
  <c r="DI11" i="17"/>
  <c r="CJ11" i="17"/>
  <c r="DF11" i="17"/>
  <c r="DC11" i="17"/>
  <c r="DB174" i="17"/>
  <c r="CC174" i="17" s="1"/>
  <c r="DA174" i="17"/>
  <c r="CB174" i="17" s="1"/>
  <c r="AV174" i="17" s="1"/>
  <c r="DD174" i="17"/>
  <c r="CE174" i="17" s="1"/>
  <c r="DC174" i="17"/>
  <c r="CD174" i="17" s="1"/>
  <c r="CL11" i="17"/>
  <c r="DK11" i="17"/>
  <c r="CF11" i="17"/>
  <c r="DE11" i="17"/>
  <c r="DD158" i="17"/>
  <c r="CE158" i="17" s="1"/>
  <c r="DC158" i="17"/>
  <c r="CD158" i="17" s="1"/>
  <c r="DB158" i="17"/>
  <c r="CC158" i="17" s="1"/>
  <c r="DA158" i="17"/>
  <c r="CB158" i="17" s="1"/>
  <c r="CM11" i="17"/>
  <c r="DL11" i="17"/>
  <c r="CC11" i="17"/>
  <c r="CE11" i="17"/>
  <c r="CG11" i="17"/>
  <c r="CB11" i="17"/>
  <c r="CD11" i="17"/>
  <c r="D38" i="17"/>
  <c r="D36" i="17"/>
  <c r="E36" i="17"/>
  <c r="D17" i="17"/>
  <c r="D20" i="17"/>
  <c r="E17" i="17"/>
  <c r="E20" i="17"/>
  <c r="D14" i="17"/>
  <c r="D29" i="17"/>
  <c r="D23" i="17"/>
  <c r="E26" i="17"/>
  <c r="E14" i="17"/>
  <c r="E29" i="17"/>
  <c r="E23" i="17"/>
  <c r="E38" i="17"/>
  <c r="D26" i="17"/>
  <c r="C39" i="4"/>
  <c r="C37" i="17"/>
  <c r="CJ39" i="4" l="1"/>
  <c r="CC39" i="4"/>
  <c r="CK39" i="4"/>
  <c r="CL39" i="4"/>
  <c r="CB39" i="4"/>
  <c r="CD39" i="4"/>
  <c r="C29" i="17"/>
  <c r="AV158" i="17"/>
  <c r="C38" i="17"/>
  <c r="G24" i="2"/>
  <c r="H24" i="2"/>
  <c r="I24" i="2"/>
  <c r="J24" i="2"/>
  <c r="K24" i="2"/>
  <c r="DA29" i="17" l="1"/>
  <c r="CB29" i="17"/>
  <c r="AJ29" i="17" s="1"/>
  <c r="DB29" i="17"/>
  <c r="CC29" i="17"/>
  <c r="CB38" i="17"/>
  <c r="DB38" i="17"/>
  <c r="DA38" i="17"/>
  <c r="CC38" i="17"/>
  <c r="C27" i="2"/>
  <c r="C28" i="2"/>
  <c r="C29" i="2"/>
  <c r="C26" i="2"/>
  <c r="C19" i="2"/>
  <c r="AJ38" i="17" l="1"/>
  <c r="E183" i="17"/>
  <c r="D183" i="17"/>
  <c r="E182" i="17"/>
  <c r="D182" i="17"/>
  <c r="E156" i="17"/>
  <c r="D156" i="17"/>
  <c r="E181" i="17"/>
  <c r="D181" i="17"/>
  <c r="E180" i="17"/>
  <c r="D180" i="17"/>
  <c r="E147" i="17"/>
  <c r="D147" i="17"/>
  <c r="E146" i="17"/>
  <c r="D146" i="17"/>
  <c r="E145" i="17"/>
  <c r="D145" i="17"/>
  <c r="E144" i="17"/>
  <c r="D144" i="17"/>
  <c r="E143" i="17"/>
  <c r="D143" i="17"/>
  <c r="E159" i="17"/>
  <c r="D159" i="17"/>
  <c r="E154" i="17"/>
  <c r="D154" i="17"/>
  <c r="AA38" i="6"/>
  <c r="Z38" i="6"/>
  <c r="G208" i="17"/>
  <c r="H208" i="17"/>
  <c r="I208" i="17"/>
  <c r="J208" i="17"/>
  <c r="K208" i="17"/>
  <c r="L208" i="17"/>
  <c r="M208" i="17"/>
  <c r="N208" i="17"/>
  <c r="O208" i="17"/>
  <c r="P208" i="17"/>
  <c r="Q208" i="17"/>
  <c r="R208" i="17"/>
  <c r="S208" i="17"/>
  <c r="T208" i="17"/>
  <c r="U208" i="17"/>
  <c r="V208" i="17"/>
  <c r="W208" i="17"/>
  <c r="X208" i="17"/>
  <c r="Y208" i="17"/>
  <c r="Z208" i="17"/>
  <c r="AA208" i="17"/>
  <c r="AB208" i="17"/>
  <c r="AC208" i="17"/>
  <c r="AD208" i="17"/>
  <c r="AE208" i="17"/>
  <c r="AF208" i="17"/>
  <c r="AG208" i="17"/>
  <c r="AH208" i="17"/>
  <c r="AI208" i="17"/>
  <c r="F208" i="17"/>
  <c r="D202" i="17"/>
  <c r="E202" i="17"/>
  <c r="D203" i="17"/>
  <c r="E203" i="17"/>
  <c r="D204" i="17"/>
  <c r="E204" i="17"/>
  <c r="D205" i="17"/>
  <c r="E205" i="17"/>
  <c r="D206" i="17"/>
  <c r="E206" i="17"/>
  <c r="D207" i="17"/>
  <c r="E207" i="17"/>
  <c r="D209" i="17"/>
  <c r="E209" i="17"/>
  <c r="E200" i="17"/>
  <c r="D200" i="17"/>
  <c r="E199" i="17"/>
  <c r="D199" i="17"/>
  <c r="G201" i="17"/>
  <c r="H201" i="17"/>
  <c r="I201" i="17"/>
  <c r="J201" i="17"/>
  <c r="K201" i="17"/>
  <c r="K198" i="17" s="1"/>
  <c r="L201" i="17"/>
  <c r="M201" i="17"/>
  <c r="M198" i="17" s="1"/>
  <c r="N201" i="17"/>
  <c r="N198" i="17" s="1"/>
  <c r="O201" i="17"/>
  <c r="O198" i="17" s="1"/>
  <c r="P201" i="17"/>
  <c r="P198" i="17" s="1"/>
  <c r="Q201" i="17"/>
  <c r="R201" i="17"/>
  <c r="R198" i="17" s="1"/>
  <c r="S201" i="17"/>
  <c r="T201" i="17"/>
  <c r="U201" i="17"/>
  <c r="V201" i="17"/>
  <c r="V198" i="17" s="1"/>
  <c r="W201" i="17"/>
  <c r="X201" i="17"/>
  <c r="X198" i="17" s="1"/>
  <c r="Y201" i="17"/>
  <c r="Z201" i="17"/>
  <c r="Z198" i="17" s="1"/>
  <c r="AA201" i="17"/>
  <c r="AA198" i="17" s="1"/>
  <c r="AB201" i="17"/>
  <c r="AC201" i="17"/>
  <c r="AD201" i="17"/>
  <c r="AE201" i="17"/>
  <c r="AF201" i="17"/>
  <c r="AG201" i="17"/>
  <c r="AH201" i="17"/>
  <c r="AI201" i="17"/>
  <c r="F201" i="17"/>
  <c r="F198" i="17" s="1"/>
  <c r="C25" i="2"/>
  <c r="G198" i="17" l="1"/>
  <c r="AI198" i="17"/>
  <c r="AG198" i="17"/>
  <c r="AF198" i="17"/>
  <c r="AE198" i="17"/>
  <c r="AD198" i="17"/>
  <c r="AC198" i="17"/>
  <c r="AB198" i="17"/>
  <c r="Y198" i="17"/>
  <c r="Q198" i="17"/>
  <c r="T198" i="17"/>
  <c r="U198" i="17"/>
  <c r="AH198" i="17"/>
  <c r="L198" i="17"/>
  <c r="C156" i="17"/>
  <c r="W198" i="17"/>
  <c r="J198" i="17"/>
  <c r="S198" i="17"/>
  <c r="C180" i="17"/>
  <c r="C199" i="17"/>
  <c r="C143" i="17"/>
  <c r="I198" i="17"/>
  <c r="C144" i="17"/>
  <c r="C146" i="17"/>
  <c r="C147" i="17"/>
  <c r="C181" i="17"/>
  <c r="C209" i="17"/>
  <c r="C205" i="17"/>
  <c r="C154" i="17"/>
  <c r="C182" i="17"/>
  <c r="C159" i="17"/>
  <c r="C183" i="17"/>
  <c r="C207" i="17"/>
  <c r="C145" i="17"/>
  <c r="D201" i="17"/>
  <c r="C203" i="17"/>
  <c r="E208" i="17"/>
  <c r="D208" i="17"/>
  <c r="E201" i="17"/>
  <c r="H198" i="17"/>
  <c r="C202" i="17"/>
  <c r="C204" i="17"/>
  <c r="C206" i="17"/>
  <c r="C200" i="17"/>
  <c r="E37" i="4"/>
  <c r="E38" i="4"/>
  <c r="E40" i="4"/>
  <c r="D37" i="4"/>
  <c r="D38" i="4"/>
  <c r="D40" i="4"/>
  <c r="CE40" i="4" l="1"/>
  <c r="CM40" i="4"/>
  <c r="CE38" i="4"/>
  <c r="CM38" i="4"/>
  <c r="CM37" i="4"/>
  <c r="CE37" i="4"/>
  <c r="DH204" i="17"/>
  <c r="CI204" i="17" s="1"/>
  <c r="DC204" i="17"/>
  <c r="CD204" i="17" s="1"/>
  <c r="DA204" i="17"/>
  <c r="CB204" i="17" s="1"/>
  <c r="DG204" i="17"/>
  <c r="CH204" i="17" s="1"/>
  <c r="DB204" i="17"/>
  <c r="CC204" i="17" s="1"/>
  <c r="DF204" i="17"/>
  <c r="CG204" i="17" s="1"/>
  <c r="DJ204" i="17"/>
  <c r="CK204" i="17" s="1"/>
  <c r="DE204" i="17"/>
  <c r="CF204" i="17" s="1"/>
  <c r="DD204" i="17"/>
  <c r="CE204" i="17" s="1"/>
  <c r="DI204" i="17"/>
  <c r="CJ204" i="17" s="1"/>
  <c r="DG203" i="17"/>
  <c r="CH203" i="17" s="1"/>
  <c r="DB203" i="17"/>
  <c r="CC203" i="17" s="1"/>
  <c r="DF203" i="17"/>
  <c r="CG203" i="17" s="1"/>
  <c r="DA203" i="17"/>
  <c r="CB203" i="17" s="1"/>
  <c r="DJ203" i="17"/>
  <c r="CK203" i="17" s="1"/>
  <c r="DE203" i="17"/>
  <c r="CF203" i="17" s="1"/>
  <c r="DI203" i="17"/>
  <c r="CJ203" i="17" s="1"/>
  <c r="DD203" i="17"/>
  <c r="CE203" i="17" s="1"/>
  <c r="DC203" i="17"/>
  <c r="CD203" i="17" s="1"/>
  <c r="DH203" i="17"/>
  <c r="CI203" i="17" s="1"/>
  <c r="DD182" i="17"/>
  <c r="CE182" i="17" s="1"/>
  <c r="DC182" i="17"/>
  <c r="CD182" i="17" s="1"/>
  <c r="DB182" i="17"/>
  <c r="CC182" i="17" s="1"/>
  <c r="DA182" i="17"/>
  <c r="CB182" i="17" s="1"/>
  <c r="DF202" i="17"/>
  <c r="CG202" i="17" s="1"/>
  <c r="DA202" i="17"/>
  <c r="CB202" i="17" s="1"/>
  <c r="DJ202" i="17"/>
  <c r="CK202" i="17" s="1"/>
  <c r="DE202" i="17"/>
  <c r="CF202" i="17" s="1"/>
  <c r="DI202" i="17"/>
  <c r="CJ202" i="17" s="1"/>
  <c r="DD202" i="17"/>
  <c r="CE202" i="17" s="1"/>
  <c r="DH202" i="17"/>
  <c r="CI202" i="17" s="1"/>
  <c r="DC202" i="17"/>
  <c r="CD202" i="17" s="1"/>
  <c r="DG202" i="17"/>
  <c r="CH202" i="17" s="1"/>
  <c r="DB202" i="17"/>
  <c r="CC202" i="17" s="1"/>
  <c r="DD154" i="17"/>
  <c r="CE154" i="17" s="1"/>
  <c r="DB154" i="17"/>
  <c r="CC154" i="17" s="1"/>
  <c r="DC154" i="17"/>
  <c r="CD154" i="17" s="1"/>
  <c r="DA154" i="17"/>
  <c r="CB154" i="17" s="1"/>
  <c r="DI206" i="17"/>
  <c r="CJ206" i="17" s="1"/>
  <c r="DD206" i="17"/>
  <c r="CE206" i="17" s="1"/>
  <c r="DG206" i="17"/>
  <c r="CH206" i="17" s="1"/>
  <c r="DB206" i="17"/>
  <c r="CC206" i="17" s="1"/>
  <c r="DH206" i="17"/>
  <c r="CI206" i="17" s="1"/>
  <c r="DC206" i="17"/>
  <c r="CD206" i="17" s="1"/>
  <c r="DF206" i="17"/>
  <c r="CG206" i="17" s="1"/>
  <c r="DA206" i="17"/>
  <c r="CB206" i="17" s="1"/>
  <c r="DJ206" i="17"/>
  <c r="CK206" i="17" s="1"/>
  <c r="DE206" i="17"/>
  <c r="CF206" i="17" s="1"/>
  <c r="DB159" i="17"/>
  <c r="CC159" i="17" s="1"/>
  <c r="DA159" i="17"/>
  <c r="CB159" i="17" s="1"/>
  <c r="DD159" i="17"/>
  <c r="CE159" i="17" s="1"/>
  <c r="DC159" i="17"/>
  <c r="CD159" i="17" s="1"/>
  <c r="DB180" i="17"/>
  <c r="CC180" i="17" s="1"/>
  <c r="DA180" i="17"/>
  <c r="CB180" i="17" s="1"/>
  <c r="AV180" i="17" s="1"/>
  <c r="DD180" i="17"/>
  <c r="CE180" i="17" s="1"/>
  <c r="DC180" i="17"/>
  <c r="CD180" i="17" s="1"/>
  <c r="DB156" i="17"/>
  <c r="CC156" i="17" s="1"/>
  <c r="DA156" i="17"/>
  <c r="CB156" i="17" s="1"/>
  <c r="DD156" i="17"/>
  <c r="CE156" i="17" s="1"/>
  <c r="DC156" i="17"/>
  <c r="CD156" i="17" s="1"/>
  <c r="DJ207" i="17"/>
  <c r="CK207" i="17" s="1"/>
  <c r="DE207" i="17"/>
  <c r="CF207" i="17" s="1"/>
  <c r="DC207" i="17"/>
  <c r="CD207" i="17" s="1"/>
  <c r="DI207" i="17"/>
  <c r="CJ207" i="17" s="1"/>
  <c r="DD207" i="17"/>
  <c r="CE207" i="17" s="1"/>
  <c r="DH207" i="17"/>
  <c r="CI207" i="17" s="1"/>
  <c r="DG207" i="17"/>
  <c r="CH207" i="17" s="1"/>
  <c r="DB207" i="17"/>
  <c r="CC207" i="17" s="1"/>
  <c r="DF207" i="17"/>
  <c r="CG207" i="17" s="1"/>
  <c r="DA207" i="17"/>
  <c r="CB207" i="17" s="1"/>
  <c r="DD200" i="17"/>
  <c r="CE200" i="17" s="1"/>
  <c r="DJ200" i="17"/>
  <c r="CK200" i="17" s="1"/>
  <c r="DE200" i="17"/>
  <c r="CF200" i="17" s="1"/>
  <c r="DI200" i="17"/>
  <c r="CJ200" i="17" s="1"/>
  <c r="DH200" i="17"/>
  <c r="CI200" i="17" s="1"/>
  <c r="DC200" i="17"/>
  <c r="CD200" i="17" s="1"/>
  <c r="DG200" i="17"/>
  <c r="CH200" i="17" s="1"/>
  <c r="DB200" i="17"/>
  <c r="CC200" i="17" s="1"/>
  <c r="DA200" i="17"/>
  <c r="CB200" i="17" s="1"/>
  <c r="DF200" i="17"/>
  <c r="CG200" i="17" s="1"/>
  <c r="DB183" i="17"/>
  <c r="CC183" i="17" s="1"/>
  <c r="DA183" i="17"/>
  <c r="CB183" i="17" s="1"/>
  <c r="DD183" i="17"/>
  <c r="CE183" i="17" s="1"/>
  <c r="DC183" i="17"/>
  <c r="CD183" i="17" s="1"/>
  <c r="DD181" i="17"/>
  <c r="CE181" i="17" s="1"/>
  <c r="DB181" i="17"/>
  <c r="CC181" i="17" s="1"/>
  <c r="DC181" i="17"/>
  <c r="CD181" i="17" s="1"/>
  <c r="DA181" i="17"/>
  <c r="CB181" i="17" s="1"/>
  <c r="DD199" i="17"/>
  <c r="CE199" i="17" s="1"/>
  <c r="DJ199" i="17"/>
  <c r="CK199" i="17" s="1"/>
  <c r="DB199" i="17"/>
  <c r="CC199" i="17" s="1"/>
  <c r="DA199" i="17"/>
  <c r="CB199" i="17" s="1"/>
  <c r="DH199" i="17"/>
  <c r="CI199" i="17" s="1"/>
  <c r="DI199" i="17"/>
  <c r="CJ199" i="17" s="1"/>
  <c r="DG199" i="17"/>
  <c r="CH199" i="17" s="1"/>
  <c r="DC199" i="17"/>
  <c r="CD199" i="17" s="1"/>
  <c r="DF199" i="17"/>
  <c r="CG199" i="17" s="1"/>
  <c r="DE199" i="17"/>
  <c r="CF199" i="17" s="1"/>
  <c r="DI209" i="17"/>
  <c r="CJ209" i="17" s="1"/>
  <c r="DH209" i="17"/>
  <c r="CI209" i="17" s="1"/>
  <c r="DG209" i="17"/>
  <c r="CH209" i="17" s="1"/>
  <c r="DE209" i="17"/>
  <c r="CF209" i="17" s="1"/>
  <c r="DJ209" i="17"/>
  <c r="CK209" i="17" s="1"/>
  <c r="DF209" i="17"/>
  <c r="CG209" i="17" s="1"/>
  <c r="DD209" i="17"/>
  <c r="CE209" i="17" s="1"/>
  <c r="DC209" i="17"/>
  <c r="CD209" i="17" s="1"/>
  <c r="DB209" i="17"/>
  <c r="CC209" i="17" s="1"/>
  <c r="DA209" i="17"/>
  <c r="CB209" i="17" s="1"/>
  <c r="DH205" i="17"/>
  <c r="CI205" i="17" s="1"/>
  <c r="DC205" i="17"/>
  <c r="CD205" i="17" s="1"/>
  <c r="DG205" i="17"/>
  <c r="CH205" i="17" s="1"/>
  <c r="DB205" i="17"/>
  <c r="CC205" i="17" s="1"/>
  <c r="DF205" i="17"/>
  <c r="CG205" i="17" s="1"/>
  <c r="DA205" i="17"/>
  <c r="CB205" i="17" s="1"/>
  <c r="DJ205" i="17"/>
  <c r="CK205" i="17" s="1"/>
  <c r="DE205" i="17"/>
  <c r="CF205" i="17" s="1"/>
  <c r="DI205" i="17"/>
  <c r="CJ205" i="17" s="1"/>
  <c r="DD205" i="17"/>
  <c r="CE205" i="17" s="1"/>
  <c r="DD147" i="17"/>
  <c r="CE147" i="17" s="1"/>
  <c r="DC147" i="17"/>
  <c r="CD147" i="17" s="1"/>
  <c r="DB147" i="17"/>
  <c r="CC147" i="17" s="1"/>
  <c r="DA147" i="17"/>
  <c r="CB147" i="17" s="1"/>
  <c r="DD146" i="17"/>
  <c r="CE146" i="17" s="1"/>
  <c r="DB146" i="17"/>
  <c r="CC146" i="17" s="1"/>
  <c r="DC146" i="17"/>
  <c r="CD146" i="17" s="1"/>
  <c r="DA146" i="17"/>
  <c r="CB146" i="17" s="1"/>
  <c r="DD145" i="17"/>
  <c r="CE145" i="17" s="1"/>
  <c r="DC145" i="17"/>
  <c r="CD145" i="17" s="1"/>
  <c r="DB145" i="17"/>
  <c r="CC145" i="17" s="1"/>
  <c r="DA145" i="17"/>
  <c r="CB145" i="17" s="1"/>
  <c r="DD144" i="17"/>
  <c r="CE144" i="17" s="1"/>
  <c r="DA144" i="17"/>
  <c r="CB144" i="17" s="1"/>
  <c r="AV144" i="17" s="1"/>
  <c r="DC144" i="17"/>
  <c r="CD144" i="17" s="1"/>
  <c r="DB144" i="17"/>
  <c r="CC144" i="17" s="1"/>
  <c r="DA143" i="17"/>
  <c r="CB143" i="17" s="1"/>
  <c r="DD143" i="17"/>
  <c r="CE143" i="17" s="1"/>
  <c r="DC143" i="17"/>
  <c r="CD143" i="17" s="1"/>
  <c r="DB143" i="17"/>
  <c r="CC143" i="17" s="1"/>
  <c r="D198" i="17"/>
  <c r="E198" i="17"/>
  <c r="C201" i="17"/>
  <c r="C208" i="17"/>
  <c r="C38" i="4"/>
  <c r="C37" i="4"/>
  <c r="C40" i="4"/>
  <c r="E160" i="17"/>
  <c r="E155" i="17"/>
  <c r="E184" i="17"/>
  <c r="E171" i="17"/>
  <c r="E185" i="17"/>
  <c r="E170" i="17"/>
  <c r="D164" i="17"/>
  <c r="E164" i="17"/>
  <c r="D165" i="17"/>
  <c r="E165" i="17"/>
  <c r="D166" i="17"/>
  <c r="E166" i="17"/>
  <c r="D163" i="17"/>
  <c r="E163" i="17"/>
  <c r="D167" i="17"/>
  <c r="E167" i="17"/>
  <c r="D157" i="17"/>
  <c r="E157" i="17"/>
  <c r="D162" i="17"/>
  <c r="E162" i="17"/>
  <c r="D161" i="17"/>
  <c r="E161" i="17"/>
  <c r="D169" i="17"/>
  <c r="E169" i="17"/>
  <c r="D175" i="17"/>
  <c r="E175" i="17"/>
  <c r="D168" i="17"/>
  <c r="E168" i="17"/>
  <c r="D172" i="17"/>
  <c r="E172" i="17"/>
  <c r="D173" i="17"/>
  <c r="E173" i="17"/>
  <c r="D149" i="17"/>
  <c r="E149" i="17"/>
  <c r="D148" i="17"/>
  <c r="E148" i="17"/>
  <c r="D176" i="17"/>
  <c r="E176" i="17"/>
  <c r="D150" i="17"/>
  <c r="E150" i="17"/>
  <c r="D177" i="17"/>
  <c r="E177" i="17"/>
  <c r="D151" i="17"/>
  <c r="E151" i="17"/>
  <c r="D178" i="17"/>
  <c r="E178" i="17"/>
  <c r="D179" i="17"/>
  <c r="E179" i="17"/>
  <c r="D152" i="17"/>
  <c r="E152" i="17"/>
  <c r="D153" i="17"/>
  <c r="E153" i="17"/>
  <c r="D160" i="17"/>
  <c r="D155" i="17"/>
  <c r="D184" i="17"/>
  <c r="D171" i="17"/>
  <c r="D185" i="17"/>
  <c r="D170" i="17"/>
  <c r="E141" i="17"/>
  <c r="D141" i="17"/>
  <c r="AV146" i="17" l="1"/>
  <c r="AJ209" i="17"/>
  <c r="AJ200" i="17"/>
  <c r="CD38" i="4"/>
  <c r="CB38" i="4"/>
  <c r="CL38" i="4"/>
  <c r="CC38" i="4"/>
  <c r="CK38" i="4"/>
  <c r="CJ38" i="4"/>
  <c r="CB37" i="4"/>
  <c r="CL37" i="4"/>
  <c r="CD37" i="4"/>
  <c r="CK37" i="4"/>
  <c r="CC37" i="4"/>
  <c r="CJ37" i="4"/>
  <c r="AV182" i="17"/>
  <c r="CK40" i="4"/>
  <c r="CC40" i="4"/>
  <c r="CJ40" i="4"/>
  <c r="CB40" i="4"/>
  <c r="CL40" i="4"/>
  <c r="CF40" i="4"/>
  <c r="CD40" i="4"/>
  <c r="AV145" i="17"/>
  <c r="AV181" i="17"/>
  <c r="AV183" i="17"/>
  <c r="AJ207" i="17"/>
  <c r="AV156" i="17"/>
  <c r="AJ206" i="17"/>
  <c r="AV143" i="17"/>
  <c r="AV147" i="17"/>
  <c r="AV159" i="17"/>
  <c r="AV154" i="17"/>
  <c r="AJ202" i="17"/>
  <c r="AJ203" i="17"/>
  <c r="AJ204" i="17"/>
  <c r="AJ199" i="17"/>
  <c r="AJ205" i="17"/>
  <c r="C198" i="17"/>
  <c r="C184" i="17"/>
  <c r="C141" i="17"/>
  <c r="C185" i="17"/>
  <c r="C161" i="17"/>
  <c r="C151" i="17"/>
  <c r="C155" i="17"/>
  <c r="C178" i="17"/>
  <c r="C153" i="17"/>
  <c r="C168" i="17"/>
  <c r="C148" i="17"/>
  <c r="C177" i="17"/>
  <c r="C172" i="17"/>
  <c r="C163" i="17"/>
  <c r="C164" i="17"/>
  <c r="C176" i="17"/>
  <c r="C175" i="17"/>
  <c r="C162" i="17"/>
  <c r="C169" i="17"/>
  <c r="C165" i="17"/>
  <c r="C152" i="17"/>
  <c r="C149" i="17"/>
  <c r="C157" i="17"/>
  <c r="C150" i="17"/>
  <c r="C170" i="17"/>
  <c r="C160" i="17"/>
  <c r="C179" i="17"/>
  <c r="C173" i="17"/>
  <c r="C167" i="17"/>
  <c r="C166" i="17"/>
  <c r="C171" i="17"/>
  <c r="DD152" i="17" l="1"/>
  <c r="CE152" i="17" s="1"/>
  <c r="DC152" i="17"/>
  <c r="CD152" i="17" s="1"/>
  <c r="DB152" i="17"/>
  <c r="CC152" i="17" s="1"/>
  <c r="DA152" i="17"/>
  <c r="CB152" i="17" s="1"/>
  <c r="DD160" i="17"/>
  <c r="CE160" i="17" s="1"/>
  <c r="DB160" i="17"/>
  <c r="CC160" i="17" s="1"/>
  <c r="DC160" i="17"/>
  <c r="CD160" i="17" s="1"/>
  <c r="DA160" i="17"/>
  <c r="CB160" i="17" s="1"/>
  <c r="DB165" i="17"/>
  <c r="CC165" i="17" s="1"/>
  <c r="DA165" i="17"/>
  <c r="CB165" i="17" s="1"/>
  <c r="DD165" i="17"/>
  <c r="CE165" i="17" s="1"/>
  <c r="DC165" i="17"/>
  <c r="CD165" i="17" s="1"/>
  <c r="DD163" i="17"/>
  <c r="CE163" i="17" s="1"/>
  <c r="DB163" i="17"/>
  <c r="CC163" i="17" s="1"/>
  <c r="DC163" i="17"/>
  <c r="CD163" i="17" s="1"/>
  <c r="DA163" i="17"/>
  <c r="CB163" i="17" s="1"/>
  <c r="DD178" i="17"/>
  <c r="CE178" i="17" s="1"/>
  <c r="DB178" i="17"/>
  <c r="CC178" i="17" s="1"/>
  <c r="DC178" i="17"/>
  <c r="CD178" i="17" s="1"/>
  <c r="DA178" i="17"/>
  <c r="CB178" i="17" s="1"/>
  <c r="DD184" i="17"/>
  <c r="CE184" i="17" s="1"/>
  <c r="DC184" i="17"/>
  <c r="CD184" i="17" s="1"/>
  <c r="DB184" i="17"/>
  <c r="CC184" i="17" s="1"/>
  <c r="DA184" i="17"/>
  <c r="CB184" i="17" s="1"/>
  <c r="DB171" i="17"/>
  <c r="CC171" i="17" s="1"/>
  <c r="DA171" i="17"/>
  <c r="CB171" i="17" s="1"/>
  <c r="DD171" i="17"/>
  <c r="CE171" i="17" s="1"/>
  <c r="DC171" i="17"/>
  <c r="CD171" i="17" s="1"/>
  <c r="DD170" i="17"/>
  <c r="CE170" i="17" s="1"/>
  <c r="DC170" i="17"/>
  <c r="CD170" i="17" s="1"/>
  <c r="DB170" i="17"/>
  <c r="CC170" i="17" s="1"/>
  <c r="DA170" i="17"/>
  <c r="CB170" i="17" s="1"/>
  <c r="DD169" i="17"/>
  <c r="CE169" i="17" s="1"/>
  <c r="DB169" i="17"/>
  <c r="CC169" i="17" s="1"/>
  <c r="DC169" i="17"/>
  <c r="CD169" i="17" s="1"/>
  <c r="DA169" i="17"/>
  <c r="CB169" i="17" s="1"/>
  <c r="DD172" i="17"/>
  <c r="CE172" i="17" s="1"/>
  <c r="DB172" i="17"/>
  <c r="CC172" i="17" s="1"/>
  <c r="DC172" i="17"/>
  <c r="CD172" i="17" s="1"/>
  <c r="DA172" i="17"/>
  <c r="CB172" i="17" s="1"/>
  <c r="DD155" i="17"/>
  <c r="CE155" i="17" s="1"/>
  <c r="DC155" i="17"/>
  <c r="CD155" i="17" s="1"/>
  <c r="DB155" i="17"/>
  <c r="CC155" i="17" s="1"/>
  <c r="DA155" i="17"/>
  <c r="CB155" i="17" s="1"/>
  <c r="DB150" i="17"/>
  <c r="CC150" i="17" s="1"/>
  <c r="DA150" i="17"/>
  <c r="CB150" i="17" s="1"/>
  <c r="DD150" i="17"/>
  <c r="CE150" i="17" s="1"/>
  <c r="DC150" i="17"/>
  <c r="CD150" i="17" s="1"/>
  <c r="DB162" i="17"/>
  <c r="CC162" i="17" s="1"/>
  <c r="DA162" i="17"/>
  <c r="CB162" i="17" s="1"/>
  <c r="DD162" i="17"/>
  <c r="CE162" i="17" s="1"/>
  <c r="DC162" i="17"/>
  <c r="CD162" i="17" s="1"/>
  <c r="DB177" i="17"/>
  <c r="CC177" i="17" s="1"/>
  <c r="DA177" i="17"/>
  <c r="CB177" i="17" s="1"/>
  <c r="AV177" i="17" s="1"/>
  <c r="DD177" i="17"/>
  <c r="CE177" i="17" s="1"/>
  <c r="DC177" i="17"/>
  <c r="CD177" i="17" s="1"/>
  <c r="DD151" i="17"/>
  <c r="CE151" i="17" s="1"/>
  <c r="DC151" i="17"/>
  <c r="CD151" i="17" s="1"/>
  <c r="DB151" i="17"/>
  <c r="CC151" i="17" s="1"/>
  <c r="DA151" i="17"/>
  <c r="CB151" i="17" s="1"/>
  <c r="DD157" i="17"/>
  <c r="CE157" i="17" s="1"/>
  <c r="DB157" i="17"/>
  <c r="CC157" i="17" s="1"/>
  <c r="DC157" i="17"/>
  <c r="CD157" i="17" s="1"/>
  <c r="DA157" i="17"/>
  <c r="CB157" i="17" s="1"/>
  <c r="DD161" i="17"/>
  <c r="CE161" i="17" s="1"/>
  <c r="DC161" i="17"/>
  <c r="CD161" i="17" s="1"/>
  <c r="DB161" i="17"/>
  <c r="CC161" i="17" s="1"/>
  <c r="DA161" i="17"/>
  <c r="CB161" i="17" s="1"/>
  <c r="DD179" i="17"/>
  <c r="CE179" i="17" s="1"/>
  <c r="DC179" i="17"/>
  <c r="CD179" i="17" s="1"/>
  <c r="DB179" i="17"/>
  <c r="CC179" i="17" s="1"/>
  <c r="DA179" i="17"/>
  <c r="CB179" i="17" s="1"/>
  <c r="DD164" i="17"/>
  <c r="CE164" i="17" s="1"/>
  <c r="DC164" i="17"/>
  <c r="CD164" i="17" s="1"/>
  <c r="DB164" i="17"/>
  <c r="CC164" i="17" s="1"/>
  <c r="DA164" i="17"/>
  <c r="CB164" i="17" s="1"/>
  <c r="DB153" i="17"/>
  <c r="CC153" i="17" s="1"/>
  <c r="DA153" i="17"/>
  <c r="CB153" i="17" s="1"/>
  <c r="AV153" i="17" s="1"/>
  <c r="DD153" i="17"/>
  <c r="CE153" i="17" s="1"/>
  <c r="DC153" i="17"/>
  <c r="CD153" i="17" s="1"/>
  <c r="DD166" i="17"/>
  <c r="CE166" i="17" s="1"/>
  <c r="DB166" i="17"/>
  <c r="CC166" i="17" s="1"/>
  <c r="DC166" i="17"/>
  <c r="CD166" i="17" s="1"/>
  <c r="DA166" i="17"/>
  <c r="CB166" i="17" s="1"/>
  <c r="DD167" i="17"/>
  <c r="CE167" i="17" s="1"/>
  <c r="DC167" i="17"/>
  <c r="CD167" i="17" s="1"/>
  <c r="DB167" i="17"/>
  <c r="CC167" i="17" s="1"/>
  <c r="DA167" i="17"/>
  <c r="CB167" i="17" s="1"/>
  <c r="DD175" i="17"/>
  <c r="CE175" i="17" s="1"/>
  <c r="DB175" i="17"/>
  <c r="CC175" i="17" s="1"/>
  <c r="DC175" i="17"/>
  <c r="CD175" i="17" s="1"/>
  <c r="DA175" i="17"/>
  <c r="CB175" i="17" s="1"/>
  <c r="DD173" i="17"/>
  <c r="CE173" i="17" s="1"/>
  <c r="DC173" i="17"/>
  <c r="CD173" i="17" s="1"/>
  <c r="DB173" i="17"/>
  <c r="CC173" i="17" s="1"/>
  <c r="DA173" i="17"/>
  <c r="CB173" i="17" s="1"/>
  <c r="DD176" i="17"/>
  <c r="CE176" i="17" s="1"/>
  <c r="DC176" i="17"/>
  <c r="CD176" i="17" s="1"/>
  <c r="DB176" i="17"/>
  <c r="CC176" i="17" s="1"/>
  <c r="DA176" i="17"/>
  <c r="CB176" i="17" s="1"/>
  <c r="DB168" i="17"/>
  <c r="CC168" i="17" s="1"/>
  <c r="DA168" i="17"/>
  <c r="CB168" i="17" s="1"/>
  <c r="AV168" i="17" s="1"/>
  <c r="DD168" i="17"/>
  <c r="CE168" i="17" s="1"/>
  <c r="DC168" i="17"/>
  <c r="CD168" i="17" s="1"/>
  <c r="DD185" i="17"/>
  <c r="CE185" i="17" s="1"/>
  <c r="DC185" i="17"/>
  <c r="CD185" i="17" s="1"/>
  <c r="DB185" i="17"/>
  <c r="CC185" i="17" s="1"/>
  <c r="DA185" i="17"/>
  <c r="CB185" i="17" s="1"/>
  <c r="DD149" i="17"/>
  <c r="CE149" i="17" s="1"/>
  <c r="DC149" i="17"/>
  <c r="CD149" i="17" s="1"/>
  <c r="DB149" i="17"/>
  <c r="CC149" i="17" s="1"/>
  <c r="DA149" i="17"/>
  <c r="CB149" i="17" s="1"/>
  <c r="DD148" i="17"/>
  <c r="CE148" i="17" s="1"/>
  <c r="DC148" i="17"/>
  <c r="CD148" i="17" s="1"/>
  <c r="DB148" i="17"/>
  <c r="CC148" i="17" s="1"/>
  <c r="DA148" i="17"/>
  <c r="CB148" i="17" s="1"/>
  <c r="DD141" i="17"/>
  <c r="CE141" i="17" s="1"/>
  <c r="DC141" i="17"/>
  <c r="CD141" i="17" s="1"/>
  <c r="DB141" i="17"/>
  <c r="CC141" i="17" s="1"/>
  <c r="DA141" i="17"/>
  <c r="CB141" i="17" s="1"/>
  <c r="F190" i="17"/>
  <c r="D190" i="17" s="1"/>
  <c r="E193" i="17"/>
  <c r="D193" i="17"/>
  <c r="E192" i="17"/>
  <c r="D192" i="17"/>
  <c r="E191" i="17"/>
  <c r="D191" i="17"/>
  <c r="E190" i="17"/>
  <c r="AV166" i="17" l="1"/>
  <c r="AV179" i="17"/>
  <c r="AV151" i="17"/>
  <c r="AV169" i="17"/>
  <c r="AV184" i="17"/>
  <c r="AV185" i="17"/>
  <c r="AV173" i="17"/>
  <c r="AV149" i="17"/>
  <c r="AV176" i="17"/>
  <c r="AV167" i="17"/>
  <c r="AV164" i="17"/>
  <c r="AV157" i="17"/>
  <c r="AV150" i="17"/>
  <c r="AV172" i="17"/>
  <c r="AV163" i="17"/>
  <c r="AV165" i="17"/>
  <c r="AV152" i="17"/>
  <c r="AV148" i="17"/>
  <c r="AV175" i="17"/>
  <c r="AV161" i="17"/>
  <c r="AV162" i="17"/>
  <c r="AV155" i="17"/>
  <c r="AV170" i="17"/>
  <c r="AV171" i="17"/>
  <c r="AV178" i="17"/>
  <c r="AV160" i="17"/>
  <c r="AV141" i="17"/>
  <c r="C191" i="17"/>
  <c r="DA191" i="17" s="1"/>
  <c r="CB191" i="17" s="1"/>
  <c r="C192" i="17"/>
  <c r="DD192" i="17" s="1"/>
  <c r="CE192" i="17" s="1"/>
  <c r="C190" i="17"/>
  <c r="C193" i="17"/>
  <c r="DB193" i="17" s="1"/>
  <c r="CC193" i="17" s="1"/>
  <c r="D49" i="17"/>
  <c r="P58" i="17"/>
  <c r="S63" i="17"/>
  <c r="P63" i="17"/>
  <c r="F72" i="17"/>
  <c r="F63" i="17"/>
  <c r="F58" i="17"/>
  <c r="F55" i="17"/>
  <c r="O51" i="17"/>
  <c r="N51" i="17"/>
  <c r="M51" i="17"/>
  <c r="L51" i="17"/>
  <c r="K51" i="17"/>
  <c r="J51" i="17"/>
  <c r="I51" i="17"/>
  <c r="H51" i="17"/>
  <c r="G51" i="17"/>
  <c r="F51" i="17"/>
  <c r="O48" i="17"/>
  <c r="N48" i="17"/>
  <c r="M48" i="17"/>
  <c r="L48" i="17"/>
  <c r="K48" i="17"/>
  <c r="J48" i="17"/>
  <c r="I48" i="17"/>
  <c r="H48" i="17"/>
  <c r="G48" i="17"/>
  <c r="F48" i="17"/>
  <c r="E69" i="17"/>
  <c r="E71" i="17"/>
  <c r="E73" i="17"/>
  <c r="E68" i="17"/>
  <c r="E67" i="17"/>
  <c r="E66" i="17"/>
  <c r="E65" i="17"/>
  <c r="E64" i="17"/>
  <c r="E62" i="17"/>
  <c r="E61" i="17"/>
  <c r="E60" i="17"/>
  <c r="E59" i="17"/>
  <c r="E57" i="17"/>
  <c r="E56" i="17"/>
  <c r="E54" i="17"/>
  <c r="E53" i="17"/>
  <c r="E52" i="17"/>
  <c r="E50" i="17"/>
  <c r="E49" i="17"/>
  <c r="E47" i="17"/>
  <c r="E46" i="17"/>
  <c r="E45" i="17"/>
  <c r="D73" i="17"/>
  <c r="D71" i="17"/>
  <c r="D69" i="17"/>
  <c r="D68" i="17"/>
  <c r="D67" i="17"/>
  <c r="D66" i="17"/>
  <c r="D65" i="17"/>
  <c r="D64" i="17"/>
  <c r="D62" i="17"/>
  <c r="D61" i="17"/>
  <c r="D60" i="17"/>
  <c r="D59" i="17"/>
  <c r="D57" i="17"/>
  <c r="D56" i="17"/>
  <c r="D54" i="17"/>
  <c r="D53" i="17"/>
  <c r="D50" i="17"/>
  <c r="E44" i="17"/>
  <c r="D47" i="17"/>
  <c r="D46" i="17"/>
  <c r="D45" i="17"/>
  <c r="D44" i="17"/>
  <c r="C100" i="17"/>
  <c r="C83" i="17"/>
  <c r="C99" i="17"/>
  <c r="C98" i="17"/>
  <c r="C97" i="17"/>
  <c r="C96" i="17"/>
  <c r="C95" i="17"/>
  <c r="C94" i="17"/>
  <c r="C93" i="17"/>
  <c r="C92" i="17"/>
  <c r="C91" i="17"/>
  <c r="C90" i="17"/>
  <c r="C89" i="17"/>
  <c r="C88" i="17"/>
  <c r="C87" i="17"/>
  <c r="C86" i="17"/>
  <c r="C85" i="17"/>
  <c r="C84" i="17"/>
  <c r="C82" i="17"/>
  <c r="C81" i="17"/>
  <c r="C80" i="17"/>
  <c r="C79" i="17"/>
  <c r="C78" i="17"/>
  <c r="C77" i="17"/>
  <c r="C104" i="17"/>
  <c r="D126" i="17"/>
  <c r="E126" i="17"/>
  <c r="D64" i="4"/>
  <c r="C36" i="2"/>
  <c r="C35" i="2"/>
  <c r="C34" i="2"/>
  <c r="C33" i="2"/>
  <c r="C32" i="2"/>
  <c r="C31" i="2"/>
  <c r="C30" i="2"/>
  <c r="C23" i="2"/>
  <c r="C22" i="2"/>
  <c r="C21" i="2"/>
  <c r="C18" i="2"/>
  <c r="C17" i="2"/>
  <c r="C16" i="2"/>
  <c r="C15" i="2"/>
  <c r="C14" i="2"/>
  <c r="C13" i="2"/>
  <c r="C12" i="2"/>
  <c r="DG80" i="17" l="1"/>
  <c r="CJ80" i="17"/>
  <c r="DJ80" i="17"/>
  <c r="DI80" i="17"/>
  <c r="DH80" i="17"/>
  <c r="CI80" i="17"/>
  <c r="CK80" i="17"/>
  <c r="CH80" i="17"/>
  <c r="DG87" i="17"/>
  <c r="CJ87" i="17"/>
  <c r="CI87" i="17"/>
  <c r="DJ87" i="17"/>
  <c r="DH87" i="17"/>
  <c r="CK87" i="17"/>
  <c r="CH87" i="17"/>
  <c r="DI87" i="17"/>
  <c r="DI93" i="17"/>
  <c r="DG93" i="17"/>
  <c r="DH93" i="17"/>
  <c r="CH93" i="17"/>
  <c r="CK93" i="17"/>
  <c r="DJ93" i="17"/>
  <c r="CJ93" i="17"/>
  <c r="CI93" i="17"/>
  <c r="CI99" i="17"/>
  <c r="DI99" i="17"/>
  <c r="CJ99" i="17"/>
  <c r="DJ99" i="17"/>
  <c r="CK99" i="17"/>
  <c r="DH99" i="17"/>
  <c r="CH99" i="17"/>
  <c r="DG99" i="17"/>
  <c r="DI73" i="17"/>
  <c r="DH73" i="17"/>
  <c r="CI90" i="17"/>
  <c r="DI90" i="17"/>
  <c r="CJ90" i="17"/>
  <c r="DJ90" i="17"/>
  <c r="CK90" i="17"/>
  <c r="DH90" i="17"/>
  <c r="CH90" i="17"/>
  <c r="H90" i="17" s="1"/>
  <c r="DG90" i="17"/>
  <c r="CJ44" i="17"/>
  <c r="CI44" i="17"/>
  <c r="DI78" i="17"/>
  <c r="DH78" i="17"/>
  <c r="CI78" i="17"/>
  <c r="DG78" i="17"/>
  <c r="CK78" i="17"/>
  <c r="DJ78" i="17"/>
  <c r="CJ78" i="17"/>
  <c r="CH78" i="17"/>
  <c r="CI79" i="17"/>
  <c r="DI79" i="17"/>
  <c r="CJ79" i="17"/>
  <c r="DJ79" i="17"/>
  <c r="CK79" i="17"/>
  <c r="DH79" i="17"/>
  <c r="CH79" i="17"/>
  <c r="H79" i="17" s="1"/>
  <c r="DG79" i="17"/>
  <c r="DG92" i="17"/>
  <c r="CJ92" i="17"/>
  <c r="DJ92" i="17"/>
  <c r="DI92" i="17"/>
  <c r="CK92" i="17"/>
  <c r="CH92" i="17"/>
  <c r="CI92" i="17"/>
  <c r="DH92" i="17"/>
  <c r="DI98" i="17"/>
  <c r="DG98" i="17"/>
  <c r="DH98" i="17"/>
  <c r="CI98" i="17"/>
  <c r="CK98" i="17"/>
  <c r="CH98" i="17"/>
  <c r="H98" i="17" s="1"/>
  <c r="CJ98" i="17"/>
  <c r="DJ98" i="17"/>
  <c r="DI81" i="17"/>
  <c r="DH81" i="17"/>
  <c r="CH81" i="17"/>
  <c r="DG81" i="17"/>
  <c r="CK81" i="17"/>
  <c r="CJ81" i="17"/>
  <c r="DJ81" i="17"/>
  <c r="CI81" i="17"/>
  <c r="DI88" i="17"/>
  <c r="DH88" i="17"/>
  <c r="CI88" i="17"/>
  <c r="DG88" i="17"/>
  <c r="CK88" i="17"/>
  <c r="CH88" i="17"/>
  <c r="DJ88" i="17"/>
  <c r="CJ88" i="17"/>
  <c r="CH94" i="17"/>
  <c r="CJ94" i="17"/>
  <c r="DJ94" i="17"/>
  <c r="CK94" i="17"/>
  <c r="DI94" i="17"/>
  <c r="DH94" i="17"/>
  <c r="CI94" i="17"/>
  <c r="DG94" i="17"/>
  <c r="DG104" i="17"/>
  <c r="CK104" i="17"/>
  <c r="DJ104" i="17"/>
  <c r="CI104" i="17"/>
  <c r="CJ104" i="17"/>
  <c r="CH104" i="17"/>
  <c r="DI104" i="17"/>
  <c r="DH104" i="17"/>
  <c r="CH82" i="17"/>
  <c r="DI82" i="17"/>
  <c r="CJ82" i="17"/>
  <c r="DJ82" i="17"/>
  <c r="CK82" i="17"/>
  <c r="DH82" i="17"/>
  <c r="CI82" i="17"/>
  <c r="DG82" i="17"/>
  <c r="DG95" i="17"/>
  <c r="CJ95" i="17"/>
  <c r="CI95" i="17"/>
  <c r="DJ95" i="17"/>
  <c r="CH95" i="17"/>
  <c r="DI95" i="17"/>
  <c r="CK95" i="17"/>
  <c r="DH95" i="17"/>
  <c r="DG100" i="17"/>
  <c r="CJ100" i="17"/>
  <c r="CH100" i="17"/>
  <c r="DJ100" i="17"/>
  <c r="DH100" i="17"/>
  <c r="CI100" i="17"/>
  <c r="CK100" i="17"/>
  <c r="DI100" i="17"/>
  <c r="CJ91" i="17"/>
  <c r="DJ91" i="17"/>
  <c r="CK91" i="17"/>
  <c r="CH91" i="17"/>
  <c r="DI91" i="17"/>
  <c r="CI91" i="17"/>
  <c r="DH91" i="17"/>
  <c r="DG91" i="17"/>
  <c r="DI89" i="17"/>
  <c r="CJ89" i="17"/>
  <c r="CI89" i="17"/>
  <c r="DH89" i="17"/>
  <c r="CH89" i="17"/>
  <c r="DG89" i="17"/>
  <c r="DJ89" i="17"/>
  <c r="CK89" i="17"/>
  <c r="DG86" i="17"/>
  <c r="CK86" i="17"/>
  <c r="CI86" i="17"/>
  <c r="CJ86" i="17"/>
  <c r="DI86" i="17"/>
  <c r="DJ86" i="17"/>
  <c r="CH86" i="17"/>
  <c r="H86" i="17" s="1"/>
  <c r="DH86" i="17"/>
  <c r="CH85" i="17"/>
  <c r="DG85" i="17"/>
  <c r="DJ85" i="17"/>
  <c r="CK85" i="17"/>
  <c r="DI85" i="17"/>
  <c r="CJ85" i="17"/>
  <c r="CI85" i="17"/>
  <c r="DH85" i="17"/>
  <c r="DJ84" i="17"/>
  <c r="CH84" i="17"/>
  <c r="DI84" i="17"/>
  <c r="DH84" i="17"/>
  <c r="CK84" i="17"/>
  <c r="DG84" i="17"/>
  <c r="CJ84" i="17"/>
  <c r="CI84" i="17"/>
  <c r="DG83" i="17"/>
  <c r="CK83" i="17"/>
  <c r="CH83" i="17"/>
  <c r="CJ83" i="17"/>
  <c r="CI83" i="17"/>
  <c r="DI83" i="17"/>
  <c r="DJ83" i="17"/>
  <c r="DH83" i="17"/>
  <c r="CH97" i="17"/>
  <c r="CK97" i="17"/>
  <c r="DJ97" i="17"/>
  <c r="DI97" i="17"/>
  <c r="CJ97" i="17"/>
  <c r="CI97" i="17"/>
  <c r="DH97" i="17"/>
  <c r="DG97" i="17"/>
  <c r="DJ96" i="17"/>
  <c r="DI96" i="17"/>
  <c r="DH96" i="17"/>
  <c r="CK96" i="17"/>
  <c r="DG96" i="17"/>
  <c r="CJ96" i="17"/>
  <c r="CH96" i="17"/>
  <c r="CI96" i="17"/>
  <c r="DG77" i="17"/>
  <c r="DJ77" i="17"/>
  <c r="DI77" i="17"/>
  <c r="DH77" i="17"/>
  <c r="CI77" i="17"/>
  <c r="CJ77" i="17"/>
  <c r="CK77" i="17"/>
  <c r="CH77" i="17"/>
  <c r="CJ73" i="17"/>
  <c r="CI73" i="17"/>
  <c r="C70" i="4"/>
  <c r="DB191" i="17"/>
  <c r="CC191" i="17" s="1"/>
  <c r="DC193" i="17"/>
  <c r="CD193" i="17" s="1"/>
  <c r="DB192" i="17"/>
  <c r="CC192" i="17" s="1"/>
  <c r="DA192" i="17"/>
  <c r="CB192" i="17" s="1"/>
  <c r="DC192" i="17"/>
  <c r="CD192" i="17" s="1"/>
  <c r="DC191" i="17"/>
  <c r="CD191" i="17" s="1"/>
  <c r="DD193" i="17"/>
  <c r="CE193" i="17" s="1"/>
  <c r="DD191" i="17"/>
  <c r="CE191" i="17" s="1"/>
  <c r="DA193" i="17"/>
  <c r="CB193" i="17" s="1"/>
  <c r="D51" i="17"/>
  <c r="C45" i="17"/>
  <c r="C44" i="17"/>
  <c r="E51" i="17"/>
  <c r="D48" i="17"/>
  <c r="C73" i="17"/>
  <c r="E48" i="17"/>
  <c r="C126" i="17"/>
  <c r="O104" i="17" l="1"/>
  <c r="CG44" i="17"/>
  <c r="CF44" i="17"/>
  <c r="H94" i="17"/>
  <c r="H78" i="17"/>
  <c r="H95" i="17"/>
  <c r="H93" i="17"/>
  <c r="H80" i="17"/>
  <c r="H87" i="17"/>
  <c r="H97" i="17"/>
  <c r="H100" i="17"/>
  <c r="H82" i="17"/>
  <c r="H81" i="17"/>
  <c r="DE73" i="17"/>
  <c r="DF73" i="17"/>
  <c r="H88" i="17"/>
  <c r="H92" i="17"/>
  <c r="H99" i="17"/>
  <c r="H96" i="17"/>
  <c r="H91" i="17"/>
  <c r="H89" i="17"/>
  <c r="H85" i="17"/>
  <c r="H84" i="17"/>
  <c r="H83" i="17"/>
  <c r="H77" i="17"/>
  <c r="CG73" i="17"/>
  <c r="CF73" i="17"/>
  <c r="AV192" i="17"/>
  <c r="AV193" i="17"/>
  <c r="AV191" i="17"/>
  <c r="D21" i="5"/>
  <c r="D20" i="5"/>
  <c r="E38" i="5"/>
  <c r="E36" i="5"/>
  <c r="F12" i="16"/>
  <c r="L20" i="16"/>
  <c r="L17" i="16"/>
  <c r="L12" i="16"/>
  <c r="I12" i="16"/>
  <c r="G40" i="16"/>
  <c r="F15" i="6"/>
  <c r="F21" i="6" s="1"/>
  <c r="F38" i="6"/>
  <c r="E48" i="6"/>
  <c r="B25" i="18"/>
  <c r="B13" i="18"/>
  <c r="E101" i="7"/>
  <c r="E97" i="7"/>
  <c r="E91" i="7"/>
  <c r="E90" i="7"/>
  <c r="E86" i="7"/>
  <c r="E85" i="7"/>
  <c r="E81" i="7"/>
  <c r="E76" i="7"/>
  <c r="E75" i="7"/>
  <c r="E70" i="7"/>
  <c r="D101" i="7"/>
  <c r="D91" i="7"/>
  <c r="D90" i="7"/>
  <c r="D85" i="7"/>
  <c r="D86" i="7"/>
  <c r="D76" i="7"/>
  <c r="D75" i="7"/>
  <c r="D70" i="7"/>
  <c r="CV86" i="7" l="1"/>
  <c r="DT86" i="7"/>
  <c r="DD91" i="7"/>
  <c r="CG91" i="7"/>
  <c r="CE91" i="7"/>
  <c r="DF91" i="7"/>
  <c r="DF97" i="7"/>
  <c r="CG97" i="7"/>
  <c r="DD97" i="7"/>
  <c r="CE97" i="7"/>
  <c r="DA97" i="7"/>
  <c r="CC97" i="7"/>
  <c r="CB97" i="7"/>
  <c r="DB97" i="7"/>
  <c r="DF75" i="7"/>
  <c r="CG75" i="7"/>
  <c r="DB75" i="7"/>
  <c r="CC75" i="7"/>
  <c r="DA75" i="7"/>
  <c r="CB75" i="7"/>
  <c r="CE75" i="7"/>
  <c r="DD75" i="7"/>
  <c r="CV85" i="7"/>
  <c r="DT85" i="7"/>
  <c r="DF76" i="7"/>
  <c r="CG76" i="7"/>
  <c r="DB76" i="7"/>
  <c r="CC76" i="7"/>
  <c r="DA76" i="7"/>
  <c r="CB76" i="7"/>
  <c r="DD76" i="7"/>
  <c r="CE76" i="7"/>
  <c r="CV90" i="7"/>
  <c r="CD90" i="7"/>
  <c r="DO90" i="7"/>
  <c r="DC90" i="7"/>
  <c r="DP90" i="7"/>
  <c r="CR90" i="7"/>
  <c r="CQ90" i="7"/>
  <c r="CF90" i="7"/>
  <c r="DT90" i="7"/>
  <c r="DE90" i="7"/>
  <c r="DP81" i="7"/>
  <c r="DO81" i="7"/>
  <c r="DF81" i="7"/>
  <c r="DT81" i="7"/>
  <c r="CR81" i="7"/>
  <c r="CE81" i="7"/>
  <c r="CQ81" i="7"/>
  <c r="CC81" i="7"/>
  <c r="DD81" i="7"/>
  <c r="DB81" i="7"/>
  <c r="CG81" i="7"/>
  <c r="DM81" i="7"/>
  <c r="CV81" i="7"/>
  <c r="DT75" i="7"/>
  <c r="CV75" i="7"/>
  <c r="DE75" i="7"/>
  <c r="CF75" i="7"/>
  <c r="CQ75" i="7"/>
  <c r="DP75" i="7"/>
  <c r="DC75" i="7"/>
  <c r="CR75" i="7"/>
  <c r="DO75" i="7"/>
  <c r="CD75" i="7"/>
  <c r="DT101" i="7"/>
  <c r="CV101" i="7"/>
  <c r="DT70" i="7"/>
  <c r="CV70" i="7"/>
  <c r="DE70" i="7"/>
  <c r="CF70" i="7"/>
  <c r="DC70" i="7"/>
  <c r="CR70" i="7"/>
  <c r="DP70" i="7"/>
  <c r="CD70" i="7"/>
  <c r="CQ70" i="7"/>
  <c r="DO70" i="7"/>
  <c r="DT91" i="7"/>
  <c r="CR91" i="7"/>
  <c r="DC91" i="7"/>
  <c r="CQ91" i="7"/>
  <c r="CF91" i="7"/>
  <c r="DP91" i="7"/>
  <c r="DO91" i="7"/>
  <c r="DE91" i="7"/>
  <c r="CV91" i="7"/>
  <c r="CD91" i="7"/>
  <c r="DT76" i="7"/>
  <c r="CV76" i="7"/>
  <c r="DE76" i="7"/>
  <c r="CF76" i="7"/>
  <c r="DO76" i="7"/>
  <c r="CD76" i="7"/>
  <c r="DP76" i="7"/>
  <c r="DC76" i="7"/>
  <c r="CR76" i="7"/>
  <c r="CQ76" i="7"/>
  <c r="DF70" i="7"/>
  <c r="CG70" i="7"/>
  <c r="DB70" i="7"/>
  <c r="CC70" i="7"/>
  <c r="DA70" i="7"/>
  <c r="CB70" i="7"/>
  <c r="DD70" i="7"/>
  <c r="CE70" i="7"/>
  <c r="CE90" i="7"/>
  <c r="CG90" i="7"/>
  <c r="DF90" i="7"/>
  <c r="DD90" i="7"/>
  <c r="CD48" i="6"/>
  <c r="CM48" i="6"/>
  <c r="CF48" i="6"/>
  <c r="CK48" i="6"/>
  <c r="CO48" i="6"/>
  <c r="CG48" i="6"/>
  <c r="CN48" i="6"/>
  <c r="CH48" i="6"/>
  <c r="BU25" i="18"/>
  <c r="BF25" i="18" s="1"/>
  <c r="BT25" i="18"/>
  <c r="BE25" i="18" s="1"/>
  <c r="BS13" i="18"/>
  <c r="BD13" i="18" s="1"/>
  <c r="BR13" i="18"/>
  <c r="BC13" i="18" s="1"/>
  <c r="BQ13" i="18"/>
  <c r="BB13" i="18" s="1"/>
  <c r="BP13" i="18"/>
  <c r="T73" i="17"/>
  <c r="C85" i="7"/>
  <c r="C101" i="7"/>
  <c r="C86" i="7"/>
  <c r="C91" i="7"/>
  <c r="E44" i="7"/>
  <c r="E35" i="7"/>
  <c r="E34" i="7"/>
  <c r="E33" i="7"/>
  <c r="E29" i="7"/>
  <c r="E28" i="7"/>
  <c r="E24" i="7"/>
  <c r="D19" i="7"/>
  <c r="D18" i="7"/>
  <c r="E19" i="7"/>
  <c r="E18" i="7"/>
  <c r="E13" i="7"/>
  <c r="D44" i="7"/>
  <c r="D34" i="7"/>
  <c r="D33" i="7"/>
  <c r="D29" i="7"/>
  <c r="D28" i="7"/>
  <c r="D13" i="7"/>
  <c r="E59" i="7"/>
  <c r="E60" i="7"/>
  <c r="D60" i="7"/>
  <c r="D59" i="7"/>
  <c r="E65" i="7"/>
  <c r="D65" i="7"/>
  <c r="E116" i="7"/>
  <c r="D116" i="7"/>
  <c r="D49" i="16"/>
  <c r="D48" i="16"/>
  <c r="F49" i="16"/>
  <c r="E66" i="16"/>
  <c r="E65" i="16"/>
  <c r="E64" i="16"/>
  <c r="E63" i="16"/>
  <c r="E62" i="16"/>
  <c r="E60" i="16"/>
  <c r="E59" i="16"/>
  <c r="E57" i="16"/>
  <c r="D65" i="16"/>
  <c r="D66" i="16"/>
  <c r="D64" i="16"/>
  <c r="D63" i="16"/>
  <c r="D62" i="16"/>
  <c r="D60" i="16"/>
  <c r="D59" i="16"/>
  <c r="D58" i="16"/>
  <c r="O66" i="16"/>
  <c r="O65" i="16"/>
  <c r="O64" i="16"/>
  <c r="O63" i="16"/>
  <c r="O62" i="16"/>
  <c r="O60" i="16"/>
  <c r="O59" i="16"/>
  <c r="O58" i="16"/>
  <c r="O57" i="16"/>
  <c r="L66" i="16"/>
  <c r="L65" i="16"/>
  <c r="L64" i="16"/>
  <c r="L63" i="16"/>
  <c r="L62" i="16"/>
  <c r="L60" i="16"/>
  <c r="L59" i="16"/>
  <c r="L58" i="16"/>
  <c r="L57" i="16"/>
  <c r="I66" i="16"/>
  <c r="I65" i="16"/>
  <c r="I64" i="16"/>
  <c r="I63" i="16"/>
  <c r="I62" i="16"/>
  <c r="I60" i="16"/>
  <c r="I59" i="16"/>
  <c r="I58" i="16"/>
  <c r="I57" i="16"/>
  <c r="F66" i="16"/>
  <c r="F65" i="16"/>
  <c r="F64" i="16"/>
  <c r="F63" i="16"/>
  <c r="F62" i="16"/>
  <c r="F60" i="16"/>
  <c r="F59" i="16"/>
  <c r="F58" i="16"/>
  <c r="F57" i="16"/>
  <c r="K40" i="16"/>
  <c r="J40" i="16"/>
  <c r="M40" i="16"/>
  <c r="N40" i="16"/>
  <c r="Q40" i="16"/>
  <c r="P40" i="16"/>
  <c r="D19" i="6"/>
  <c r="D16" i="6"/>
  <c r="E19" i="6"/>
  <c r="E18" i="6"/>
  <c r="E17" i="6"/>
  <c r="E16" i="6"/>
  <c r="D18" i="6"/>
  <c r="D17" i="6"/>
  <c r="E14" i="6"/>
  <c r="E13" i="6"/>
  <c r="D14" i="6"/>
  <c r="D13" i="6"/>
  <c r="E37" i="6"/>
  <c r="E36" i="6"/>
  <c r="E35" i="6"/>
  <c r="D37" i="6"/>
  <c r="D36" i="6"/>
  <c r="D35" i="6"/>
  <c r="E57" i="6"/>
  <c r="E56" i="6"/>
  <c r="E55" i="6"/>
  <c r="E54" i="6"/>
  <c r="E52" i="4"/>
  <c r="D71" i="4"/>
  <c r="E13" i="5"/>
  <c r="D13" i="5"/>
  <c r="E34" i="5"/>
  <c r="C34" i="5" s="1"/>
  <c r="C59" i="4"/>
  <c r="D60" i="4"/>
  <c r="E80" i="5"/>
  <c r="D80" i="5"/>
  <c r="E69" i="5"/>
  <c r="D69" i="5"/>
  <c r="E74" i="5"/>
  <c r="D74" i="5"/>
  <c r="AK12" i="5"/>
  <c r="E54" i="4"/>
  <c r="E34" i="4"/>
  <c r="D22" i="4"/>
  <c r="D21" i="4"/>
  <c r="E19" i="4"/>
  <c r="D19" i="4"/>
  <c r="E17" i="4"/>
  <c r="D17" i="4"/>
  <c r="E16" i="4"/>
  <c r="D16" i="4"/>
  <c r="D13" i="4"/>
  <c r="CC19" i="2"/>
  <c r="CB19" i="2"/>
  <c r="CE19" i="2"/>
  <c r="CF19" i="2"/>
  <c r="CG19" i="2"/>
  <c r="DB19" i="2"/>
  <c r="DC19" i="2"/>
  <c r="DD19" i="2"/>
  <c r="DE19" i="2"/>
  <c r="DF19" i="2"/>
  <c r="DG19" i="2"/>
  <c r="CE34" i="4" l="1"/>
  <c r="CM34" i="4"/>
  <c r="DA18" i="7"/>
  <c r="CE18" i="7"/>
  <c r="DF18" i="7"/>
  <c r="CG18" i="7"/>
  <c r="DD18" i="7"/>
  <c r="CB18" i="7"/>
  <c r="CC18" i="7"/>
  <c r="DB18" i="7"/>
  <c r="DQ33" i="7"/>
  <c r="CR33" i="7"/>
  <c r="DP33" i="7"/>
  <c r="CQ33" i="7"/>
  <c r="CF33" i="7"/>
  <c r="DE33" i="7"/>
  <c r="CS33" i="7"/>
  <c r="DO33" i="7"/>
  <c r="DC33" i="7"/>
  <c r="CD33" i="7"/>
  <c r="CE34" i="7"/>
  <c r="DF34" i="7"/>
  <c r="DD34" i="7"/>
  <c r="CG34" i="7"/>
  <c r="DC34" i="7"/>
  <c r="CS34" i="7"/>
  <c r="DO34" i="7"/>
  <c r="CR34" i="7"/>
  <c r="CQ34" i="7"/>
  <c r="CD34" i="7"/>
  <c r="DE34" i="7"/>
  <c r="DQ34" i="7"/>
  <c r="DP34" i="7"/>
  <c r="CF34" i="7"/>
  <c r="DO19" i="7"/>
  <c r="CS19" i="7"/>
  <c r="CD19" i="7"/>
  <c r="DQ19" i="7"/>
  <c r="DE19" i="7"/>
  <c r="DP19" i="7"/>
  <c r="CR19" i="7"/>
  <c r="CQ19" i="7"/>
  <c r="DC19" i="7"/>
  <c r="CF19" i="7"/>
  <c r="CC35" i="7"/>
  <c r="DD35" i="7"/>
  <c r="CB35" i="7"/>
  <c r="DA35" i="7"/>
  <c r="CG35" i="7"/>
  <c r="DF35" i="7"/>
  <c r="DB35" i="7"/>
  <c r="CE35" i="7"/>
  <c r="DF65" i="7"/>
  <c r="CG65" i="7"/>
  <c r="DQ86" i="7"/>
  <c r="CS86" i="7"/>
  <c r="DJ86" i="7"/>
  <c r="DR86" i="7"/>
  <c r="CI86" i="7"/>
  <c r="DH86" i="7"/>
  <c r="CH86" i="7"/>
  <c r="DG86" i="7"/>
  <c r="CT86" i="7"/>
  <c r="CK86" i="7"/>
  <c r="DA19" i="7"/>
  <c r="CE19" i="7"/>
  <c r="DF19" i="7"/>
  <c r="CC19" i="7"/>
  <c r="DD19" i="7"/>
  <c r="CB19" i="7"/>
  <c r="DB19" i="7"/>
  <c r="CG19" i="7"/>
  <c r="DH101" i="7"/>
  <c r="CI101" i="7"/>
  <c r="DG101" i="7"/>
  <c r="CK101" i="7"/>
  <c r="DR101" i="7"/>
  <c r="CH101" i="7"/>
  <c r="CT101" i="7"/>
  <c r="CS101" i="7"/>
  <c r="DQ101" i="7"/>
  <c r="DJ101" i="7"/>
  <c r="CM21" i="4"/>
  <c r="CE21" i="4"/>
  <c r="CS44" i="7"/>
  <c r="DQ44" i="7"/>
  <c r="DQ24" i="7"/>
  <c r="CR24" i="7"/>
  <c r="DP24" i="7"/>
  <c r="CQ24" i="7"/>
  <c r="CG24" i="7"/>
  <c r="DF24" i="7"/>
  <c r="DD24" i="7"/>
  <c r="CS24" i="7"/>
  <c r="DO24" i="7"/>
  <c r="DB24" i="7"/>
  <c r="CE24" i="7"/>
  <c r="CC24" i="7"/>
  <c r="DQ29" i="7"/>
  <c r="CS29" i="7"/>
  <c r="CG33" i="7"/>
  <c r="DF33" i="7"/>
  <c r="DD33" i="7"/>
  <c r="CE33" i="7"/>
  <c r="CE19" i="4"/>
  <c r="CM19" i="4"/>
  <c r="DO18" i="7"/>
  <c r="CS18" i="7"/>
  <c r="CD18" i="7"/>
  <c r="CR18" i="7"/>
  <c r="CQ18" i="7"/>
  <c r="CF18" i="7"/>
  <c r="DC18" i="7"/>
  <c r="DQ18" i="7"/>
  <c r="DE18" i="7"/>
  <c r="DP18" i="7"/>
  <c r="DH85" i="7"/>
  <c r="CI85" i="7"/>
  <c r="DG85" i="7"/>
  <c r="CH85" i="7"/>
  <c r="DQ85" i="7"/>
  <c r="DJ85" i="7"/>
  <c r="CT85" i="7"/>
  <c r="DR85" i="7"/>
  <c r="CS85" i="7"/>
  <c r="CK85" i="7"/>
  <c r="CE16" i="4"/>
  <c r="CM16" i="4"/>
  <c r="DP65" i="7"/>
  <c r="CR65" i="7"/>
  <c r="DE65" i="7"/>
  <c r="CF65" i="7"/>
  <c r="DO13" i="7"/>
  <c r="CS13" i="7"/>
  <c r="CD13" i="7"/>
  <c r="DC13" i="7"/>
  <c r="DQ13" i="7"/>
  <c r="CF13" i="7"/>
  <c r="CR13" i="7"/>
  <c r="CQ13" i="7"/>
  <c r="DE13" i="7"/>
  <c r="DP13" i="7"/>
  <c r="DA13" i="7"/>
  <c r="CE13" i="7"/>
  <c r="DF13" i="7"/>
  <c r="DB13" i="7"/>
  <c r="CG13" i="7"/>
  <c r="CC13" i="7"/>
  <c r="DD13" i="7"/>
  <c r="CB13" i="7"/>
  <c r="DJ91" i="7"/>
  <c r="DS91" i="7"/>
  <c r="DI91" i="7"/>
  <c r="CU91" i="7"/>
  <c r="CH91" i="7"/>
  <c r="DH91" i="7"/>
  <c r="CT91" i="7"/>
  <c r="DR91" i="7"/>
  <c r="CS91" i="7"/>
  <c r="DQ91" i="7"/>
  <c r="CK91" i="7"/>
  <c r="DG91" i="7"/>
  <c r="CJ91" i="7"/>
  <c r="CI91" i="7"/>
  <c r="CM17" i="4"/>
  <c r="CE17" i="4"/>
  <c r="DQ28" i="7"/>
  <c r="CS28" i="7"/>
  <c r="CO69" i="5"/>
  <c r="BG69" i="5"/>
  <c r="BE69" i="5"/>
  <c r="CQ69" i="5"/>
  <c r="CV77" i="5"/>
  <c r="CP80" i="5"/>
  <c r="BJ80" i="5"/>
  <c r="BF80" i="5"/>
  <c r="CW77" i="5"/>
  <c r="BD80" i="5"/>
  <c r="CN80" i="5"/>
  <c r="BK80" i="5"/>
  <c r="AX64" i="16"/>
  <c r="AM64" i="16"/>
  <c r="AN64" i="16"/>
  <c r="AY64" i="16"/>
  <c r="CO80" i="5"/>
  <c r="BE80" i="5"/>
  <c r="BG80" i="5"/>
  <c r="CQ80" i="5"/>
  <c r="AN66" i="16"/>
  <c r="AM66" i="16"/>
  <c r="BK74" i="5"/>
  <c r="CW71" i="5"/>
  <c r="CP74" i="5"/>
  <c r="BF74" i="5"/>
  <c r="CN74" i="5"/>
  <c r="BJ74" i="5"/>
  <c r="BD74" i="5"/>
  <c r="CV71" i="5"/>
  <c r="CG36" i="6"/>
  <c r="CO36" i="6"/>
  <c r="CH36" i="6"/>
  <c r="CN36" i="6"/>
  <c r="AN65" i="16"/>
  <c r="AX65" i="16"/>
  <c r="AM65" i="16"/>
  <c r="AY65" i="16"/>
  <c r="BE74" i="5"/>
  <c r="CQ74" i="5"/>
  <c r="CO74" i="5"/>
  <c r="BG74" i="5"/>
  <c r="CM54" i="6"/>
  <c r="CF54" i="6"/>
  <c r="CK54" i="6"/>
  <c r="CD54" i="6"/>
  <c r="CO54" i="6"/>
  <c r="CH54" i="6"/>
  <c r="CN54" i="6"/>
  <c r="CG54" i="6"/>
  <c r="CH37" i="6"/>
  <c r="CG37" i="6"/>
  <c r="CN37" i="6"/>
  <c r="CO37" i="6"/>
  <c r="AY60" i="16"/>
  <c r="AX60" i="16"/>
  <c r="AN60" i="16"/>
  <c r="AM60" i="16"/>
  <c r="BA13" i="18"/>
  <c r="S13" i="18" s="1"/>
  <c r="CM56" i="6"/>
  <c r="CF56" i="6"/>
  <c r="CK56" i="6"/>
  <c r="CD56" i="6"/>
  <c r="CO56" i="6"/>
  <c r="CH56" i="6"/>
  <c r="CN56" i="6"/>
  <c r="CG56" i="6"/>
  <c r="AN63" i="16"/>
  <c r="AM63" i="16"/>
  <c r="CM57" i="6"/>
  <c r="CF57" i="6"/>
  <c r="CK57" i="6"/>
  <c r="CD57" i="6"/>
  <c r="CG57" i="6"/>
  <c r="CO57" i="6"/>
  <c r="CH57" i="6"/>
  <c r="CN57" i="6"/>
  <c r="CV66" i="5"/>
  <c r="BD69" i="5"/>
  <c r="CW66" i="5"/>
  <c r="CP69" i="5"/>
  <c r="BJ69" i="5"/>
  <c r="BF69" i="5"/>
  <c r="CN69" i="5"/>
  <c r="BK69" i="5"/>
  <c r="AY62" i="16"/>
  <c r="AN62" i="16"/>
  <c r="AX62" i="16"/>
  <c r="AM62" i="16"/>
  <c r="AK62" i="16"/>
  <c r="AV62" i="16"/>
  <c r="AY59" i="16"/>
  <c r="AX59" i="16"/>
  <c r="AN59" i="16"/>
  <c r="AM59" i="16"/>
  <c r="AY57" i="16"/>
  <c r="AX57" i="16"/>
  <c r="AN57" i="16"/>
  <c r="AM57" i="16"/>
  <c r="CM55" i="6"/>
  <c r="CH55" i="6"/>
  <c r="CG55" i="6"/>
  <c r="CK55" i="6"/>
  <c r="CD55" i="6"/>
  <c r="CN55" i="6"/>
  <c r="CF55" i="6"/>
  <c r="CO55" i="6"/>
  <c r="CN35" i="6"/>
  <c r="CO35" i="6"/>
  <c r="CH35" i="6"/>
  <c r="CG35" i="6"/>
  <c r="C65" i="16"/>
  <c r="AW65" i="16" s="1"/>
  <c r="C44" i="7"/>
  <c r="C57" i="16"/>
  <c r="C28" i="7"/>
  <c r="C80" i="5"/>
  <c r="C51" i="4"/>
  <c r="C29" i="7"/>
  <c r="C59" i="16"/>
  <c r="C64" i="16"/>
  <c r="AK64" i="16" s="1"/>
  <c r="C66" i="16"/>
  <c r="AK66" i="16" s="1"/>
  <c r="C13" i="7"/>
  <c r="C62" i="16"/>
  <c r="C74" i="5"/>
  <c r="C68" i="5"/>
  <c r="C58" i="16"/>
  <c r="C60" i="16"/>
  <c r="C63" i="16"/>
  <c r="AL63" i="16" s="1"/>
  <c r="CD19" i="2"/>
  <c r="T19" i="2" s="1"/>
  <c r="S38" i="6"/>
  <c r="R38" i="6"/>
  <c r="Q38" i="6"/>
  <c r="P38" i="6"/>
  <c r="M38" i="6"/>
  <c r="L38" i="6"/>
  <c r="K38" i="6"/>
  <c r="J38" i="6"/>
  <c r="W29" i="6"/>
  <c r="V29" i="6"/>
  <c r="U29" i="6"/>
  <c r="T29" i="6"/>
  <c r="S29" i="6"/>
  <c r="R29" i="6"/>
  <c r="Q29" i="6"/>
  <c r="P29" i="6"/>
  <c r="S20" i="6"/>
  <c r="R20" i="6"/>
  <c r="S15" i="6"/>
  <c r="R15" i="6"/>
  <c r="Q20" i="6"/>
  <c r="P20" i="6"/>
  <c r="Q15" i="6"/>
  <c r="P15" i="6"/>
  <c r="M20" i="6"/>
  <c r="L20" i="6"/>
  <c r="M15" i="6"/>
  <c r="L15" i="6"/>
  <c r="O20" i="6"/>
  <c r="N20" i="6"/>
  <c r="O15" i="6"/>
  <c r="N15" i="6"/>
  <c r="AA20" i="6"/>
  <c r="Z20" i="6"/>
  <c r="AA15" i="6"/>
  <c r="AA21" i="6" s="1"/>
  <c r="Z15" i="6"/>
  <c r="DG13" i="7" l="1"/>
  <c r="CN13" i="7"/>
  <c r="DN13" i="7"/>
  <c r="CK13" i="7"/>
  <c r="DM13" i="7"/>
  <c r="CI13" i="7"/>
  <c r="CP13" i="7"/>
  <c r="CO13" i="7"/>
  <c r="DL13" i="7"/>
  <c r="CH13" i="7"/>
  <c r="DJ13" i="7"/>
  <c r="DH13" i="7"/>
  <c r="DJ28" i="7"/>
  <c r="CK28" i="7"/>
  <c r="CI28" i="7"/>
  <c r="DH28" i="7"/>
  <c r="CK44" i="7"/>
  <c r="CI44" i="7"/>
  <c r="AY44" i="7" s="1"/>
  <c r="DJ44" i="7"/>
  <c r="DH44" i="7"/>
  <c r="DJ29" i="7"/>
  <c r="DH29" i="7"/>
  <c r="CK29" i="7"/>
  <c r="CI29" i="7"/>
  <c r="AL80" i="5"/>
  <c r="AB56" i="6"/>
  <c r="AL62" i="16"/>
  <c r="AW62" i="16"/>
  <c r="AV64" i="16"/>
  <c r="AY86" i="7"/>
  <c r="AB57" i="6"/>
  <c r="AK63" i="16"/>
  <c r="AL74" i="5"/>
  <c r="AL60" i="16"/>
  <c r="AW60" i="16"/>
  <c r="AY28" i="7"/>
  <c r="AV60" i="16"/>
  <c r="AL66" i="16"/>
  <c r="AV65" i="16"/>
  <c r="AK65" i="16"/>
  <c r="AY101" i="7"/>
  <c r="AW64" i="16"/>
  <c r="AL64" i="16"/>
  <c r="AK60" i="16"/>
  <c r="AL65" i="16"/>
  <c r="AB54" i="6"/>
  <c r="AY85" i="7"/>
  <c r="AK59" i="16"/>
  <c r="AW59" i="16"/>
  <c r="AV59" i="16"/>
  <c r="AL59" i="16"/>
  <c r="AK57" i="16"/>
  <c r="AW57" i="16"/>
  <c r="AV57" i="16"/>
  <c r="AL57" i="16"/>
  <c r="R65" i="7"/>
  <c r="Q21" i="6"/>
  <c r="L21" i="6"/>
  <c r="M21" i="6"/>
  <c r="N21" i="6"/>
  <c r="R21" i="6"/>
  <c r="O21" i="6"/>
  <c r="S21" i="6"/>
  <c r="Z21" i="6"/>
  <c r="P21" i="6"/>
  <c r="AY29" i="7" l="1"/>
  <c r="M72" i="17"/>
  <c r="L72" i="17"/>
  <c r="CE44" i="17" s="1"/>
  <c r="M70" i="17"/>
  <c r="L70" i="17"/>
  <c r="M63" i="17"/>
  <c r="L63" i="17"/>
  <c r="M58" i="17"/>
  <c r="L58" i="17"/>
  <c r="M55" i="17"/>
  <c r="L55" i="17"/>
  <c r="K72" i="17"/>
  <c r="J72" i="17"/>
  <c r="CD44" i="17" s="1"/>
  <c r="K70" i="17"/>
  <c r="J70" i="17"/>
  <c r="K63" i="17"/>
  <c r="J63" i="17"/>
  <c r="K58" i="17"/>
  <c r="J58" i="17"/>
  <c r="K55" i="17"/>
  <c r="J55" i="17"/>
  <c r="I72" i="17"/>
  <c r="H72" i="17"/>
  <c r="CC44" i="17" s="1"/>
  <c r="I70" i="17"/>
  <c r="H70" i="17"/>
  <c r="I63" i="17"/>
  <c r="H63" i="17"/>
  <c r="I58" i="17"/>
  <c r="H58" i="17"/>
  <c r="I55" i="17"/>
  <c r="H55" i="17"/>
  <c r="E71" i="5" l="1"/>
  <c r="D71" i="5"/>
  <c r="E67" i="5"/>
  <c r="D67" i="5"/>
  <c r="E58" i="5"/>
  <c r="D58" i="5"/>
  <c r="E50" i="5"/>
  <c r="D50" i="5"/>
  <c r="E42" i="5"/>
  <c r="CO41" i="5" s="1"/>
  <c r="D42" i="5"/>
  <c r="CN41" i="5" s="1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CV55" i="5" l="1"/>
  <c r="BK58" i="5"/>
  <c r="CN58" i="5"/>
  <c r="BF58" i="5"/>
  <c r="BJ58" i="5"/>
  <c r="BD58" i="5"/>
  <c r="CP58" i="5"/>
  <c r="CW55" i="5"/>
  <c r="CQ58" i="5"/>
  <c r="CO58" i="5"/>
  <c r="BG58" i="5"/>
  <c r="BE58" i="5"/>
  <c r="CV64" i="5"/>
  <c r="BK67" i="5"/>
  <c r="CN67" i="5"/>
  <c r="BF67" i="5"/>
  <c r="BJ67" i="5"/>
  <c r="BD67" i="5"/>
  <c r="CP67" i="5"/>
  <c r="CW64" i="5"/>
  <c r="CQ67" i="5"/>
  <c r="CO67" i="5"/>
  <c r="BG67" i="5"/>
  <c r="BE67" i="5"/>
  <c r="BK50" i="5"/>
  <c r="CP50" i="5"/>
  <c r="BF50" i="5"/>
  <c r="CN50" i="5"/>
  <c r="BJ50" i="5"/>
  <c r="BD50" i="5"/>
  <c r="BK71" i="5"/>
  <c r="CW68" i="5"/>
  <c r="CP71" i="5"/>
  <c r="BF71" i="5"/>
  <c r="CN71" i="5"/>
  <c r="CV68" i="5"/>
  <c r="BD71" i="5"/>
  <c r="BJ71" i="5"/>
  <c r="BE50" i="5"/>
  <c r="CQ50" i="5"/>
  <c r="CO50" i="5"/>
  <c r="BG50" i="5"/>
  <c r="BE71" i="5"/>
  <c r="CQ71" i="5"/>
  <c r="CO71" i="5"/>
  <c r="BG71" i="5"/>
  <c r="C67" i="5"/>
  <c r="C42" i="5"/>
  <c r="C22" i="5"/>
  <c r="C71" i="5"/>
  <c r="C50" i="5"/>
  <c r="E77" i="5"/>
  <c r="D77" i="5"/>
  <c r="E66" i="5"/>
  <c r="D66" i="5"/>
  <c r="E57" i="5"/>
  <c r="D57" i="5"/>
  <c r="E41" i="5"/>
  <c r="D41" i="5"/>
  <c r="BD41" i="5" s="1"/>
  <c r="AL50" i="5" l="1"/>
  <c r="CW74" i="5"/>
  <c r="CP77" i="5"/>
  <c r="BD77" i="5"/>
  <c r="CV74" i="5"/>
  <c r="BJ77" i="5"/>
  <c r="BF77" i="5"/>
  <c r="CN77" i="5"/>
  <c r="BK77" i="5"/>
  <c r="CO77" i="5"/>
  <c r="BG77" i="5"/>
  <c r="CQ77" i="5"/>
  <c r="BE77" i="5"/>
  <c r="BG41" i="5"/>
  <c r="BE41" i="5"/>
  <c r="CQ41" i="5"/>
  <c r="CV54" i="5"/>
  <c r="BD57" i="5"/>
  <c r="CW54" i="5"/>
  <c r="CP57" i="5"/>
  <c r="BJ57" i="5"/>
  <c r="BF57" i="5"/>
  <c r="CN57" i="5"/>
  <c r="BK57" i="5"/>
  <c r="CO66" i="5"/>
  <c r="BG66" i="5"/>
  <c r="BE66" i="5"/>
  <c r="CQ66" i="5"/>
  <c r="CO57" i="5"/>
  <c r="BG57" i="5"/>
  <c r="BE57" i="5"/>
  <c r="CQ57" i="5"/>
  <c r="AL71" i="5"/>
  <c r="CV63" i="5"/>
  <c r="BD66" i="5"/>
  <c r="CP66" i="5"/>
  <c r="BJ66" i="5"/>
  <c r="CW63" i="5"/>
  <c r="BF66" i="5"/>
  <c r="CN66" i="5"/>
  <c r="BK66" i="5"/>
  <c r="CM41" i="5"/>
  <c r="CL41" i="5"/>
  <c r="BC41" i="5"/>
  <c r="BB41" i="5"/>
  <c r="CP41" i="5"/>
  <c r="BF41" i="5"/>
  <c r="AL41" i="5" s="1"/>
  <c r="C66" i="5"/>
  <c r="C57" i="5"/>
  <c r="C41" i="5"/>
  <c r="C24" i="5"/>
  <c r="C77" i="5"/>
  <c r="AL66" i="5" l="1"/>
  <c r="AL77" i="5"/>
  <c r="AL57" i="5"/>
  <c r="D32" i="8"/>
  <c r="E142" i="17" l="1"/>
  <c r="D142" i="17"/>
  <c r="CW85" i="5" l="1"/>
  <c r="CV85" i="5"/>
  <c r="CW84" i="5"/>
  <c r="CV84" i="5"/>
  <c r="CI40" i="5" l="1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J107" i="17" l="1"/>
  <c r="D128" i="17" l="1"/>
  <c r="K130" i="17"/>
  <c r="L130" i="17"/>
  <c r="F130" i="17"/>
  <c r="E129" i="17"/>
  <c r="D129" i="17"/>
  <c r="E128" i="17"/>
  <c r="E127" i="17"/>
  <c r="D127" i="17"/>
  <c r="E77" i="4"/>
  <c r="E72" i="4"/>
  <c r="E78" i="4"/>
  <c r="D78" i="4"/>
  <c r="D77" i="4"/>
  <c r="E76" i="4"/>
  <c r="D76" i="4"/>
  <c r="E75" i="4"/>
  <c r="D75" i="4"/>
  <c r="E74" i="4"/>
  <c r="D74" i="4"/>
  <c r="D72" i="4"/>
  <c r="E71" i="4"/>
  <c r="D54" i="4"/>
  <c r="E53" i="4"/>
  <c r="D53" i="4"/>
  <c r="D52" i="4"/>
  <c r="C129" i="17" l="1"/>
  <c r="C76" i="4"/>
  <c r="C71" i="4"/>
  <c r="C73" i="4"/>
  <c r="C77" i="4"/>
  <c r="CW83" i="5"/>
  <c r="CN85" i="5"/>
  <c r="CP85" i="5"/>
  <c r="CV83" i="5"/>
  <c r="CQ85" i="5"/>
  <c r="CO85" i="5"/>
  <c r="CN83" i="5"/>
  <c r="CP83" i="5"/>
  <c r="CO83" i="5"/>
  <c r="CQ83" i="5"/>
  <c r="CN84" i="5"/>
  <c r="CV82" i="5"/>
  <c r="CP84" i="5"/>
  <c r="CW82" i="5"/>
  <c r="CQ84" i="5"/>
  <c r="CO84" i="5"/>
  <c r="CO82" i="5"/>
  <c r="CQ82" i="5"/>
  <c r="BK82" i="5"/>
  <c r="CP82" i="5"/>
  <c r="BJ82" i="5"/>
  <c r="CN82" i="5"/>
  <c r="C72" i="4"/>
  <c r="C74" i="4"/>
  <c r="C75" i="4"/>
  <c r="C78" i="4"/>
  <c r="C127" i="17"/>
  <c r="C128" i="17"/>
  <c r="C53" i="4"/>
  <c r="C54" i="4"/>
  <c r="C52" i="4"/>
  <c r="C85" i="5"/>
  <c r="C84" i="5"/>
  <c r="C83" i="5"/>
  <c r="C82" i="5"/>
  <c r="E79" i="5"/>
  <c r="D79" i="5"/>
  <c r="E78" i="5"/>
  <c r="D78" i="5"/>
  <c r="E73" i="5"/>
  <c r="D73" i="5"/>
  <c r="E72" i="5"/>
  <c r="D72" i="5"/>
  <c r="E70" i="5"/>
  <c r="D70" i="5"/>
  <c r="E64" i="5"/>
  <c r="D64" i="5"/>
  <c r="E63" i="5"/>
  <c r="D63" i="5"/>
  <c r="E62" i="5"/>
  <c r="D62" i="5"/>
  <c r="E59" i="5"/>
  <c r="D59" i="5"/>
  <c r="E56" i="5"/>
  <c r="D56" i="5"/>
  <c r="E55" i="5"/>
  <c r="D55" i="5"/>
  <c r="E54" i="5"/>
  <c r="D54" i="5"/>
  <c r="E53" i="5"/>
  <c r="D53" i="5"/>
  <c r="E52" i="5"/>
  <c r="D52" i="5"/>
  <c r="E51" i="5"/>
  <c r="D51" i="5"/>
  <c r="E49" i="5"/>
  <c r="D49" i="5"/>
  <c r="BK53" i="5" l="1"/>
  <c r="CW50" i="5"/>
  <c r="CP53" i="5"/>
  <c r="BF53" i="5"/>
  <c r="CN53" i="5"/>
  <c r="CV50" i="5"/>
  <c r="BJ53" i="5"/>
  <c r="BD53" i="5"/>
  <c r="CV69" i="5"/>
  <c r="BD72" i="5"/>
  <c r="CP72" i="5"/>
  <c r="BJ72" i="5"/>
  <c r="CW69" i="5"/>
  <c r="BF72" i="5"/>
  <c r="CN72" i="5"/>
  <c r="BK72" i="5"/>
  <c r="BE56" i="5"/>
  <c r="CQ56" i="5"/>
  <c r="CO56" i="5"/>
  <c r="BG56" i="5"/>
  <c r="BD51" i="5"/>
  <c r="CP51" i="5"/>
  <c r="BJ51" i="5"/>
  <c r="BF51" i="5"/>
  <c r="CN51" i="5"/>
  <c r="BK51" i="5"/>
  <c r="CV51" i="5"/>
  <c r="BD54" i="5"/>
  <c r="CP54" i="5"/>
  <c r="BJ54" i="5"/>
  <c r="CW51" i="5"/>
  <c r="BF54" i="5"/>
  <c r="CN54" i="5"/>
  <c r="BK54" i="5"/>
  <c r="BK59" i="5"/>
  <c r="CW56" i="5"/>
  <c r="CP59" i="5"/>
  <c r="BF59" i="5"/>
  <c r="CN59" i="5"/>
  <c r="CV56" i="5"/>
  <c r="BD59" i="5"/>
  <c r="BJ59" i="5"/>
  <c r="CV61" i="5"/>
  <c r="BK64" i="5"/>
  <c r="CN64" i="5"/>
  <c r="BF64" i="5"/>
  <c r="BJ64" i="5"/>
  <c r="BD64" i="5"/>
  <c r="CP64" i="5"/>
  <c r="CW61" i="5"/>
  <c r="CV70" i="5"/>
  <c r="BK73" i="5"/>
  <c r="CN73" i="5"/>
  <c r="BF73" i="5"/>
  <c r="BJ73" i="5"/>
  <c r="BD73" i="5"/>
  <c r="CP73" i="5"/>
  <c r="CW70" i="5"/>
  <c r="BK56" i="5"/>
  <c r="CW53" i="5"/>
  <c r="CP56" i="5"/>
  <c r="BF56" i="5"/>
  <c r="CN56" i="5"/>
  <c r="BJ56" i="5"/>
  <c r="BD56" i="5"/>
  <c r="CV53" i="5"/>
  <c r="BK79" i="5"/>
  <c r="CV76" i="5"/>
  <c r="CP79" i="5"/>
  <c r="BF79" i="5"/>
  <c r="BD79" i="5"/>
  <c r="CN79" i="5"/>
  <c r="BJ79" i="5"/>
  <c r="BE53" i="5"/>
  <c r="CQ53" i="5"/>
  <c r="CO53" i="5"/>
  <c r="BG53" i="5"/>
  <c r="CQ79" i="5"/>
  <c r="BG79" i="5"/>
  <c r="CO79" i="5"/>
  <c r="BE79" i="5"/>
  <c r="BE59" i="5"/>
  <c r="CQ59" i="5"/>
  <c r="CO59" i="5"/>
  <c r="BG59" i="5"/>
  <c r="CQ64" i="5"/>
  <c r="CO64" i="5"/>
  <c r="BG64" i="5"/>
  <c r="BE64" i="5"/>
  <c r="CQ73" i="5"/>
  <c r="CO73" i="5"/>
  <c r="BG73" i="5"/>
  <c r="BE73" i="5"/>
  <c r="BK49" i="5"/>
  <c r="CN49" i="5"/>
  <c r="BF49" i="5"/>
  <c r="BJ49" i="5"/>
  <c r="BD49" i="5"/>
  <c r="CP49" i="5"/>
  <c r="CV60" i="5"/>
  <c r="BD63" i="5"/>
  <c r="CW60" i="5"/>
  <c r="CP63" i="5"/>
  <c r="BJ63" i="5"/>
  <c r="BF63" i="5"/>
  <c r="CN63" i="5"/>
  <c r="BK63" i="5"/>
  <c r="CO72" i="5"/>
  <c r="BG72" i="5"/>
  <c r="BE72" i="5"/>
  <c r="CQ72" i="5"/>
  <c r="CO54" i="5"/>
  <c r="BG54" i="5"/>
  <c r="BE54" i="5"/>
  <c r="CQ54" i="5"/>
  <c r="CV49" i="5"/>
  <c r="BK52" i="5"/>
  <c r="CN52" i="5"/>
  <c r="BF52" i="5"/>
  <c r="BJ52" i="5"/>
  <c r="BD52" i="5"/>
  <c r="CP52" i="5"/>
  <c r="CW49" i="5"/>
  <c r="CV52" i="5"/>
  <c r="BK55" i="5"/>
  <c r="CN55" i="5"/>
  <c r="BF55" i="5"/>
  <c r="BJ55" i="5"/>
  <c r="BD55" i="5"/>
  <c r="CP55" i="5"/>
  <c r="CW52" i="5"/>
  <c r="BK62" i="5"/>
  <c r="CW59" i="5"/>
  <c r="CP62" i="5"/>
  <c r="BF62" i="5"/>
  <c r="CN62" i="5"/>
  <c r="BJ62" i="5"/>
  <c r="BD62" i="5"/>
  <c r="CV59" i="5"/>
  <c r="CV67" i="5"/>
  <c r="BK70" i="5"/>
  <c r="CN70" i="5"/>
  <c r="BF70" i="5"/>
  <c r="BJ70" i="5"/>
  <c r="BD70" i="5"/>
  <c r="CP70" i="5"/>
  <c r="CW67" i="5"/>
  <c r="BK78" i="5"/>
  <c r="CN78" i="5"/>
  <c r="BJ78" i="5"/>
  <c r="CP78" i="5"/>
  <c r="BF78" i="5"/>
  <c r="BD78" i="5"/>
  <c r="CQ49" i="5"/>
  <c r="CO49" i="5"/>
  <c r="BG49" i="5"/>
  <c r="BE49" i="5"/>
  <c r="CO63" i="5"/>
  <c r="BG63" i="5"/>
  <c r="BE63" i="5"/>
  <c r="CQ63" i="5"/>
  <c r="CO51" i="5"/>
  <c r="BG51" i="5"/>
  <c r="BE51" i="5"/>
  <c r="CQ51" i="5"/>
  <c r="CQ52" i="5"/>
  <c r="CO52" i="5"/>
  <c r="BG52" i="5"/>
  <c r="BE52" i="5"/>
  <c r="CQ55" i="5"/>
  <c r="CO55" i="5"/>
  <c r="BG55" i="5"/>
  <c r="BE55" i="5"/>
  <c r="BE62" i="5"/>
  <c r="CQ62" i="5"/>
  <c r="CO62" i="5"/>
  <c r="BG62" i="5"/>
  <c r="CQ70" i="5"/>
  <c r="CO70" i="5"/>
  <c r="BG70" i="5"/>
  <c r="BE70" i="5"/>
  <c r="CQ78" i="5"/>
  <c r="BG78" i="5"/>
  <c r="CO78" i="5"/>
  <c r="BE78" i="5"/>
  <c r="C54" i="5"/>
  <c r="AL82" i="5"/>
  <c r="AL85" i="5"/>
  <c r="AL83" i="5"/>
  <c r="AL84" i="5"/>
  <c r="CO76" i="5"/>
  <c r="CQ76" i="5"/>
  <c r="BG76" i="5"/>
  <c r="BE76" i="5"/>
  <c r="C76" i="5"/>
  <c r="BF76" i="5"/>
  <c r="CP76" i="5"/>
  <c r="BJ76" i="5"/>
  <c r="CN76" i="5"/>
  <c r="BK76" i="5"/>
  <c r="BD76" i="5"/>
  <c r="CW76" i="5"/>
  <c r="CW48" i="5"/>
  <c r="CV48" i="5"/>
  <c r="BF48" i="5"/>
  <c r="CN48" i="5"/>
  <c r="BK48" i="5"/>
  <c r="BD48" i="5"/>
  <c r="CP48" i="5"/>
  <c r="BJ48" i="5"/>
  <c r="CO48" i="5"/>
  <c r="CQ48" i="5"/>
  <c r="BG48" i="5"/>
  <c r="BE48" i="5"/>
  <c r="C64" i="5"/>
  <c r="C79" i="5"/>
  <c r="A100" i="5" s="1"/>
  <c r="C78" i="5"/>
  <c r="C53" i="5"/>
  <c r="C49" i="5"/>
  <c r="C52" i="5"/>
  <c r="C59" i="5"/>
  <c r="C62" i="5"/>
  <c r="C48" i="5"/>
  <c r="C58" i="5"/>
  <c r="C63" i="5"/>
  <c r="C70" i="5"/>
  <c r="C73" i="5"/>
  <c r="C69" i="5"/>
  <c r="C56" i="5"/>
  <c r="C55" i="5"/>
  <c r="C65" i="5"/>
  <c r="C51" i="5"/>
  <c r="C61" i="5"/>
  <c r="C72" i="5"/>
  <c r="J130" i="17"/>
  <c r="I130" i="17"/>
  <c r="H130" i="17"/>
  <c r="G130" i="17"/>
  <c r="E130" i="17" l="1"/>
  <c r="AL52" i="5"/>
  <c r="AL79" i="5"/>
  <c r="AL76" i="5"/>
  <c r="AL78" i="5"/>
  <c r="AL56" i="5"/>
  <c r="AL48" i="5"/>
  <c r="AL59" i="5"/>
  <c r="AL49" i="5"/>
  <c r="AL70" i="5"/>
  <c r="AL64" i="5"/>
  <c r="AL67" i="5"/>
  <c r="AL63" i="5"/>
  <c r="AL54" i="5"/>
  <c r="AL51" i="5"/>
  <c r="AL62" i="5"/>
  <c r="AL72" i="5"/>
  <c r="AL65" i="5"/>
  <c r="AL61" i="5"/>
  <c r="AL58" i="5"/>
  <c r="AL55" i="5"/>
  <c r="AL53" i="5"/>
  <c r="AL73" i="5"/>
  <c r="D130" i="17"/>
  <c r="C130" i="17" l="1"/>
  <c r="E108" i="7" l="1"/>
  <c r="D108" i="7"/>
  <c r="E107" i="7"/>
  <c r="D107" i="7"/>
  <c r="E106" i="7"/>
  <c r="D106" i="7"/>
  <c r="E105" i="7"/>
  <c r="D105" i="7"/>
  <c r="E48" i="7"/>
  <c r="D48" i="7"/>
  <c r="E51" i="7"/>
  <c r="D51" i="7"/>
  <c r="E50" i="7"/>
  <c r="D50" i="7"/>
  <c r="E49" i="7"/>
  <c r="D49" i="7"/>
  <c r="CS48" i="7" l="1"/>
  <c r="DQ48" i="7"/>
  <c r="DT107" i="7"/>
  <c r="CV107" i="7"/>
  <c r="DT106" i="7"/>
  <c r="CV106" i="7"/>
  <c r="CS51" i="7"/>
  <c r="DQ51" i="7"/>
  <c r="CS49" i="7"/>
  <c r="DQ49" i="7"/>
  <c r="CS50" i="7"/>
  <c r="DQ50" i="7"/>
  <c r="DT105" i="7"/>
  <c r="CV105" i="7"/>
  <c r="DT108" i="7"/>
  <c r="CV108" i="7"/>
  <c r="C49" i="7"/>
  <c r="C51" i="7"/>
  <c r="C105" i="7"/>
  <c r="C48" i="7"/>
  <c r="C50" i="7"/>
  <c r="C108" i="7"/>
  <c r="C106" i="7"/>
  <c r="C107" i="7"/>
  <c r="DH107" i="7" l="1"/>
  <c r="CI107" i="7"/>
  <c r="DG107" i="7"/>
  <c r="CH107" i="7"/>
  <c r="CK107" i="7"/>
  <c r="DR107" i="7"/>
  <c r="CT107" i="7"/>
  <c r="CS107" i="7"/>
  <c r="DQ107" i="7"/>
  <c r="DJ107" i="7"/>
  <c r="DH106" i="7"/>
  <c r="CI106" i="7"/>
  <c r="DG106" i="7"/>
  <c r="CH106" i="7"/>
  <c r="CK106" i="7"/>
  <c r="DR106" i="7"/>
  <c r="DQ106" i="7"/>
  <c r="DJ106" i="7"/>
  <c r="CT106" i="7"/>
  <c r="CS106" i="7"/>
  <c r="DH108" i="7"/>
  <c r="CI108" i="7"/>
  <c r="DG108" i="7"/>
  <c r="CH108" i="7"/>
  <c r="CK108" i="7"/>
  <c r="DR108" i="7"/>
  <c r="DQ108" i="7"/>
  <c r="DJ108" i="7"/>
  <c r="CT108" i="7"/>
  <c r="CS108" i="7"/>
  <c r="DH51" i="7"/>
  <c r="DJ51" i="7"/>
  <c r="CK51" i="7"/>
  <c r="CI51" i="7"/>
  <c r="DH49" i="7"/>
  <c r="DJ49" i="7"/>
  <c r="CI49" i="7"/>
  <c r="CK49" i="7"/>
  <c r="DH50" i="7"/>
  <c r="CK50" i="7"/>
  <c r="CI50" i="7"/>
  <c r="AY50" i="7" s="1"/>
  <c r="DJ50" i="7"/>
  <c r="DH48" i="7"/>
  <c r="DJ48" i="7"/>
  <c r="CI48" i="7"/>
  <c r="CK48" i="7"/>
  <c r="AY48" i="7" s="1"/>
  <c r="DH105" i="7"/>
  <c r="CI105" i="7"/>
  <c r="DG105" i="7"/>
  <c r="CH105" i="7"/>
  <c r="CK105" i="7"/>
  <c r="DR105" i="7"/>
  <c r="DQ105" i="7"/>
  <c r="DJ105" i="7"/>
  <c r="CT105" i="7"/>
  <c r="CS105" i="7"/>
  <c r="AY49" i="7"/>
  <c r="D52" i="7"/>
  <c r="E52" i="7"/>
  <c r="AY51" i="7" l="1"/>
  <c r="DA52" i="7"/>
  <c r="CE52" i="7"/>
  <c r="DF52" i="7"/>
  <c r="DB52" i="7"/>
  <c r="CG52" i="7"/>
  <c r="CB52" i="7"/>
  <c r="CC52" i="7"/>
  <c r="DD52" i="7"/>
  <c r="DO52" i="7"/>
  <c r="CS52" i="7"/>
  <c r="CD52" i="7"/>
  <c r="DC52" i="7"/>
  <c r="CF52" i="7"/>
  <c r="CR52" i="7"/>
  <c r="CQ52" i="7"/>
  <c r="DP52" i="7"/>
  <c r="DE52" i="7"/>
  <c r="DQ52" i="7"/>
  <c r="AY107" i="7"/>
  <c r="AY105" i="7"/>
  <c r="AY108" i="7"/>
  <c r="AY106" i="7"/>
  <c r="CO16" i="10"/>
  <c r="CH16" i="10"/>
  <c r="CD16" i="10"/>
  <c r="CJ16" i="10"/>
  <c r="CM16" i="10"/>
  <c r="CB16" i="10"/>
  <c r="CP16" i="10"/>
  <c r="CI16" i="10"/>
  <c r="CE16" i="10"/>
  <c r="CQ16" i="10"/>
  <c r="CF16" i="10"/>
  <c r="CK16" i="10"/>
  <c r="C52" i="7"/>
  <c r="DG52" i="7" l="1"/>
  <c r="CN52" i="7"/>
  <c r="DN52" i="7"/>
  <c r="CK52" i="7"/>
  <c r="DM52" i="7"/>
  <c r="CI52" i="7"/>
  <c r="AY52" i="7" s="1"/>
  <c r="DL52" i="7"/>
  <c r="CH52" i="7"/>
  <c r="DH52" i="7"/>
  <c r="DJ52" i="7"/>
  <c r="CP52" i="7"/>
  <c r="CO52" i="7"/>
  <c r="AY16" i="10"/>
  <c r="CP17" i="10"/>
  <c r="CH17" i="10"/>
  <c r="CE17" i="10"/>
  <c r="CQ17" i="10"/>
  <c r="CF17" i="10"/>
  <c r="CJ17" i="10"/>
  <c r="CM17" i="10"/>
  <c r="CK17" i="10"/>
  <c r="CD17" i="10"/>
  <c r="CB17" i="10"/>
  <c r="CO17" i="10"/>
  <c r="CI17" i="10"/>
  <c r="AY17" i="10" l="1"/>
  <c r="F16" i="12"/>
  <c r="D16" i="12"/>
  <c r="L116" i="2" l="1"/>
  <c r="K116" i="2"/>
  <c r="J116" i="2"/>
  <c r="I116" i="2"/>
  <c r="H116" i="2"/>
  <c r="G116" i="2"/>
  <c r="F116" i="2"/>
  <c r="E116" i="2"/>
  <c r="G131" i="11"/>
  <c r="F131" i="11"/>
  <c r="E131" i="11"/>
  <c r="D131" i="11"/>
  <c r="B130" i="11"/>
  <c r="B129" i="11"/>
  <c r="B128" i="11"/>
  <c r="B127" i="11"/>
  <c r="B126" i="11"/>
  <c r="B125" i="11"/>
  <c r="B124" i="11"/>
  <c r="B123" i="11"/>
  <c r="B122" i="11"/>
  <c r="B121" i="11"/>
  <c r="G114" i="11"/>
  <c r="F114" i="11"/>
  <c r="E114" i="11"/>
  <c r="D114" i="11"/>
  <c r="B113" i="11"/>
  <c r="B112" i="11"/>
  <c r="B111" i="11"/>
  <c r="B110" i="11"/>
  <c r="B109" i="11"/>
  <c r="B108" i="11"/>
  <c r="B107" i="11"/>
  <c r="B106" i="11"/>
  <c r="B105" i="11"/>
  <c r="B104" i="11"/>
  <c r="B114" i="11" l="1"/>
  <c r="C116" i="2"/>
  <c r="B131" i="11"/>
  <c r="I4" i="1" l="1"/>
  <c r="I3" i="1"/>
  <c r="AG3" i="1" s="1"/>
  <c r="AG4" i="1" l="1"/>
  <c r="DE12" i="2" l="1"/>
  <c r="CC12" i="2"/>
  <c r="CG12" i="2"/>
  <c r="DB12" i="2"/>
  <c r="DF12" i="2"/>
  <c r="CD12" i="2"/>
  <c r="DC12" i="2"/>
  <c r="DG12" i="2"/>
  <c r="DD12" i="2"/>
  <c r="CB12" i="2"/>
  <c r="CE12" i="2"/>
  <c r="CF12" i="2"/>
  <c r="T12" i="2" l="1"/>
  <c r="C24" i="2"/>
  <c r="D37" i="7"/>
  <c r="CD37" i="7" l="1"/>
  <c r="DE37" i="7"/>
  <c r="CF37" i="7"/>
  <c r="DC37" i="7"/>
  <c r="E111" i="7"/>
  <c r="E110" i="7"/>
  <c r="E109" i="7"/>
  <c r="E104" i="7"/>
  <c r="E103" i="7"/>
  <c r="E102" i="7"/>
  <c r="E99" i="7"/>
  <c r="E98" i="7"/>
  <c r="E96" i="7"/>
  <c r="E95" i="7"/>
  <c r="E94" i="7"/>
  <c r="E93" i="7"/>
  <c r="E92" i="7"/>
  <c r="E89" i="7"/>
  <c r="E88" i="7"/>
  <c r="E87" i="7"/>
  <c r="E84" i="7"/>
  <c r="E83" i="7"/>
  <c r="E82" i="7"/>
  <c r="E80" i="7"/>
  <c r="E79" i="7"/>
  <c r="E78" i="7"/>
  <c r="E77" i="7"/>
  <c r="E74" i="7"/>
  <c r="E73" i="7"/>
  <c r="E72" i="7"/>
  <c r="D111" i="7"/>
  <c r="D110" i="7"/>
  <c r="D109" i="7"/>
  <c r="D104" i="7"/>
  <c r="D103" i="7"/>
  <c r="D102" i="7"/>
  <c r="D99" i="7"/>
  <c r="D98" i="7"/>
  <c r="D97" i="7"/>
  <c r="D96" i="7"/>
  <c r="D95" i="7"/>
  <c r="D94" i="7"/>
  <c r="D93" i="7"/>
  <c r="D92" i="7"/>
  <c r="D89" i="7"/>
  <c r="D88" i="7"/>
  <c r="D87" i="7"/>
  <c r="D84" i="7"/>
  <c r="D83" i="7"/>
  <c r="D82" i="7"/>
  <c r="D80" i="7"/>
  <c r="D79" i="7"/>
  <c r="D78" i="7"/>
  <c r="D77" i="7"/>
  <c r="D74" i="7"/>
  <c r="D73" i="7"/>
  <c r="D72" i="7"/>
  <c r="DP103" i="7" l="1"/>
  <c r="CR103" i="7"/>
  <c r="DO103" i="7"/>
  <c r="CQ103" i="7"/>
  <c r="DT103" i="7"/>
  <c r="CV103" i="7"/>
  <c r="CD103" i="7"/>
  <c r="DE103" i="7"/>
  <c r="CF103" i="7"/>
  <c r="DC103" i="7"/>
  <c r="DB82" i="7"/>
  <c r="CC82" i="7"/>
  <c r="DA82" i="7"/>
  <c r="CB82" i="7"/>
  <c r="DF82" i="7"/>
  <c r="CG82" i="7"/>
  <c r="CE82" i="7"/>
  <c r="DD82" i="7"/>
  <c r="CE111" i="7"/>
  <c r="DF111" i="7"/>
  <c r="DD111" i="7"/>
  <c r="CG111" i="7"/>
  <c r="DT79" i="7"/>
  <c r="CV79" i="7"/>
  <c r="DE79" i="7"/>
  <c r="CF79" i="7"/>
  <c r="DO79" i="7"/>
  <c r="CD79" i="7"/>
  <c r="DP79" i="7"/>
  <c r="DC79" i="7"/>
  <c r="CR79" i="7"/>
  <c r="CQ79" i="7"/>
  <c r="DT96" i="7"/>
  <c r="CV96" i="7"/>
  <c r="DO96" i="7"/>
  <c r="DC96" i="7"/>
  <c r="CQ96" i="7"/>
  <c r="CD96" i="7"/>
  <c r="DP96" i="7"/>
  <c r="CF96" i="7"/>
  <c r="CR96" i="7"/>
  <c r="DE96" i="7"/>
  <c r="DF74" i="7"/>
  <c r="CG74" i="7"/>
  <c r="DB74" i="7"/>
  <c r="CC74" i="7"/>
  <c r="DA74" i="7"/>
  <c r="CB74" i="7"/>
  <c r="DD74" i="7"/>
  <c r="CE74" i="7"/>
  <c r="DF93" i="7"/>
  <c r="CG93" i="7"/>
  <c r="DD93" i="7"/>
  <c r="CE93" i="7"/>
  <c r="DB93" i="7"/>
  <c r="CC93" i="7"/>
  <c r="DA93" i="7"/>
  <c r="CB93" i="7"/>
  <c r="DB102" i="7"/>
  <c r="CC102" i="7"/>
  <c r="DA102" i="7"/>
  <c r="CB102" i="7"/>
  <c r="DF102" i="7"/>
  <c r="CG102" i="7"/>
  <c r="DD102" i="7"/>
  <c r="CE102" i="7"/>
  <c r="DT78" i="7"/>
  <c r="CV78" i="7"/>
  <c r="DE78" i="7"/>
  <c r="CF78" i="7"/>
  <c r="CQ78" i="7"/>
  <c r="DP78" i="7"/>
  <c r="DC78" i="7"/>
  <c r="CR78" i="7"/>
  <c r="DO78" i="7"/>
  <c r="CD78" i="7"/>
  <c r="DF73" i="7"/>
  <c r="CG73" i="7"/>
  <c r="DB73" i="7"/>
  <c r="CC73" i="7"/>
  <c r="DA73" i="7"/>
  <c r="CB73" i="7"/>
  <c r="CE73" i="7"/>
  <c r="DD73" i="7"/>
  <c r="DF92" i="7"/>
  <c r="CG92" i="7"/>
  <c r="DD92" i="7"/>
  <c r="CE92" i="7"/>
  <c r="DB92" i="7"/>
  <c r="CC92" i="7"/>
  <c r="CB92" i="7"/>
  <c r="DA92" i="7"/>
  <c r="DF99" i="7"/>
  <c r="CC99" i="7"/>
  <c r="DD99" i="7"/>
  <c r="CG99" i="7"/>
  <c r="DB99" i="7"/>
  <c r="CE99" i="7"/>
  <c r="DA99" i="7"/>
  <c r="CB99" i="7"/>
  <c r="DT88" i="7"/>
  <c r="CR88" i="7"/>
  <c r="DC88" i="7"/>
  <c r="CQ88" i="7"/>
  <c r="CF88" i="7"/>
  <c r="DE88" i="7"/>
  <c r="DP88" i="7"/>
  <c r="CV88" i="7"/>
  <c r="CD88" i="7"/>
  <c r="DO88" i="7"/>
  <c r="DP104" i="7"/>
  <c r="CR104" i="7"/>
  <c r="DO104" i="7"/>
  <c r="CQ104" i="7"/>
  <c r="DT104" i="7"/>
  <c r="CV104" i="7"/>
  <c r="CD104" i="7"/>
  <c r="DE104" i="7"/>
  <c r="CF104" i="7"/>
  <c r="DC104" i="7"/>
  <c r="DB83" i="7"/>
  <c r="CC83" i="7"/>
  <c r="DA83" i="7"/>
  <c r="CB83" i="7"/>
  <c r="DF83" i="7"/>
  <c r="CG83" i="7"/>
  <c r="CE83" i="7"/>
  <c r="DD83" i="7"/>
  <c r="DT72" i="7"/>
  <c r="CV72" i="7"/>
  <c r="DE72" i="7"/>
  <c r="CF72" i="7"/>
  <c r="CQ72" i="7"/>
  <c r="DP72" i="7"/>
  <c r="DC72" i="7"/>
  <c r="CR72" i="7"/>
  <c r="DO72" i="7"/>
  <c r="CD72" i="7"/>
  <c r="DT80" i="7"/>
  <c r="CV80" i="7"/>
  <c r="DE80" i="7"/>
  <c r="CF80" i="7"/>
  <c r="DC80" i="7"/>
  <c r="CR80" i="7"/>
  <c r="DO80" i="7"/>
  <c r="CQ80" i="7"/>
  <c r="DP80" i="7"/>
  <c r="CD80" i="7"/>
  <c r="DP89" i="7"/>
  <c r="DO89" i="7"/>
  <c r="DE89" i="7"/>
  <c r="DC89" i="7"/>
  <c r="CV89" i="7"/>
  <c r="CD89" i="7"/>
  <c r="CR89" i="7"/>
  <c r="CQ89" i="7"/>
  <c r="CF89" i="7"/>
  <c r="DT89" i="7"/>
  <c r="DP97" i="7"/>
  <c r="CV97" i="7"/>
  <c r="DT97" i="7"/>
  <c r="CD97" i="7"/>
  <c r="DO97" i="7"/>
  <c r="DE97" i="7"/>
  <c r="DC97" i="7"/>
  <c r="CF97" i="7"/>
  <c r="DP109" i="7"/>
  <c r="CR109" i="7"/>
  <c r="DO109" i="7"/>
  <c r="CQ109" i="7"/>
  <c r="DT109" i="7"/>
  <c r="CV109" i="7"/>
  <c r="CD109" i="7"/>
  <c r="DE109" i="7"/>
  <c r="DC109" i="7"/>
  <c r="CF109" i="7"/>
  <c r="DF77" i="7"/>
  <c r="CG77" i="7"/>
  <c r="DB77" i="7"/>
  <c r="CC77" i="7"/>
  <c r="DA77" i="7"/>
  <c r="CB77" i="7"/>
  <c r="DD77" i="7"/>
  <c r="CE77" i="7"/>
  <c r="DB84" i="7"/>
  <c r="CC84" i="7"/>
  <c r="DA84" i="7"/>
  <c r="CB84" i="7"/>
  <c r="DF84" i="7"/>
  <c r="CG84" i="7"/>
  <c r="DD84" i="7"/>
  <c r="CE84" i="7"/>
  <c r="DF94" i="7"/>
  <c r="CG94" i="7"/>
  <c r="DD94" i="7"/>
  <c r="CE94" i="7"/>
  <c r="DB94" i="7"/>
  <c r="CC94" i="7"/>
  <c r="DA94" i="7"/>
  <c r="CB94" i="7"/>
  <c r="DB103" i="7"/>
  <c r="CC103" i="7"/>
  <c r="DA103" i="7"/>
  <c r="CB103" i="7"/>
  <c r="DF103" i="7"/>
  <c r="CG103" i="7"/>
  <c r="DD103" i="7"/>
  <c r="CE103" i="7"/>
  <c r="DC87" i="7"/>
  <c r="CD87" i="7"/>
  <c r="DP87" i="7"/>
  <c r="CR87" i="7"/>
  <c r="DE87" i="7"/>
  <c r="DT87" i="7"/>
  <c r="DO87" i="7"/>
  <c r="CF87" i="7"/>
  <c r="CV87" i="7"/>
  <c r="CQ87" i="7"/>
  <c r="DT73" i="7"/>
  <c r="CV73" i="7"/>
  <c r="DE73" i="7"/>
  <c r="CF73" i="7"/>
  <c r="DO73" i="7"/>
  <c r="CD73" i="7"/>
  <c r="DP73" i="7"/>
  <c r="DC73" i="7"/>
  <c r="CR73" i="7"/>
  <c r="CQ73" i="7"/>
  <c r="DT92" i="7"/>
  <c r="CV92" i="7"/>
  <c r="DE92" i="7"/>
  <c r="CF92" i="7"/>
  <c r="DP92" i="7"/>
  <c r="CR92" i="7"/>
  <c r="DO92" i="7"/>
  <c r="DC92" i="7"/>
  <c r="CQ92" i="7"/>
  <c r="CD92" i="7"/>
  <c r="DP110" i="7"/>
  <c r="CR110" i="7"/>
  <c r="DO110" i="7"/>
  <c r="CQ110" i="7"/>
  <c r="DT110" i="7"/>
  <c r="CV110" i="7"/>
  <c r="CD110" i="7"/>
  <c r="DE110" i="7"/>
  <c r="DC110" i="7"/>
  <c r="CF110" i="7"/>
  <c r="DD87" i="7"/>
  <c r="CE87" i="7"/>
  <c r="DF87" i="7"/>
  <c r="CG87" i="7"/>
  <c r="DB87" i="7"/>
  <c r="DA87" i="7"/>
  <c r="CC87" i="7"/>
  <c r="CB87" i="7"/>
  <c r="DF95" i="7"/>
  <c r="CG95" i="7"/>
  <c r="DD95" i="7"/>
  <c r="CE95" i="7"/>
  <c r="DB95" i="7"/>
  <c r="CC95" i="7"/>
  <c r="CB95" i="7"/>
  <c r="DA95" i="7"/>
  <c r="DB104" i="7"/>
  <c r="CC104" i="7"/>
  <c r="DA104" i="7"/>
  <c r="CB104" i="7"/>
  <c r="DF104" i="7"/>
  <c r="CG104" i="7"/>
  <c r="DD104" i="7"/>
  <c r="CE104" i="7"/>
  <c r="DT74" i="7"/>
  <c r="CV74" i="7"/>
  <c r="DE74" i="7"/>
  <c r="CF74" i="7"/>
  <c r="DC74" i="7"/>
  <c r="CR74" i="7"/>
  <c r="CD74" i="7"/>
  <c r="CQ74" i="7"/>
  <c r="DP74" i="7"/>
  <c r="DO74" i="7"/>
  <c r="DP83" i="7"/>
  <c r="CR83" i="7"/>
  <c r="DO83" i="7"/>
  <c r="CQ83" i="7"/>
  <c r="DT83" i="7"/>
  <c r="CV83" i="7"/>
  <c r="DE83" i="7"/>
  <c r="CF83" i="7"/>
  <c r="CD83" i="7"/>
  <c r="DC83" i="7"/>
  <c r="DT93" i="7"/>
  <c r="DO93" i="7"/>
  <c r="CV93" i="7"/>
  <c r="DE93" i="7"/>
  <c r="CF93" i="7"/>
  <c r="CR93" i="7"/>
  <c r="DP93" i="7"/>
  <c r="DC93" i="7"/>
  <c r="CQ93" i="7"/>
  <c r="CD93" i="7"/>
  <c r="DP99" i="7"/>
  <c r="CV99" i="7"/>
  <c r="DT99" i="7"/>
  <c r="DC99" i="7"/>
  <c r="DO99" i="7"/>
  <c r="CF99" i="7"/>
  <c r="DE99" i="7"/>
  <c r="CD99" i="7"/>
  <c r="CV111" i="7"/>
  <c r="CD111" i="7"/>
  <c r="DP111" i="7"/>
  <c r="DC111" i="7"/>
  <c r="CF111" i="7"/>
  <c r="DO111" i="7"/>
  <c r="DE111" i="7"/>
  <c r="CR111" i="7"/>
  <c r="CQ111" i="7"/>
  <c r="DT111" i="7"/>
  <c r="DF79" i="7"/>
  <c r="CG79" i="7"/>
  <c r="DB79" i="7"/>
  <c r="CC79" i="7"/>
  <c r="DA79" i="7"/>
  <c r="CB79" i="7"/>
  <c r="CE79" i="7"/>
  <c r="DD79" i="7"/>
  <c r="DD88" i="7"/>
  <c r="CG88" i="7"/>
  <c r="CE88" i="7"/>
  <c r="DF88" i="7"/>
  <c r="DF96" i="7"/>
  <c r="CG96" i="7"/>
  <c r="DD96" i="7"/>
  <c r="CE96" i="7"/>
  <c r="DB96" i="7"/>
  <c r="CC96" i="7"/>
  <c r="DA96" i="7"/>
  <c r="CB96" i="7"/>
  <c r="DB109" i="7"/>
  <c r="CC109" i="7"/>
  <c r="DA109" i="7"/>
  <c r="CB109" i="7"/>
  <c r="DF109" i="7"/>
  <c r="CG109" i="7"/>
  <c r="DD109" i="7"/>
  <c r="CE109" i="7"/>
  <c r="DT95" i="7"/>
  <c r="CV95" i="7"/>
  <c r="DO95" i="7"/>
  <c r="DC95" i="7"/>
  <c r="CQ95" i="7"/>
  <c r="CD95" i="7"/>
  <c r="CR95" i="7"/>
  <c r="DE95" i="7"/>
  <c r="CF95" i="7"/>
  <c r="DP95" i="7"/>
  <c r="DP82" i="7"/>
  <c r="CR82" i="7"/>
  <c r="DO82" i="7"/>
  <c r="CQ82" i="7"/>
  <c r="DT82" i="7"/>
  <c r="CV82" i="7"/>
  <c r="DE82" i="7"/>
  <c r="CF82" i="7"/>
  <c r="CD82" i="7"/>
  <c r="DC82" i="7"/>
  <c r="DP98" i="7"/>
  <c r="CV98" i="7"/>
  <c r="DT98" i="7"/>
  <c r="CD98" i="7"/>
  <c r="DE98" i="7"/>
  <c r="DC98" i="7"/>
  <c r="CF98" i="7"/>
  <c r="DO98" i="7"/>
  <c r="DF78" i="7"/>
  <c r="CG78" i="7"/>
  <c r="DB78" i="7"/>
  <c r="CC78" i="7"/>
  <c r="DA78" i="7"/>
  <c r="CB78" i="7"/>
  <c r="CE78" i="7"/>
  <c r="DD78" i="7"/>
  <c r="DT77" i="7"/>
  <c r="CV77" i="7"/>
  <c r="DE77" i="7"/>
  <c r="CF77" i="7"/>
  <c r="DC77" i="7"/>
  <c r="CR77" i="7"/>
  <c r="CD77" i="7"/>
  <c r="CQ77" i="7"/>
  <c r="DP77" i="7"/>
  <c r="DO77" i="7"/>
  <c r="DP84" i="7"/>
  <c r="CR84" i="7"/>
  <c r="DO84" i="7"/>
  <c r="CQ84" i="7"/>
  <c r="DT84" i="7"/>
  <c r="CV84" i="7"/>
  <c r="DE84" i="7"/>
  <c r="CF84" i="7"/>
  <c r="DC84" i="7"/>
  <c r="CD84" i="7"/>
  <c r="DT94" i="7"/>
  <c r="CV94" i="7"/>
  <c r="DO94" i="7"/>
  <c r="DC94" i="7"/>
  <c r="CQ94" i="7"/>
  <c r="CD94" i="7"/>
  <c r="DE94" i="7"/>
  <c r="CF94" i="7"/>
  <c r="DP94" i="7"/>
  <c r="CR94" i="7"/>
  <c r="DP102" i="7"/>
  <c r="CR102" i="7"/>
  <c r="DO102" i="7"/>
  <c r="CQ102" i="7"/>
  <c r="DT102" i="7"/>
  <c r="CV102" i="7"/>
  <c r="CD102" i="7"/>
  <c r="DE102" i="7"/>
  <c r="CF102" i="7"/>
  <c r="DC102" i="7"/>
  <c r="DF72" i="7"/>
  <c r="CG72" i="7"/>
  <c r="DB72" i="7"/>
  <c r="CC72" i="7"/>
  <c r="DA72" i="7"/>
  <c r="CB72" i="7"/>
  <c r="CE72" i="7"/>
  <c r="DD72" i="7"/>
  <c r="DF80" i="7"/>
  <c r="CG80" i="7"/>
  <c r="DB80" i="7"/>
  <c r="CC80" i="7"/>
  <c r="DA80" i="7"/>
  <c r="CB80" i="7"/>
  <c r="DD80" i="7"/>
  <c r="CE80" i="7"/>
  <c r="DF89" i="7"/>
  <c r="CG89" i="7"/>
  <c r="CE89" i="7"/>
  <c r="DD89" i="7"/>
  <c r="DF98" i="7"/>
  <c r="CC98" i="7"/>
  <c r="DD98" i="7"/>
  <c r="CG98" i="7"/>
  <c r="CB98" i="7"/>
  <c r="DB98" i="7"/>
  <c r="DA98" i="7"/>
  <c r="CE98" i="7"/>
  <c r="DB110" i="7"/>
  <c r="CC110" i="7"/>
  <c r="DA110" i="7"/>
  <c r="CB110" i="7"/>
  <c r="DF110" i="7"/>
  <c r="CG110" i="7"/>
  <c r="DD110" i="7"/>
  <c r="CE110" i="7"/>
  <c r="C93" i="7"/>
  <c r="C94" i="7"/>
  <c r="C95" i="7"/>
  <c r="C92" i="7"/>
  <c r="C96" i="7"/>
  <c r="C70" i="7"/>
  <c r="E54" i="7"/>
  <c r="E53" i="7"/>
  <c r="E47" i="7"/>
  <c r="E46" i="7"/>
  <c r="E45" i="7"/>
  <c r="E43" i="7"/>
  <c r="E42" i="7"/>
  <c r="E41" i="7"/>
  <c r="E40" i="7"/>
  <c r="E39" i="7"/>
  <c r="E38" i="7"/>
  <c r="E37" i="7"/>
  <c r="E32" i="7"/>
  <c r="E31" i="7"/>
  <c r="E30" i="7"/>
  <c r="E27" i="7"/>
  <c r="E26" i="7"/>
  <c r="E25" i="7"/>
  <c r="E23" i="7"/>
  <c r="E22" i="7"/>
  <c r="E21" i="7"/>
  <c r="E20" i="7"/>
  <c r="E17" i="7"/>
  <c r="E16" i="7"/>
  <c r="E15" i="7"/>
  <c r="D54" i="7"/>
  <c r="D53" i="7"/>
  <c r="D47" i="7"/>
  <c r="D46" i="7"/>
  <c r="D45" i="7"/>
  <c r="D43" i="7"/>
  <c r="D42" i="7"/>
  <c r="D41" i="7"/>
  <c r="D40" i="7"/>
  <c r="D39" i="7"/>
  <c r="D38" i="7"/>
  <c r="D35" i="7"/>
  <c r="D32" i="7"/>
  <c r="D31" i="7"/>
  <c r="D30" i="7"/>
  <c r="D27" i="7"/>
  <c r="D26" i="7"/>
  <c r="D25" i="7"/>
  <c r="D23" i="7"/>
  <c r="D22" i="7"/>
  <c r="D21" i="7"/>
  <c r="D20" i="7"/>
  <c r="CS39" i="7" l="1"/>
  <c r="CD39" i="7"/>
  <c r="DE39" i="7"/>
  <c r="CR39" i="7"/>
  <c r="CQ39" i="7"/>
  <c r="DO39" i="7"/>
  <c r="DC39" i="7"/>
  <c r="DP39" i="7"/>
  <c r="CF39" i="7"/>
  <c r="DQ39" i="7"/>
  <c r="CG26" i="7"/>
  <c r="DB26" i="7"/>
  <c r="DA26" i="7"/>
  <c r="DF26" i="7"/>
  <c r="CC26" i="7"/>
  <c r="DD26" i="7"/>
  <c r="CE26" i="7"/>
  <c r="CB26" i="7"/>
  <c r="DO23" i="7"/>
  <c r="CS23" i="7"/>
  <c r="CD23" i="7"/>
  <c r="DC23" i="7"/>
  <c r="DP23" i="7"/>
  <c r="DQ23" i="7"/>
  <c r="CR23" i="7"/>
  <c r="CQ23" i="7"/>
  <c r="CF23" i="7"/>
  <c r="DE23" i="7"/>
  <c r="CQ42" i="7"/>
  <c r="CF42" i="7"/>
  <c r="DC42" i="7"/>
  <c r="CD42" i="7"/>
  <c r="DQ42" i="7"/>
  <c r="DP42" i="7"/>
  <c r="CS42" i="7"/>
  <c r="DE42" i="7"/>
  <c r="DO42" i="7"/>
  <c r="CR42" i="7"/>
  <c r="DA22" i="7"/>
  <c r="CE22" i="7"/>
  <c r="DF22" i="7"/>
  <c r="CC22" i="7"/>
  <c r="DD22" i="7"/>
  <c r="CB22" i="7"/>
  <c r="CG22" i="7"/>
  <c r="DB22" i="7"/>
  <c r="DF41" i="7"/>
  <c r="CB41" i="7"/>
  <c r="CG41" i="7"/>
  <c r="DD41" i="7"/>
  <c r="CE41" i="7"/>
  <c r="DB41" i="7"/>
  <c r="DA41" i="7"/>
  <c r="CC41" i="7"/>
  <c r="DM94" i="7"/>
  <c r="CO94" i="7"/>
  <c r="DR94" i="7"/>
  <c r="DJ94" i="7"/>
  <c r="CT94" i="7"/>
  <c r="CK94" i="7"/>
  <c r="DL94" i="7"/>
  <c r="CN94" i="7"/>
  <c r="DG94" i="7"/>
  <c r="CJ94" i="7"/>
  <c r="DS94" i="7"/>
  <c r="CI94" i="7"/>
  <c r="DQ94" i="7"/>
  <c r="CH94" i="7"/>
  <c r="DI94" i="7"/>
  <c r="DH94" i="7"/>
  <c r="CU94" i="7"/>
  <c r="CS94" i="7"/>
  <c r="DQ25" i="7"/>
  <c r="DC25" i="7"/>
  <c r="DP25" i="7"/>
  <c r="CF25" i="7"/>
  <c r="DO25" i="7"/>
  <c r="DE25" i="7"/>
  <c r="CQ25" i="7"/>
  <c r="CS25" i="7"/>
  <c r="CR25" i="7"/>
  <c r="CD25" i="7"/>
  <c r="DE35" i="7"/>
  <c r="CR35" i="7"/>
  <c r="CQ35" i="7"/>
  <c r="CS35" i="7"/>
  <c r="CF35" i="7"/>
  <c r="DO35" i="7"/>
  <c r="DQ35" i="7"/>
  <c r="CD35" i="7"/>
  <c r="DP35" i="7"/>
  <c r="DC35" i="7"/>
  <c r="CS43" i="7"/>
  <c r="CD43" i="7"/>
  <c r="DE43" i="7"/>
  <c r="CR43" i="7"/>
  <c r="CQ43" i="7"/>
  <c r="DP43" i="7"/>
  <c r="CF43" i="7"/>
  <c r="DO43" i="7"/>
  <c r="DQ43" i="7"/>
  <c r="DC43" i="7"/>
  <c r="DA15" i="7"/>
  <c r="CE15" i="7"/>
  <c r="DF15" i="7"/>
  <c r="CG15" i="7"/>
  <c r="DB15" i="7"/>
  <c r="CC15" i="7"/>
  <c r="DD15" i="7"/>
  <c r="CB15" i="7"/>
  <c r="DA23" i="7"/>
  <c r="CE23" i="7"/>
  <c r="DF23" i="7"/>
  <c r="DB23" i="7"/>
  <c r="CG23" i="7"/>
  <c r="CC23" i="7"/>
  <c r="DD23" i="7"/>
  <c r="CB23" i="7"/>
  <c r="CE32" i="7"/>
  <c r="DD32" i="7"/>
  <c r="DF32" i="7"/>
  <c r="CG32" i="7"/>
  <c r="DD42" i="7"/>
  <c r="CE42" i="7"/>
  <c r="DB42" i="7"/>
  <c r="DA42" i="7"/>
  <c r="CC42" i="7"/>
  <c r="CB42" i="7"/>
  <c r="DF42" i="7"/>
  <c r="CG42" i="7"/>
  <c r="CG54" i="7"/>
  <c r="DF54" i="7"/>
  <c r="CE54" i="7"/>
  <c r="DD54" i="7"/>
  <c r="DM93" i="7"/>
  <c r="DR93" i="7"/>
  <c r="CO93" i="7"/>
  <c r="DL93" i="7"/>
  <c r="CU93" i="7"/>
  <c r="CN93" i="7"/>
  <c r="DQ93" i="7"/>
  <c r="DJ93" i="7"/>
  <c r="CK93" i="7"/>
  <c r="CT93" i="7"/>
  <c r="DS93" i="7"/>
  <c r="CS93" i="7"/>
  <c r="DI93" i="7"/>
  <c r="CJ93" i="7"/>
  <c r="DH93" i="7"/>
  <c r="CI93" i="7"/>
  <c r="CH93" i="7"/>
  <c r="DG93" i="7"/>
  <c r="DO20" i="7"/>
  <c r="CS20" i="7"/>
  <c r="CD20" i="7"/>
  <c r="DC20" i="7"/>
  <c r="DQ20" i="7"/>
  <c r="DP20" i="7"/>
  <c r="CR20" i="7"/>
  <c r="CQ20" i="7"/>
  <c r="CF20" i="7"/>
  <c r="DE20" i="7"/>
  <c r="DA17" i="7"/>
  <c r="CE17" i="7"/>
  <c r="DF17" i="7"/>
  <c r="DD17" i="7"/>
  <c r="DB17" i="7"/>
  <c r="CB17" i="7"/>
  <c r="CG17" i="7"/>
  <c r="CC17" i="7"/>
  <c r="DM96" i="7"/>
  <c r="CO96" i="7"/>
  <c r="DR96" i="7"/>
  <c r="DJ96" i="7"/>
  <c r="CT96" i="7"/>
  <c r="CK96" i="7"/>
  <c r="DL96" i="7"/>
  <c r="CN96" i="7"/>
  <c r="DQ96" i="7"/>
  <c r="CH96" i="7"/>
  <c r="CU96" i="7"/>
  <c r="DI96" i="7"/>
  <c r="CS96" i="7"/>
  <c r="CJ96" i="7"/>
  <c r="DS96" i="7"/>
  <c r="CI96" i="7"/>
  <c r="DH96" i="7"/>
  <c r="DG96" i="7"/>
  <c r="DO32" i="7"/>
  <c r="DE32" i="7"/>
  <c r="CD32" i="7"/>
  <c r="CR32" i="7"/>
  <c r="CS32" i="7"/>
  <c r="CQ32" i="7"/>
  <c r="DQ32" i="7"/>
  <c r="DC32" i="7"/>
  <c r="DP32" i="7"/>
  <c r="CF32" i="7"/>
  <c r="DQ54" i="7"/>
  <c r="CR54" i="7"/>
  <c r="DP54" i="7"/>
  <c r="CQ54" i="7"/>
  <c r="CF54" i="7"/>
  <c r="DO54" i="7"/>
  <c r="DC54" i="7"/>
  <c r="CS54" i="7"/>
  <c r="CD54" i="7"/>
  <c r="DE54" i="7"/>
  <c r="CG31" i="7"/>
  <c r="DD31" i="7"/>
  <c r="DF31" i="7"/>
  <c r="CE31" i="7"/>
  <c r="DA53" i="7"/>
  <c r="CE53" i="7"/>
  <c r="DF53" i="7"/>
  <c r="CG53" i="7"/>
  <c r="DD53" i="7"/>
  <c r="CC53" i="7"/>
  <c r="CB53" i="7"/>
  <c r="DB53" i="7"/>
  <c r="DQ26" i="7"/>
  <c r="DC26" i="7"/>
  <c r="DP26" i="7"/>
  <c r="CF26" i="7"/>
  <c r="CS26" i="7"/>
  <c r="CD26" i="7"/>
  <c r="DE26" i="7"/>
  <c r="CR26" i="7"/>
  <c r="CQ26" i="7"/>
  <c r="DO26" i="7"/>
  <c r="CS38" i="7"/>
  <c r="CD38" i="7"/>
  <c r="DE38" i="7"/>
  <c r="CR38" i="7"/>
  <c r="CQ38" i="7"/>
  <c r="DQ38" i="7"/>
  <c r="DC38" i="7"/>
  <c r="DP38" i="7"/>
  <c r="CF38" i="7"/>
  <c r="DO38" i="7"/>
  <c r="CS45" i="7"/>
  <c r="CD45" i="7"/>
  <c r="DE45" i="7"/>
  <c r="CR45" i="7"/>
  <c r="CQ45" i="7"/>
  <c r="DQ45" i="7"/>
  <c r="DC45" i="7"/>
  <c r="DP45" i="7"/>
  <c r="CF45" i="7"/>
  <c r="DO45" i="7"/>
  <c r="DA16" i="7"/>
  <c r="CE16" i="7"/>
  <c r="DF16" i="7"/>
  <c r="CC16" i="7"/>
  <c r="CG16" i="7"/>
  <c r="DD16" i="7"/>
  <c r="CB16" i="7"/>
  <c r="DB16" i="7"/>
  <c r="CG25" i="7"/>
  <c r="DB25" i="7"/>
  <c r="CC25" i="7"/>
  <c r="DD25" i="7"/>
  <c r="CB25" i="7"/>
  <c r="DF25" i="7"/>
  <c r="DA25" i="7"/>
  <c r="CE25" i="7"/>
  <c r="DF37" i="7"/>
  <c r="CC37" i="7"/>
  <c r="DD37" i="7"/>
  <c r="CB37" i="7"/>
  <c r="DA37" i="7"/>
  <c r="CG37" i="7"/>
  <c r="DB37" i="7"/>
  <c r="CE37" i="7"/>
  <c r="CS37" i="7"/>
  <c r="DO37" i="7"/>
  <c r="CR37" i="7"/>
  <c r="DP37" i="7"/>
  <c r="DQ37" i="7"/>
  <c r="CQ37" i="7"/>
  <c r="DF43" i="7"/>
  <c r="CC43" i="7"/>
  <c r="DD43" i="7"/>
  <c r="CB43" i="7"/>
  <c r="CE43" i="7"/>
  <c r="CG43" i="7"/>
  <c r="DA43" i="7"/>
  <c r="DB43" i="7"/>
  <c r="DM70" i="7"/>
  <c r="CO70" i="7"/>
  <c r="DS70" i="7"/>
  <c r="DL70" i="7"/>
  <c r="CU70" i="7"/>
  <c r="CN70" i="7"/>
  <c r="DJ70" i="7"/>
  <c r="CK70" i="7"/>
  <c r="DI70" i="7"/>
  <c r="CJ70" i="7"/>
  <c r="DR70" i="7"/>
  <c r="DH70" i="7"/>
  <c r="CT70" i="7"/>
  <c r="CI70" i="7"/>
  <c r="DQ70" i="7"/>
  <c r="DG70" i="7"/>
  <c r="CS70" i="7"/>
  <c r="CH70" i="7"/>
  <c r="DQ27" i="7"/>
  <c r="DC27" i="7"/>
  <c r="DP27" i="7"/>
  <c r="CF27" i="7"/>
  <c r="CR27" i="7"/>
  <c r="CQ27" i="7"/>
  <c r="CD27" i="7"/>
  <c r="CS27" i="7"/>
  <c r="DO27" i="7"/>
  <c r="DE27" i="7"/>
  <c r="DF38" i="7"/>
  <c r="CC38" i="7"/>
  <c r="DD38" i="7"/>
  <c r="CB38" i="7"/>
  <c r="CG38" i="7"/>
  <c r="DB38" i="7"/>
  <c r="DA38" i="7"/>
  <c r="CE38" i="7"/>
  <c r="DO21" i="7"/>
  <c r="CS21" i="7"/>
  <c r="CD21" i="7"/>
  <c r="CR21" i="7"/>
  <c r="CQ21" i="7"/>
  <c r="CF21" i="7"/>
  <c r="DC21" i="7"/>
  <c r="DQ21" i="7"/>
  <c r="DE21" i="7"/>
  <c r="DP21" i="7"/>
  <c r="DQ30" i="7"/>
  <c r="DC30" i="7"/>
  <c r="DP30" i="7"/>
  <c r="CF30" i="7"/>
  <c r="CS30" i="7"/>
  <c r="CQ30" i="7"/>
  <c r="CD30" i="7"/>
  <c r="DO30" i="7"/>
  <c r="CR30" i="7"/>
  <c r="DE30" i="7"/>
  <c r="CD40" i="7"/>
  <c r="DQ40" i="7"/>
  <c r="DP40" i="7"/>
  <c r="CS40" i="7"/>
  <c r="DE40" i="7"/>
  <c r="CF40" i="7"/>
  <c r="DC40" i="7"/>
  <c r="DO40" i="7"/>
  <c r="CR40" i="7"/>
  <c r="CQ40" i="7"/>
  <c r="DO47" i="7"/>
  <c r="CS47" i="7"/>
  <c r="CD47" i="7"/>
  <c r="DC47" i="7"/>
  <c r="CQ47" i="7"/>
  <c r="CR47" i="7"/>
  <c r="CF47" i="7"/>
  <c r="DP47" i="7"/>
  <c r="DE47" i="7"/>
  <c r="DQ47" i="7"/>
  <c r="DA20" i="7"/>
  <c r="CE20" i="7"/>
  <c r="DF20" i="7"/>
  <c r="DB20" i="7"/>
  <c r="CC20" i="7"/>
  <c r="CB20" i="7"/>
  <c r="CG20" i="7"/>
  <c r="DD20" i="7"/>
  <c r="CG27" i="7"/>
  <c r="DB27" i="7"/>
  <c r="CE27" i="7"/>
  <c r="DF27" i="7"/>
  <c r="DA27" i="7"/>
  <c r="CC27" i="7"/>
  <c r="DD27" i="7"/>
  <c r="CB27" i="7"/>
  <c r="DF39" i="7"/>
  <c r="CC39" i="7"/>
  <c r="DD39" i="7"/>
  <c r="CB39" i="7"/>
  <c r="CE39" i="7"/>
  <c r="CG39" i="7"/>
  <c r="DB39" i="7"/>
  <c r="DA39" i="7"/>
  <c r="DA46" i="7"/>
  <c r="CE46" i="7"/>
  <c r="DF46" i="7"/>
  <c r="DD46" i="7"/>
  <c r="CC46" i="7"/>
  <c r="CB46" i="7"/>
  <c r="DB46" i="7"/>
  <c r="CG46" i="7"/>
  <c r="DM92" i="7"/>
  <c r="CO92" i="7"/>
  <c r="DS92" i="7"/>
  <c r="DL92" i="7"/>
  <c r="CU92" i="7"/>
  <c r="CN92" i="7"/>
  <c r="DJ92" i="7"/>
  <c r="CK92" i="7"/>
  <c r="DR92" i="7"/>
  <c r="CT92" i="7"/>
  <c r="DQ92" i="7"/>
  <c r="CS92" i="7"/>
  <c r="DI92" i="7"/>
  <c r="CJ92" i="7"/>
  <c r="DH92" i="7"/>
  <c r="CI92" i="7"/>
  <c r="DG92" i="7"/>
  <c r="CH92" i="7"/>
  <c r="DO46" i="7"/>
  <c r="CS46" i="7"/>
  <c r="DQ46" i="7"/>
  <c r="DE46" i="7"/>
  <c r="CD46" i="7"/>
  <c r="DP46" i="7"/>
  <c r="DC46" i="7"/>
  <c r="CF46" i="7"/>
  <c r="CQ46" i="7"/>
  <c r="CR46" i="7"/>
  <c r="DF45" i="7"/>
  <c r="CC45" i="7"/>
  <c r="DD45" i="7"/>
  <c r="CB45" i="7"/>
  <c r="DA45" i="7"/>
  <c r="CE45" i="7"/>
  <c r="DB45" i="7"/>
  <c r="CG45" i="7"/>
  <c r="DO22" i="7"/>
  <c r="CS22" i="7"/>
  <c r="CD22" i="7"/>
  <c r="DQ22" i="7"/>
  <c r="DE22" i="7"/>
  <c r="DP22" i="7"/>
  <c r="CQ22" i="7"/>
  <c r="DC22" i="7"/>
  <c r="CR22" i="7"/>
  <c r="CF22" i="7"/>
  <c r="DC31" i="7"/>
  <c r="CS31" i="7"/>
  <c r="DQ31" i="7"/>
  <c r="DE31" i="7"/>
  <c r="DP31" i="7"/>
  <c r="CF31" i="7"/>
  <c r="CD31" i="7"/>
  <c r="DO31" i="7"/>
  <c r="CR31" i="7"/>
  <c r="CQ31" i="7"/>
  <c r="DP41" i="7"/>
  <c r="CS41" i="7"/>
  <c r="DO41" i="7"/>
  <c r="DE41" i="7"/>
  <c r="CR41" i="7"/>
  <c r="CQ41" i="7"/>
  <c r="CF41" i="7"/>
  <c r="DC41" i="7"/>
  <c r="CD41" i="7"/>
  <c r="DQ41" i="7"/>
  <c r="DO53" i="7"/>
  <c r="CS53" i="7"/>
  <c r="CD53" i="7"/>
  <c r="CR53" i="7"/>
  <c r="CQ53" i="7"/>
  <c r="CF53" i="7"/>
  <c r="DQ53" i="7"/>
  <c r="DE53" i="7"/>
  <c r="DP53" i="7"/>
  <c r="DC53" i="7"/>
  <c r="DA21" i="7"/>
  <c r="CE21" i="7"/>
  <c r="DF21" i="7"/>
  <c r="CG21" i="7"/>
  <c r="DB21" i="7"/>
  <c r="CB21" i="7"/>
  <c r="CC21" i="7"/>
  <c r="DD21" i="7"/>
  <c r="CG30" i="7"/>
  <c r="DB30" i="7"/>
  <c r="DA30" i="7"/>
  <c r="DD30" i="7"/>
  <c r="CE30" i="7"/>
  <c r="DF30" i="7"/>
  <c r="CC30" i="7"/>
  <c r="CB30" i="7"/>
  <c r="DB40" i="7"/>
  <c r="DA40" i="7"/>
  <c r="CC40" i="7"/>
  <c r="DF40" i="7"/>
  <c r="CB40" i="7"/>
  <c r="CG40" i="7"/>
  <c r="DD40" i="7"/>
  <c r="CE40" i="7"/>
  <c r="DA47" i="7"/>
  <c r="CE47" i="7"/>
  <c r="DF47" i="7"/>
  <c r="DB47" i="7"/>
  <c r="CG47" i="7"/>
  <c r="CB47" i="7"/>
  <c r="CC47" i="7"/>
  <c r="DD47" i="7"/>
  <c r="DM95" i="7"/>
  <c r="CO95" i="7"/>
  <c r="DR95" i="7"/>
  <c r="DJ95" i="7"/>
  <c r="CT95" i="7"/>
  <c r="CK95" i="7"/>
  <c r="DL95" i="7"/>
  <c r="CN95" i="7"/>
  <c r="DI95" i="7"/>
  <c r="CS95" i="7"/>
  <c r="DH95" i="7"/>
  <c r="DG95" i="7"/>
  <c r="CJ95" i="7"/>
  <c r="CU95" i="7"/>
  <c r="DS95" i="7"/>
  <c r="CI95" i="7"/>
  <c r="DQ95" i="7"/>
  <c r="CH95" i="7"/>
  <c r="C37" i="7"/>
  <c r="C35" i="7"/>
  <c r="C38" i="7"/>
  <c r="C39" i="7"/>
  <c r="D17" i="7"/>
  <c r="D16" i="7"/>
  <c r="D15" i="7"/>
  <c r="D117" i="7"/>
  <c r="E117" i="7"/>
  <c r="DN37" i="7" l="1"/>
  <c r="CK37" i="7"/>
  <c r="DM37" i="7"/>
  <c r="CI37" i="7"/>
  <c r="DL37" i="7"/>
  <c r="CH37" i="7"/>
  <c r="DJ37" i="7"/>
  <c r="CP37" i="7"/>
  <c r="DH37" i="7"/>
  <c r="CO37" i="7"/>
  <c r="DG37" i="7"/>
  <c r="CN37" i="7"/>
  <c r="DO15" i="7"/>
  <c r="CS15" i="7"/>
  <c r="CD15" i="7"/>
  <c r="CR15" i="7"/>
  <c r="CQ15" i="7"/>
  <c r="CF15" i="7"/>
  <c r="DE15" i="7"/>
  <c r="DP15" i="7"/>
  <c r="DQ15" i="7"/>
  <c r="DC15" i="7"/>
  <c r="DO16" i="7"/>
  <c r="CS16" i="7"/>
  <c r="CD16" i="7"/>
  <c r="DQ16" i="7"/>
  <c r="DE16" i="7"/>
  <c r="CQ16" i="7"/>
  <c r="DP16" i="7"/>
  <c r="CF16" i="7"/>
  <c r="DC16" i="7"/>
  <c r="CR16" i="7"/>
  <c r="DO17" i="7"/>
  <c r="CS17" i="7"/>
  <c r="CD17" i="7"/>
  <c r="DC17" i="7"/>
  <c r="CQ17" i="7"/>
  <c r="DQ17" i="7"/>
  <c r="CR17" i="7"/>
  <c r="CF17" i="7"/>
  <c r="DE17" i="7"/>
  <c r="DP17" i="7"/>
  <c r="DN38" i="7"/>
  <c r="CK38" i="7"/>
  <c r="DM38" i="7"/>
  <c r="CI38" i="7"/>
  <c r="DL38" i="7"/>
  <c r="CH38" i="7"/>
  <c r="DG38" i="7"/>
  <c r="CO38" i="7"/>
  <c r="DJ38" i="7"/>
  <c r="CP38" i="7"/>
  <c r="DH38" i="7"/>
  <c r="CN38" i="7"/>
  <c r="DN39" i="7"/>
  <c r="CK39" i="7"/>
  <c r="DM39" i="7"/>
  <c r="CI39" i="7"/>
  <c r="DL39" i="7"/>
  <c r="CH39" i="7"/>
  <c r="DJ39" i="7"/>
  <c r="CP39" i="7"/>
  <c r="DH39" i="7"/>
  <c r="CO39" i="7"/>
  <c r="DG39" i="7"/>
  <c r="CN39" i="7"/>
  <c r="DN35" i="7"/>
  <c r="DM35" i="7"/>
  <c r="CI35" i="7"/>
  <c r="DL35" i="7"/>
  <c r="CH35" i="7"/>
  <c r="DJ35" i="7"/>
  <c r="CK35" i="7"/>
  <c r="DH35" i="7"/>
  <c r="CN35" i="7"/>
  <c r="DG35" i="7"/>
  <c r="CP35" i="7"/>
  <c r="CO35" i="7"/>
  <c r="C116" i="7"/>
  <c r="C117" i="7"/>
  <c r="C65" i="7"/>
  <c r="N38" i="16"/>
  <c r="M38" i="16"/>
  <c r="J38" i="16"/>
  <c r="G38" i="16"/>
  <c r="G31" i="16"/>
  <c r="G26" i="16"/>
  <c r="G23" i="16"/>
  <c r="H23" i="16"/>
  <c r="H19" i="16"/>
  <c r="G19" i="16"/>
  <c r="G16" i="16"/>
  <c r="H16" i="16"/>
  <c r="E27" i="16"/>
  <c r="F27" i="16"/>
  <c r="E32" i="16"/>
  <c r="C48" i="6" l="1"/>
  <c r="C26" i="6"/>
  <c r="B20" i="18"/>
  <c r="C142" i="17"/>
  <c r="B10" i="8"/>
  <c r="E35" i="4"/>
  <c r="D35" i="4"/>
  <c r="CA65" i="2"/>
  <c r="CM35" i="4" l="1"/>
  <c r="CE35" i="4"/>
  <c r="BU20" i="18"/>
  <c r="BF20" i="18" s="1"/>
  <c r="BT20" i="18"/>
  <c r="BE20" i="18" s="1"/>
  <c r="DD142" i="17"/>
  <c r="CE142" i="17" s="1"/>
  <c r="DC142" i="17"/>
  <c r="CD142" i="17" s="1"/>
  <c r="DB142" i="17"/>
  <c r="CC142" i="17" s="1"/>
  <c r="DA142" i="17"/>
  <c r="CB142" i="17" s="1"/>
  <c r="C18" i="4"/>
  <c r="BR20" i="18"/>
  <c r="BC20" i="18" s="1"/>
  <c r="BS20" i="18"/>
  <c r="BD20" i="18" s="1"/>
  <c r="B12" i="18"/>
  <c r="DB25" i="2"/>
  <c r="DF25" i="2"/>
  <c r="CB25" i="2"/>
  <c r="CF25" i="2"/>
  <c r="DD25" i="2"/>
  <c r="CD25" i="2"/>
  <c r="DE25" i="2"/>
  <c r="CE25" i="2"/>
  <c r="DC25" i="2"/>
  <c r="DG25" i="2"/>
  <c r="CC25" i="2"/>
  <c r="CG25" i="2"/>
  <c r="CB11" i="2"/>
  <c r="DG11" i="2"/>
  <c r="CD11" i="2"/>
  <c r="DF11" i="2"/>
  <c r="CC11" i="2"/>
  <c r="DE11" i="2"/>
  <c r="DD11" i="2"/>
  <c r="DC11" i="2"/>
  <c r="CG11" i="2"/>
  <c r="DB11" i="2"/>
  <c r="CF11" i="2"/>
  <c r="CE11" i="2"/>
  <c r="C35" i="4"/>
  <c r="C19" i="4"/>
  <c r="C81" i="7"/>
  <c r="DG81" i="7" l="1"/>
  <c r="CT81" i="7"/>
  <c r="CJ81" i="7"/>
  <c r="CS81" i="7"/>
  <c r="CI81" i="7"/>
  <c r="DI81" i="7"/>
  <c r="DS81" i="7"/>
  <c r="DH81" i="7"/>
  <c r="DR81" i="7"/>
  <c r="CO81" i="7"/>
  <c r="DQ81" i="7"/>
  <c r="CK81" i="7"/>
  <c r="CU81" i="7"/>
  <c r="CH81" i="7"/>
  <c r="DJ81" i="7"/>
  <c r="CC18" i="4"/>
  <c r="CK18" i="4"/>
  <c r="CJ18" i="4"/>
  <c r="CL18" i="4"/>
  <c r="CB18" i="4"/>
  <c r="CD18" i="4"/>
  <c r="CK19" i="4"/>
  <c r="CB19" i="4"/>
  <c r="CJ19" i="4"/>
  <c r="CD19" i="4"/>
  <c r="CL19" i="4"/>
  <c r="CC19" i="4"/>
  <c r="CL35" i="4"/>
  <c r="CC35" i="4"/>
  <c r="CK35" i="4"/>
  <c r="CB35" i="4"/>
  <c r="CJ35" i="4"/>
  <c r="CD35" i="4"/>
  <c r="CF39" i="4"/>
  <c r="AS39" i="4" s="1"/>
  <c r="CN39" i="4"/>
  <c r="CF37" i="4"/>
  <c r="CN40" i="4"/>
  <c r="CN37" i="4"/>
  <c r="CN38" i="4"/>
  <c r="CF38" i="4"/>
  <c r="AS38" i="4" s="1"/>
  <c r="AV142" i="17"/>
  <c r="T11" i="2"/>
  <c r="T25" i="2"/>
  <c r="C24" i="7"/>
  <c r="C23" i="4"/>
  <c r="E41" i="4"/>
  <c r="D41" i="4"/>
  <c r="B13" i="8"/>
  <c r="B18" i="8"/>
  <c r="C72" i="16"/>
  <c r="AS19" i="4" l="1"/>
  <c r="CL23" i="4"/>
  <c r="CK23" i="4"/>
  <c r="CJ23" i="4"/>
  <c r="CD23" i="4"/>
  <c r="CC23" i="4"/>
  <c r="CB23" i="4"/>
  <c r="CE41" i="4"/>
  <c r="CM41" i="4"/>
  <c r="AS18" i="4"/>
  <c r="DH24" i="7"/>
  <c r="CH24" i="7"/>
  <c r="DG24" i="7"/>
  <c r="CK24" i="7"/>
  <c r="CI24" i="7"/>
  <c r="DM24" i="7"/>
  <c r="CO24" i="7"/>
  <c r="DN24" i="7"/>
  <c r="CP24" i="7"/>
  <c r="DJ24" i="7"/>
  <c r="C41" i="4"/>
  <c r="AS23" i="4" l="1"/>
  <c r="CL41" i="4"/>
  <c r="CC41" i="4"/>
  <c r="CN41" i="4"/>
  <c r="CK41" i="4"/>
  <c r="CB41" i="4"/>
  <c r="CD41" i="4"/>
  <c r="CJ41" i="4"/>
  <c r="CF41" i="4"/>
  <c r="AN87" i="16"/>
  <c r="AN88" i="16"/>
  <c r="AN89" i="16"/>
  <c r="AN90" i="16"/>
  <c r="AN91" i="16"/>
  <c r="AN92" i="16"/>
  <c r="AN93" i="16"/>
  <c r="AN94" i="16"/>
  <c r="AN95" i="16"/>
  <c r="AN96" i="16"/>
  <c r="AN97" i="16"/>
  <c r="AN98" i="16"/>
  <c r="AN99" i="16"/>
  <c r="AN86" i="16"/>
  <c r="AY87" i="16"/>
  <c r="AY88" i="16"/>
  <c r="AY89" i="16"/>
  <c r="AY90" i="16"/>
  <c r="AY91" i="16"/>
  <c r="AY92" i="16"/>
  <c r="AY93" i="16"/>
  <c r="AY94" i="16"/>
  <c r="AY95" i="16"/>
  <c r="AY96" i="16"/>
  <c r="AY97" i="16"/>
  <c r="AY98" i="16"/>
  <c r="AY99" i="16"/>
  <c r="AY86" i="16"/>
  <c r="AS41" i="4" l="1"/>
  <c r="D56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33" i="2"/>
  <c r="C84" i="2"/>
  <c r="C80" i="2"/>
  <c r="C76" i="2"/>
  <c r="C77" i="2"/>
  <c r="M62" i="2"/>
  <c r="M63" i="2"/>
  <c r="M64" i="2"/>
  <c r="M66" i="2"/>
  <c r="M67" i="2"/>
  <c r="M68" i="2"/>
  <c r="M69" i="2"/>
  <c r="M61" i="2"/>
  <c r="DC17" i="2" l="1"/>
  <c r="DG17" i="2"/>
  <c r="CE17" i="2"/>
  <c r="DD17" i="2"/>
  <c r="CB17" i="2"/>
  <c r="CF17" i="2"/>
  <c r="DE17" i="2"/>
  <c r="DB17" i="2"/>
  <c r="CC17" i="2"/>
  <c r="DF17" i="2"/>
  <c r="CD17" i="2"/>
  <c r="CG17" i="2"/>
  <c r="T17" i="2" l="1"/>
  <c r="CO12" i="10"/>
  <c r="CI12" i="10"/>
  <c r="CD12" i="10"/>
  <c r="CE12" i="10"/>
  <c r="CM12" i="10"/>
  <c r="CH12" i="10"/>
  <c r="CB12" i="10"/>
  <c r="CQ12" i="10"/>
  <c r="CK12" i="10"/>
  <c r="CF12" i="10"/>
  <c r="CP12" i="10"/>
  <c r="CJ12" i="10"/>
  <c r="L42" i="11"/>
  <c r="AY12" i="10" l="1"/>
  <c r="E35" i="5"/>
  <c r="J70" i="2"/>
  <c r="G70" i="2"/>
  <c r="Y20" i="6"/>
  <c r="Y15" i="6"/>
  <c r="V15" i="6"/>
  <c r="C106" i="17"/>
  <c r="E107" i="17"/>
  <c r="L107" i="17"/>
  <c r="C121" i="17"/>
  <c r="C135" i="17"/>
  <c r="E65" i="4"/>
  <c r="D65" i="4"/>
  <c r="E64" i="4"/>
  <c r="D31" i="8"/>
  <c r="L99" i="16"/>
  <c r="L98" i="16"/>
  <c r="L89" i="16"/>
  <c r="C87" i="16"/>
  <c r="O12" i="16"/>
  <c r="B37" i="11"/>
  <c r="L61" i="11"/>
  <c r="DJ106" i="17" l="1"/>
  <c r="CH106" i="17"/>
  <c r="DI106" i="17"/>
  <c r="DH106" i="17"/>
  <c r="DG106" i="17"/>
  <c r="CK106" i="17"/>
  <c r="CJ106" i="17"/>
  <c r="CI106" i="17"/>
  <c r="DC20" i="2"/>
  <c r="DG20" i="2"/>
  <c r="CE20" i="2"/>
  <c r="DD20" i="2"/>
  <c r="CB20" i="2"/>
  <c r="CF20" i="2"/>
  <c r="DE20" i="2"/>
  <c r="DF20" i="2"/>
  <c r="CG20" i="2"/>
  <c r="CC20" i="2"/>
  <c r="DB20" i="2"/>
  <c r="CD20" i="2"/>
  <c r="DG21" i="2"/>
  <c r="DE21" i="2"/>
  <c r="CC21" i="2"/>
  <c r="CG21" i="2"/>
  <c r="DB21" i="2"/>
  <c r="DF21" i="2"/>
  <c r="CD21" i="2"/>
  <c r="DC21" i="2"/>
  <c r="DD21" i="2"/>
  <c r="CB21" i="2"/>
  <c r="CE21" i="2"/>
  <c r="CF21" i="2"/>
  <c r="DB36" i="2"/>
  <c r="DF36" i="2"/>
  <c r="CD36" i="2"/>
  <c r="CF36" i="2"/>
  <c r="DE36" i="2"/>
  <c r="CG36" i="2"/>
  <c r="DC36" i="2"/>
  <c r="DG36" i="2"/>
  <c r="CE36" i="2"/>
  <c r="DD36" i="2"/>
  <c r="CB36" i="2"/>
  <c r="CC36" i="2"/>
  <c r="C76" i="7"/>
  <c r="C19" i="7"/>
  <c r="C53" i="7"/>
  <c r="C18" i="7"/>
  <c r="CQ13" i="10"/>
  <c r="CF13" i="10"/>
  <c r="CP13" i="10"/>
  <c r="CE13" i="10"/>
  <c r="CI13" i="10"/>
  <c r="CO13" i="10"/>
  <c r="CD13" i="10"/>
  <c r="CK13" i="10"/>
  <c r="CH13" i="10"/>
  <c r="CM13" i="10"/>
  <c r="CB13" i="10"/>
  <c r="CJ13" i="10"/>
  <c r="Y21" i="6"/>
  <c r="C110" i="7"/>
  <c r="C75" i="7"/>
  <c r="C49" i="16"/>
  <c r="C36" i="5"/>
  <c r="L97" i="16"/>
  <c r="L96" i="16"/>
  <c r="L95" i="16"/>
  <c r="L94" i="16"/>
  <c r="L93" i="16"/>
  <c r="L92" i="16"/>
  <c r="L91" i="16"/>
  <c r="L90" i="16"/>
  <c r="L88" i="16"/>
  <c r="L87" i="16"/>
  <c r="AK87" i="16" s="1"/>
  <c r="T21" i="2" l="1"/>
  <c r="DG19" i="7"/>
  <c r="CN19" i="7"/>
  <c r="DN19" i="7"/>
  <c r="CK19" i="7"/>
  <c r="CP19" i="7"/>
  <c r="CO19" i="7"/>
  <c r="DM19" i="7"/>
  <c r="CI19" i="7"/>
  <c r="DL19" i="7"/>
  <c r="CH19" i="7"/>
  <c r="DJ19" i="7"/>
  <c r="DH19" i="7"/>
  <c r="DG18" i="7"/>
  <c r="CN18" i="7"/>
  <c r="DN18" i="7"/>
  <c r="CK18" i="7"/>
  <c r="DJ18" i="7"/>
  <c r="DL18" i="7"/>
  <c r="DH18" i="7"/>
  <c r="DM18" i="7"/>
  <c r="CH18" i="7"/>
  <c r="CP18" i="7"/>
  <c r="CO18" i="7"/>
  <c r="CI18" i="7"/>
  <c r="DM75" i="7"/>
  <c r="CO75" i="7"/>
  <c r="DS75" i="7"/>
  <c r="DL75" i="7"/>
  <c r="CU75" i="7"/>
  <c r="CN75" i="7"/>
  <c r="DJ75" i="7"/>
  <c r="CK75" i="7"/>
  <c r="DI75" i="7"/>
  <c r="CJ75" i="7"/>
  <c r="DR75" i="7"/>
  <c r="DH75" i="7"/>
  <c r="CT75" i="7"/>
  <c r="CI75" i="7"/>
  <c r="DQ75" i="7"/>
  <c r="DG75" i="7"/>
  <c r="CS75" i="7"/>
  <c r="CH75" i="7"/>
  <c r="DM76" i="7"/>
  <c r="CO76" i="7"/>
  <c r="DS76" i="7"/>
  <c r="DL76" i="7"/>
  <c r="CU76" i="7"/>
  <c r="CN76" i="7"/>
  <c r="DJ76" i="7"/>
  <c r="CK76" i="7"/>
  <c r="DI76" i="7"/>
  <c r="CJ76" i="7"/>
  <c r="DR76" i="7"/>
  <c r="DH76" i="7"/>
  <c r="CT76" i="7"/>
  <c r="CI76" i="7"/>
  <c r="DQ76" i="7"/>
  <c r="DG76" i="7"/>
  <c r="CS76" i="7"/>
  <c r="CH76" i="7"/>
  <c r="DH110" i="7"/>
  <c r="CI110" i="7"/>
  <c r="DG110" i="7"/>
  <c r="CH110" i="7"/>
  <c r="DM110" i="7"/>
  <c r="CO110" i="7"/>
  <c r="DI110" i="7"/>
  <c r="CS110" i="7"/>
  <c r="DS110" i="7"/>
  <c r="CN110" i="7"/>
  <c r="DR110" i="7"/>
  <c r="CU110" i="7"/>
  <c r="DQ110" i="7"/>
  <c r="CT110" i="7"/>
  <c r="DL110" i="7"/>
  <c r="CK110" i="7"/>
  <c r="CJ110" i="7"/>
  <c r="DJ110" i="7"/>
  <c r="DG53" i="7"/>
  <c r="CN53" i="7"/>
  <c r="DN53" i="7"/>
  <c r="CK53" i="7"/>
  <c r="DJ53" i="7"/>
  <c r="DH53" i="7"/>
  <c r="CP53" i="7"/>
  <c r="CO53" i="7"/>
  <c r="DL53" i="7"/>
  <c r="DM53" i="7"/>
  <c r="CH53" i="7"/>
  <c r="CI53" i="7"/>
  <c r="AY13" i="10"/>
  <c r="AY93" i="7"/>
  <c r="T36" i="2"/>
  <c r="T20" i="2"/>
  <c r="AY95" i="7"/>
  <c r="AY94" i="7"/>
  <c r="AY96" i="7"/>
  <c r="AV87" i="16"/>
  <c r="AY38" i="7"/>
  <c r="AY39" i="7"/>
  <c r="AY37" i="7"/>
  <c r="CB15" i="10"/>
  <c r="CF15" i="10"/>
  <c r="CJ15" i="10"/>
  <c r="CE15" i="10"/>
  <c r="CK15" i="10"/>
  <c r="CH15" i="10"/>
  <c r="CP15" i="10"/>
  <c r="CD15" i="10"/>
  <c r="CM15" i="10"/>
  <c r="CI15" i="10"/>
  <c r="CO15" i="10"/>
  <c r="CQ15" i="10"/>
  <c r="A5" i="2"/>
  <c r="A4" i="2"/>
  <c r="A3" i="2"/>
  <c r="A2" i="2"/>
  <c r="CF48" i="2"/>
  <c r="CD48" i="2"/>
  <c r="CF47" i="2"/>
  <c r="CD47" i="2"/>
  <c r="CF46" i="2"/>
  <c r="CD46" i="2"/>
  <c r="CF45" i="2"/>
  <c r="CD45" i="2"/>
  <c r="CF44" i="2"/>
  <c r="CD44" i="2"/>
  <c r="CF43" i="2"/>
  <c r="CD43" i="2"/>
  <c r="CF42" i="2"/>
  <c r="CD42" i="2"/>
  <c r="CF41" i="2"/>
  <c r="CD41" i="2"/>
  <c r="CF40" i="2"/>
  <c r="CD40" i="2"/>
  <c r="R7" i="16"/>
  <c r="P19" i="16"/>
  <c r="P23" i="16"/>
  <c r="AM99" i="16"/>
  <c r="AL99" i="16"/>
  <c r="AM98" i="16"/>
  <c r="AL98" i="16"/>
  <c r="AM97" i="16"/>
  <c r="AL97" i="16"/>
  <c r="AM96" i="16"/>
  <c r="AL96" i="16"/>
  <c r="AM95" i="16"/>
  <c r="AL95" i="16"/>
  <c r="AM94" i="16"/>
  <c r="AL94" i="16"/>
  <c r="AM93" i="16"/>
  <c r="AL93" i="16"/>
  <c r="AM92" i="16"/>
  <c r="AL92" i="16"/>
  <c r="AM91" i="16"/>
  <c r="AL91" i="16"/>
  <c r="AM90" i="16"/>
  <c r="AL90" i="16"/>
  <c r="AM89" i="16"/>
  <c r="AL89" i="16"/>
  <c r="AM88" i="16"/>
  <c r="AL88" i="16"/>
  <c r="AM87" i="16"/>
  <c r="AL87" i="16"/>
  <c r="AM86" i="16"/>
  <c r="AL86" i="16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CK135" i="17"/>
  <c r="CK134" i="17"/>
  <c r="CA83" i="2"/>
  <c r="C83" i="2" s="1"/>
  <c r="CA82" i="2"/>
  <c r="C82" i="2" s="1"/>
  <c r="CA81" i="2"/>
  <c r="C81" i="2" s="1"/>
  <c r="CC48" i="2"/>
  <c r="CB48" i="2"/>
  <c r="CA48" i="2"/>
  <c r="CC47" i="2"/>
  <c r="CB47" i="2"/>
  <c r="CA47" i="2"/>
  <c r="CC46" i="2"/>
  <c r="CB46" i="2"/>
  <c r="CA46" i="2"/>
  <c r="CC45" i="2"/>
  <c r="CB45" i="2"/>
  <c r="CA45" i="2"/>
  <c r="CC44" i="2"/>
  <c r="CB44" i="2"/>
  <c r="CA44" i="2"/>
  <c r="CC43" i="2"/>
  <c r="CB43" i="2"/>
  <c r="CA43" i="2"/>
  <c r="CC42" i="2"/>
  <c r="CB42" i="2"/>
  <c r="CA42" i="2"/>
  <c r="CC41" i="2"/>
  <c r="CB41" i="2"/>
  <c r="CA41" i="2"/>
  <c r="CC40" i="2"/>
  <c r="CB40" i="2"/>
  <c r="CA40" i="2"/>
  <c r="I6" i="1"/>
  <c r="AG6" i="1" s="1"/>
  <c r="I5" i="1"/>
  <c r="AG5" i="1" s="1"/>
  <c r="I2" i="1"/>
  <c r="AG2" i="1" s="1"/>
  <c r="I30" i="16"/>
  <c r="I22" i="16"/>
  <c r="I24" i="16"/>
  <c r="I25" i="16"/>
  <c r="AX99" i="16"/>
  <c r="AW99" i="16"/>
  <c r="AX98" i="16"/>
  <c r="AW98" i="16"/>
  <c r="AX97" i="16"/>
  <c r="AW97" i="16"/>
  <c r="AX96" i="16"/>
  <c r="AW96" i="16"/>
  <c r="AX95" i="16"/>
  <c r="AW95" i="16"/>
  <c r="AX94" i="16"/>
  <c r="AW94" i="16"/>
  <c r="AX93" i="16"/>
  <c r="AW93" i="16"/>
  <c r="AX92" i="16"/>
  <c r="AW92" i="16"/>
  <c r="AX91" i="16"/>
  <c r="AW91" i="16"/>
  <c r="AX90" i="16"/>
  <c r="AW90" i="16"/>
  <c r="AX89" i="16"/>
  <c r="AW89" i="16"/>
  <c r="AX88" i="16"/>
  <c r="AW88" i="16"/>
  <c r="AX87" i="16"/>
  <c r="AW87" i="16"/>
  <c r="AX86" i="16"/>
  <c r="AW86" i="16"/>
  <c r="DF40" i="2"/>
  <c r="CW28" i="5"/>
  <c r="CV28" i="5"/>
  <c r="DF48" i="2"/>
  <c r="DF47" i="2"/>
  <c r="DF46" i="2"/>
  <c r="DF45" i="2"/>
  <c r="DF44" i="2"/>
  <c r="DF43" i="2"/>
  <c r="DF42" i="2"/>
  <c r="DF41" i="2"/>
  <c r="DA40" i="2"/>
  <c r="DB40" i="2"/>
  <c r="DC40" i="2"/>
  <c r="DD40" i="2"/>
  <c r="DA41" i="2"/>
  <c r="DB41" i="2"/>
  <c r="DC41" i="2"/>
  <c r="DD41" i="2"/>
  <c r="DA42" i="2"/>
  <c r="DB42" i="2"/>
  <c r="DC42" i="2"/>
  <c r="DD42" i="2"/>
  <c r="DA43" i="2"/>
  <c r="DB43" i="2"/>
  <c r="DC43" i="2"/>
  <c r="DD43" i="2"/>
  <c r="DA44" i="2"/>
  <c r="DB44" i="2"/>
  <c r="DC44" i="2"/>
  <c r="DD44" i="2"/>
  <c r="DA45" i="2"/>
  <c r="DB45" i="2"/>
  <c r="DC45" i="2"/>
  <c r="DD45" i="2"/>
  <c r="DA46" i="2"/>
  <c r="DB46" i="2"/>
  <c r="DC46" i="2"/>
  <c r="DD46" i="2"/>
  <c r="DA47" i="2"/>
  <c r="DB47" i="2"/>
  <c r="DC47" i="2"/>
  <c r="DD47" i="2"/>
  <c r="DA48" i="2"/>
  <c r="DB48" i="2"/>
  <c r="DC48" i="2"/>
  <c r="DD48" i="2"/>
  <c r="D13" i="12"/>
  <c r="H40" i="16"/>
  <c r="D47" i="16"/>
  <c r="AN72" i="16"/>
  <c r="CO22" i="10"/>
  <c r="D61" i="11"/>
  <c r="B49" i="11"/>
  <c r="K42" i="11"/>
  <c r="J42" i="11"/>
  <c r="I42" i="11"/>
  <c r="H42" i="11"/>
  <c r="G42" i="11"/>
  <c r="F42" i="11"/>
  <c r="E42" i="11"/>
  <c r="D42" i="11"/>
  <c r="B41" i="11"/>
  <c r="B40" i="11"/>
  <c r="B39" i="11"/>
  <c r="B38" i="11"/>
  <c r="B36" i="11"/>
  <c r="B35" i="11"/>
  <c r="B34" i="11"/>
  <c r="B33" i="11"/>
  <c r="B32" i="11"/>
  <c r="B31" i="11"/>
  <c r="B30" i="11"/>
  <c r="B15" i="18"/>
  <c r="B17" i="8"/>
  <c r="D24" i="8"/>
  <c r="D25" i="8"/>
  <c r="D26" i="8"/>
  <c r="D27" i="8"/>
  <c r="D28" i="8"/>
  <c r="D29" i="8"/>
  <c r="D30" i="8"/>
  <c r="DB89" i="2"/>
  <c r="CA74" i="2"/>
  <c r="C74" i="2" s="1"/>
  <c r="A5" i="18"/>
  <c r="A4" i="18"/>
  <c r="A3" i="18"/>
  <c r="A2" i="18"/>
  <c r="DB94" i="2"/>
  <c r="CB93" i="2"/>
  <c r="DC92" i="2"/>
  <c r="CD92" i="2"/>
  <c r="CD91" i="2"/>
  <c r="DB90" i="2"/>
  <c r="DD92" i="2"/>
  <c r="CB92" i="2"/>
  <c r="DA92" i="2"/>
  <c r="CC92" i="2"/>
  <c r="DJ135" i="17"/>
  <c r="CA53" i="2"/>
  <c r="D53" i="2" s="1"/>
  <c r="B57" i="11"/>
  <c r="B56" i="11"/>
  <c r="B55" i="11"/>
  <c r="B54" i="11"/>
  <c r="B53" i="11"/>
  <c r="B52" i="11"/>
  <c r="B51" i="11"/>
  <c r="B50" i="11"/>
  <c r="B21" i="8"/>
  <c r="B20" i="8"/>
  <c r="B19" i="8"/>
  <c r="B14" i="8"/>
  <c r="B12" i="8"/>
  <c r="A49" i="8" s="1"/>
  <c r="B11" i="8"/>
  <c r="D77" i="16"/>
  <c r="I39" i="16"/>
  <c r="I27" i="16"/>
  <c r="I20" i="16"/>
  <c r="D20" i="16"/>
  <c r="Q19" i="16"/>
  <c r="N19" i="16"/>
  <c r="M19" i="16"/>
  <c r="Q16" i="16"/>
  <c r="P16" i="16"/>
  <c r="N16" i="16"/>
  <c r="M16" i="16"/>
  <c r="B60" i="11"/>
  <c r="B59" i="11"/>
  <c r="B58" i="11"/>
  <c r="K61" i="11"/>
  <c r="J61" i="11"/>
  <c r="I61" i="11"/>
  <c r="H61" i="11"/>
  <c r="G61" i="11"/>
  <c r="F61" i="11"/>
  <c r="E61" i="11"/>
  <c r="E25" i="4"/>
  <c r="D25" i="4"/>
  <c r="C41" i="7"/>
  <c r="E37" i="5"/>
  <c r="CO37" i="5" s="1"/>
  <c r="BF37" i="5"/>
  <c r="CO34" i="5"/>
  <c r="BF34" i="5"/>
  <c r="E70" i="2"/>
  <c r="D37" i="16"/>
  <c r="D32" i="16"/>
  <c r="AX32" i="16" s="1"/>
  <c r="N72" i="17"/>
  <c r="DC44" i="17" s="1"/>
  <c r="G72" i="17"/>
  <c r="CB44" i="17" s="1"/>
  <c r="S72" i="17"/>
  <c r="R72" i="17"/>
  <c r="Q72" i="17"/>
  <c r="P72" i="17"/>
  <c r="O72" i="17"/>
  <c r="S70" i="17"/>
  <c r="R70" i="17"/>
  <c r="Q70" i="17"/>
  <c r="P70" i="17"/>
  <c r="O70" i="17"/>
  <c r="N70" i="17"/>
  <c r="D70" i="17" s="1"/>
  <c r="G70" i="17"/>
  <c r="R63" i="17"/>
  <c r="Q63" i="17"/>
  <c r="O63" i="17"/>
  <c r="N63" i="17"/>
  <c r="D63" i="17" s="1"/>
  <c r="G63" i="17"/>
  <c r="S58" i="17"/>
  <c r="R58" i="17"/>
  <c r="Q58" i="17"/>
  <c r="O58" i="17"/>
  <c r="N58" i="17"/>
  <c r="D58" i="17" s="1"/>
  <c r="G58" i="17"/>
  <c r="S55" i="17"/>
  <c r="R55" i="17"/>
  <c r="Q55" i="17"/>
  <c r="P55" i="17"/>
  <c r="O55" i="17"/>
  <c r="N55" i="17"/>
  <c r="D55" i="17" s="1"/>
  <c r="G55" i="17"/>
  <c r="S51" i="17"/>
  <c r="R51" i="17"/>
  <c r="Q51" i="17"/>
  <c r="P51" i="17"/>
  <c r="S48" i="17"/>
  <c r="R48" i="17"/>
  <c r="Q48" i="17"/>
  <c r="P48" i="17"/>
  <c r="CD36" i="6"/>
  <c r="CJ36" i="6"/>
  <c r="E14" i="16"/>
  <c r="E39" i="16"/>
  <c r="E37" i="16"/>
  <c r="E36" i="16"/>
  <c r="E35" i="16"/>
  <c r="E34" i="16"/>
  <c r="E33" i="16"/>
  <c r="E30" i="16"/>
  <c r="E29" i="16"/>
  <c r="E28" i="16"/>
  <c r="E25" i="16"/>
  <c r="E24" i="16"/>
  <c r="E22" i="16"/>
  <c r="E21" i="16"/>
  <c r="E20" i="16"/>
  <c r="E18" i="16"/>
  <c r="E17" i="16"/>
  <c r="E15" i="16"/>
  <c r="E13" i="16"/>
  <c r="C12" i="16"/>
  <c r="D39" i="16"/>
  <c r="D36" i="16"/>
  <c r="D35" i="16"/>
  <c r="D34" i="16"/>
  <c r="D33" i="16"/>
  <c r="D30" i="16"/>
  <c r="D29" i="16"/>
  <c r="D28" i="16"/>
  <c r="D27" i="16"/>
  <c r="C27" i="16" s="1"/>
  <c r="D25" i="16"/>
  <c r="D24" i="16"/>
  <c r="D22" i="16"/>
  <c r="D21" i="16"/>
  <c r="D18" i="16"/>
  <c r="D17" i="16"/>
  <c r="D15" i="16"/>
  <c r="D14" i="16"/>
  <c r="D13" i="16"/>
  <c r="O27" i="16"/>
  <c r="L27" i="16"/>
  <c r="F20" i="16"/>
  <c r="O39" i="16"/>
  <c r="L39" i="16"/>
  <c r="F39" i="16"/>
  <c r="O37" i="16"/>
  <c r="O36" i="16"/>
  <c r="O35" i="16"/>
  <c r="O34" i="16"/>
  <c r="O33" i="16"/>
  <c r="O32" i="16"/>
  <c r="L37" i="16"/>
  <c r="L36" i="16"/>
  <c r="L35" i="16"/>
  <c r="L34" i="16"/>
  <c r="L33" i="16"/>
  <c r="L32" i="16"/>
  <c r="I37" i="16"/>
  <c r="I36" i="16"/>
  <c r="I35" i="16"/>
  <c r="I34" i="16"/>
  <c r="I33" i="16"/>
  <c r="I32" i="16"/>
  <c r="F37" i="16"/>
  <c r="F36" i="16"/>
  <c r="F35" i="16"/>
  <c r="F34" i="16"/>
  <c r="F33" i="16"/>
  <c r="F32" i="16"/>
  <c r="Q38" i="16"/>
  <c r="P38" i="16"/>
  <c r="K38" i="16"/>
  <c r="D38" i="16"/>
  <c r="H38" i="16"/>
  <c r="O30" i="16"/>
  <c r="O29" i="16"/>
  <c r="O28" i="16"/>
  <c r="L30" i="16"/>
  <c r="L29" i="16"/>
  <c r="L28" i="16"/>
  <c r="I29" i="16"/>
  <c r="I28" i="16"/>
  <c r="F28" i="16"/>
  <c r="F30" i="16"/>
  <c r="F29" i="16"/>
  <c r="Q31" i="16"/>
  <c r="P31" i="16"/>
  <c r="N31" i="16"/>
  <c r="M31" i="16"/>
  <c r="K31" i="16"/>
  <c r="J31" i="16"/>
  <c r="D31" i="16" s="1"/>
  <c r="H31" i="16"/>
  <c r="O25" i="16"/>
  <c r="O24" i="16"/>
  <c r="O22" i="16"/>
  <c r="O21" i="16"/>
  <c r="O20" i="16"/>
  <c r="L25" i="16"/>
  <c r="L24" i="16"/>
  <c r="L22" i="16"/>
  <c r="L21" i="16"/>
  <c r="J23" i="16"/>
  <c r="I21" i="16"/>
  <c r="F25" i="16"/>
  <c r="F24" i="16"/>
  <c r="F22" i="16"/>
  <c r="F21" i="16"/>
  <c r="Q26" i="16"/>
  <c r="P26" i="16"/>
  <c r="Q23" i="16"/>
  <c r="N26" i="16"/>
  <c r="M26" i="16"/>
  <c r="N23" i="16"/>
  <c r="M23" i="16"/>
  <c r="K26" i="16"/>
  <c r="J26" i="16"/>
  <c r="D26" i="16" s="1"/>
  <c r="K23" i="16"/>
  <c r="E23" i="16" s="1"/>
  <c r="H26" i="16"/>
  <c r="O18" i="16"/>
  <c r="O17" i="16"/>
  <c r="L18" i="16"/>
  <c r="I17" i="16"/>
  <c r="I18" i="16"/>
  <c r="F18" i="16"/>
  <c r="F17" i="16"/>
  <c r="F13" i="16"/>
  <c r="K19" i="16"/>
  <c r="E19" i="16" s="1"/>
  <c r="K16" i="16"/>
  <c r="E16" i="16" s="1"/>
  <c r="J16" i="16"/>
  <c r="D16" i="16" s="1"/>
  <c r="O15" i="16"/>
  <c r="O14" i="16"/>
  <c r="O13" i="16"/>
  <c r="L15" i="16"/>
  <c r="L14" i="16"/>
  <c r="L13" i="16"/>
  <c r="I15" i="16"/>
  <c r="I14" i="16"/>
  <c r="I13" i="16"/>
  <c r="F14" i="16"/>
  <c r="F15" i="16"/>
  <c r="E51" i="16"/>
  <c r="E50" i="16"/>
  <c r="E47" i="16"/>
  <c r="D51" i="16"/>
  <c r="D50" i="16"/>
  <c r="O51" i="16"/>
  <c r="O50" i="16"/>
  <c r="O49" i="16"/>
  <c r="AW49" i="16" s="1"/>
  <c r="O48" i="16"/>
  <c r="O47" i="16"/>
  <c r="O46" i="16"/>
  <c r="L51" i="16"/>
  <c r="L50" i="16"/>
  <c r="L49" i="16"/>
  <c r="AV49" i="16" s="1"/>
  <c r="L48" i="16"/>
  <c r="L47" i="16"/>
  <c r="L46" i="16"/>
  <c r="I51" i="16"/>
  <c r="I50" i="16"/>
  <c r="I49" i="16"/>
  <c r="I47" i="16"/>
  <c r="I46" i="16"/>
  <c r="F51" i="16"/>
  <c r="F50" i="16"/>
  <c r="F48" i="16"/>
  <c r="F47" i="16"/>
  <c r="F46" i="16"/>
  <c r="E81" i="16"/>
  <c r="E80" i="16"/>
  <c r="E77" i="16"/>
  <c r="E76" i="16"/>
  <c r="E75" i="16"/>
  <c r="E74" i="16"/>
  <c r="E73" i="16"/>
  <c r="D81" i="16"/>
  <c r="D80" i="16"/>
  <c r="D76" i="16"/>
  <c r="D75" i="16"/>
  <c r="D74" i="16"/>
  <c r="D73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AI87" i="16" s="1"/>
  <c r="I99" i="16"/>
  <c r="I98" i="16"/>
  <c r="I97" i="16"/>
  <c r="I96" i="16"/>
  <c r="I95" i="16"/>
  <c r="I94" i="16"/>
  <c r="I93" i="16"/>
  <c r="I92" i="16"/>
  <c r="I91" i="16"/>
  <c r="I90" i="16"/>
  <c r="I89" i="16"/>
  <c r="I88" i="16"/>
  <c r="I87" i="16"/>
  <c r="AU87" i="16" s="1"/>
  <c r="O81" i="16"/>
  <c r="O80" i="16"/>
  <c r="O77" i="16"/>
  <c r="O76" i="16"/>
  <c r="O75" i="16"/>
  <c r="O74" i="16"/>
  <c r="O73" i="16"/>
  <c r="L81" i="16"/>
  <c r="L80" i="16"/>
  <c r="L77" i="16"/>
  <c r="L76" i="16"/>
  <c r="L75" i="16"/>
  <c r="L74" i="16"/>
  <c r="L73" i="16"/>
  <c r="I81" i="16"/>
  <c r="I80" i="16"/>
  <c r="I77" i="16"/>
  <c r="I76" i="16"/>
  <c r="I75" i="16"/>
  <c r="I74" i="16"/>
  <c r="I73" i="16"/>
  <c r="F73" i="16"/>
  <c r="F74" i="16"/>
  <c r="F75" i="16"/>
  <c r="F76" i="16"/>
  <c r="F77" i="16"/>
  <c r="F80" i="16"/>
  <c r="F81" i="16"/>
  <c r="I136" i="17"/>
  <c r="H136" i="17"/>
  <c r="G136" i="17"/>
  <c r="F136" i="17"/>
  <c r="E136" i="17"/>
  <c r="D136" i="17"/>
  <c r="C134" i="17"/>
  <c r="K107" i="17"/>
  <c r="I107" i="17"/>
  <c r="H107" i="17"/>
  <c r="G107" i="17"/>
  <c r="F107" i="17"/>
  <c r="D107" i="17"/>
  <c r="CF106" i="17"/>
  <c r="O106" i="17" s="1"/>
  <c r="C105" i="17"/>
  <c r="A5" i="17"/>
  <c r="A4" i="17"/>
  <c r="A3" i="17"/>
  <c r="A2" i="17"/>
  <c r="A5" i="16"/>
  <c r="A4" i="16"/>
  <c r="A3" i="16"/>
  <c r="A2" i="16"/>
  <c r="E22" i="4"/>
  <c r="CG27" i="6"/>
  <c r="CK28" i="6"/>
  <c r="CM26" i="6"/>
  <c r="CL28" i="6"/>
  <c r="CA55" i="2"/>
  <c r="D55" i="2" s="1"/>
  <c r="D14" i="4"/>
  <c r="CQ19" i="5"/>
  <c r="A3" i="13"/>
  <c r="A2" i="11"/>
  <c r="A3" i="11"/>
  <c r="A4" i="11"/>
  <c r="A5" i="11"/>
  <c r="A2" i="10"/>
  <c r="A3" i="10"/>
  <c r="A4" i="10"/>
  <c r="A5" i="10"/>
  <c r="A2" i="8"/>
  <c r="A3" i="8"/>
  <c r="A4" i="8"/>
  <c r="A5" i="8"/>
  <c r="A2" i="7"/>
  <c r="A3" i="7"/>
  <c r="A4" i="7"/>
  <c r="A5" i="7"/>
  <c r="C17" i="7"/>
  <c r="C32" i="7"/>
  <c r="C45" i="7"/>
  <c r="C111" i="7"/>
  <c r="A2" i="6"/>
  <c r="A3" i="6"/>
  <c r="A4" i="6"/>
  <c r="A5" i="6"/>
  <c r="CJ12" i="6"/>
  <c r="CE13" i="6"/>
  <c r="CK13" i="6"/>
  <c r="CJ14" i="6"/>
  <c r="CD14" i="6"/>
  <c r="G15" i="6"/>
  <c r="H15" i="6"/>
  <c r="I15" i="6"/>
  <c r="J15" i="6"/>
  <c r="K15" i="6"/>
  <c r="T15" i="6"/>
  <c r="U15" i="6"/>
  <c r="W15" i="6"/>
  <c r="X15" i="6"/>
  <c r="CL16" i="6"/>
  <c r="CF16" i="6"/>
  <c r="CJ17" i="6"/>
  <c r="CD17" i="6"/>
  <c r="CK18" i="6"/>
  <c r="CL19" i="6"/>
  <c r="CD19" i="6"/>
  <c r="G20" i="6"/>
  <c r="H20" i="6"/>
  <c r="I20" i="6"/>
  <c r="J20" i="6"/>
  <c r="K20" i="6"/>
  <c r="T20" i="6"/>
  <c r="U20" i="6"/>
  <c r="V20" i="6"/>
  <c r="V21" i="6" s="1"/>
  <c r="W20" i="6"/>
  <c r="X20" i="6"/>
  <c r="H29" i="6"/>
  <c r="I29" i="6"/>
  <c r="J29" i="6"/>
  <c r="K29" i="6"/>
  <c r="L29" i="6"/>
  <c r="M29" i="6"/>
  <c r="N29" i="6"/>
  <c r="O29" i="6"/>
  <c r="X29" i="6"/>
  <c r="Y29" i="6"/>
  <c r="Z29" i="6"/>
  <c r="AA29" i="6"/>
  <c r="CL34" i="6"/>
  <c r="CL35" i="6"/>
  <c r="CF35" i="6"/>
  <c r="G38" i="6"/>
  <c r="H38" i="6"/>
  <c r="I38" i="6"/>
  <c r="N38" i="6"/>
  <c r="O38" i="6"/>
  <c r="T38" i="6"/>
  <c r="U38" i="6"/>
  <c r="V38" i="6"/>
  <c r="W38" i="6"/>
  <c r="X38" i="6"/>
  <c r="Y38" i="6"/>
  <c r="A2" i="5"/>
  <c r="A3" i="5"/>
  <c r="A4" i="5"/>
  <c r="A5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BF13" i="5"/>
  <c r="CQ13" i="5"/>
  <c r="D14" i="5"/>
  <c r="CP14" i="5" s="1"/>
  <c r="E14" i="5"/>
  <c r="CQ14" i="5" s="1"/>
  <c r="D15" i="5"/>
  <c r="CP15" i="5" s="1"/>
  <c r="E15" i="5"/>
  <c r="BE15" i="5" s="1"/>
  <c r="D16" i="5"/>
  <c r="E16" i="5"/>
  <c r="BE16" i="5" s="1"/>
  <c r="D17" i="5"/>
  <c r="BF17" i="5" s="1"/>
  <c r="E17" i="5"/>
  <c r="CO17" i="5" s="1"/>
  <c r="D18" i="5"/>
  <c r="BD18" i="5" s="1"/>
  <c r="E18" i="5"/>
  <c r="CQ18" i="5" s="1"/>
  <c r="BK19" i="5"/>
  <c r="BF20" i="5"/>
  <c r="E20" i="5"/>
  <c r="BG20" i="5" s="1"/>
  <c r="CP21" i="5"/>
  <c r="E21" i="5"/>
  <c r="BE21" i="5" s="1"/>
  <c r="BF22" i="5"/>
  <c r="BE22" i="5"/>
  <c r="CP23" i="5"/>
  <c r="BG23" i="5"/>
  <c r="BF25" i="5"/>
  <c r="CO25" i="5"/>
  <c r="CN26" i="5"/>
  <c r="CQ26" i="5"/>
  <c r="BE27" i="5"/>
  <c r="CO28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CP36" i="5"/>
  <c r="BE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G36" i="5"/>
  <c r="DH36" i="5"/>
  <c r="DI36" i="5"/>
  <c r="DJ36" i="5"/>
  <c r="DK36" i="5"/>
  <c r="DL36" i="5"/>
  <c r="DM36" i="5"/>
  <c r="DN36" i="5"/>
  <c r="DO36" i="5"/>
  <c r="DP36" i="5"/>
  <c r="DQ36" i="5"/>
  <c r="DR36" i="5"/>
  <c r="DS36" i="5"/>
  <c r="BB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39" i="5"/>
  <c r="E39" i="5"/>
  <c r="CQ39" i="5" s="1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40" i="5"/>
  <c r="BD40" i="5" s="1"/>
  <c r="E40" i="5"/>
  <c r="CO40" i="5" s="1"/>
  <c r="CN42" i="5"/>
  <c r="CQ42" i="5"/>
  <c r="A2" i="4"/>
  <c r="A3" i="4"/>
  <c r="A4" i="4"/>
  <c r="A5" i="4"/>
  <c r="E13" i="4"/>
  <c r="E14" i="4"/>
  <c r="C20" i="4"/>
  <c r="E24" i="4"/>
  <c r="D26" i="4"/>
  <c r="E26" i="4"/>
  <c r="D27" i="4"/>
  <c r="E27" i="4"/>
  <c r="D28" i="4"/>
  <c r="E28" i="4"/>
  <c r="D29" i="4"/>
  <c r="E29" i="4"/>
  <c r="D30" i="4"/>
  <c r="E30" i="4"/>
  <c r="D31" i="4"/>
  <c r="E31" i="4"/>
  <c r="D32" i="4"/>
  <c r="E32" i="4"/>
  <c r="D33" i="4"/>
  <c r="E33" i="4"/>
  <c r="D36" i="4"/>
  <c r="E36" i="4"/>
  <c r="E60" i="4"/>
  <c r="D61" i="4"/>
  <c r="E61" i="4"/>
  <c r="D62" i="4"/>
  <c r="E62" i="4"/>
  <c r="CA75" i="2"/>
  <c r="C75" i="2" s="1"/>
  <c r="C63" i="2"/>
  <c r="CA73" i="2"/>
  <c r="C73" i="2" s="1"/>
  <c r="E65" i="2"/>
  <c r="F65" i="2"/>
  <c r="G65" i="2"/>
  <c r="DD65" i="2" s="1"/>
  <c r="H65" i="2"/>
  <c r="I65" i="2"/>
  <c r="CF65" i="2" s="1"/>
  <c r="J65" i="2"/>
  <c r="K65" i="2"/>
  <c r="DH65" i="2" s="1"/>
  <c r="L65" i="2"/>
  <c r="CI65" i="2" s="1"/>
  <c r="C67" i="2"/>
  <c r="C68" i="2"/>
  <c r="C69" i="2"/>
  <c r="F70" i="2"/>
  <c r="H70" i="2"/>
  <c r="I70" i="2"/>
  <c r="K70" i="2"/>
  <c r="L70" i="2"/>
  <c r="DA81" i="2"/>
  <c r="DA82" i="2"/>
  <c r="DA83" i="2"/>
  <c r="J19" i="16"/>
  <c r="CO19" i="5"/>
  <c r="BG34" i="5"/>
  <c r="BE34" i="5"/>
  <c r="CO36" i="5"/>
  <c r="CM12" i="6"/>
  <c r="CK12" i="6"/>
  <c r="CF12" i="6"/>
  <c r="CD12" i="6"/>
  <c r="BE19" i="5"/>
  <c r="BG19" i="5"/>
  <c r="CD26" i="6"/>
  <c r="AN49" i="16"/>
  <c r="AM49" i="16"/>
  <c r="AY49" i="16"/>
  <c r="AX49" i="16"/>
  <c r="CP35" i="5"/>
  <c r="BB35" i="5"/>
  <c r="BC35" i="5"/>
  <c r="BF35" i="5"/>
  <c r="BD35" i="5"/>
  <c r="CM35" i="5"/>
  <c r="CL35" i="5"/>
  <c r="BF38" i="5"/>
  <c r="BD38" i="5"/>
  <c r="CE27" i="6"/>
  <c r="CC27" i="6"/>
  <c r="AX48" i="16"/>
  <c r="BB36" i="5"/>
  <c r="CM36" i="5"/>
  <c r="BJ19" i="5"/>
  <c r="CE26" i="6"/>
  <c r="AN12" i="16"/>
  <c r="BG35" i="5"/>
  <c r="BE35" i="5"/>
  <c r="CA54" i="2"/>
  <c r="D54" i="2" s="1"/>
  <c r="CF37" i="6"/>
  <c r="CF34" i="6"/>
  <c r="BB34" i="5"/>
  <c r="CL34" i="5"/>
  <c r="DA53" i="2"/>
  <c r="CN35" i="5"/>
  <c r="C35" i="5"/>
  <c r="DA65" i="2"/>
  <c r="DA55" i="2"/>
  <c r="C64" i="4"/>
  <c r="C63" i="4"/>
  <c r="CJ26" i="6"/>
  <c r="C12" i="6"/>
  <c r="C48" i="16"/>
  <c r="CN36" i="5"/>
  <c r="CO35" i="5"/>
  <c r="CQ35" i="5"/>
  <c r="C65" i="4"/>
  <c r="D23" i="16"/>
  <c r="CL12" i="6"/>
  <c r="CL27" i="6"/>
  <c r="CJ27" i="6"/>
  <c r="C89" i="7"/>
  <c r="C99" i="7"/>
  <c r="CN38" i="5"/>
  <c r="CP38" i="5"/>
  <c r="CM34" i="6"/>
  <c r="CK34" i="6"/>
  <c r="DD106" i="17"/>
  <c r="DA54" i="2"/>
  <c r="CL26" i="6"/>
  <c r="C72" i="7"/>
  <c r="AY53" i="7" l="1"/>
  <c r="AY110" i="7"/>
  <c r="AY75" i="7"/>
  <c r="AY18" i="7"/>
  <c r="AY19" i="7"/>
  <c r="CE29" i="4"/>
  <c r="CM29" i="4"/>
  <c r="DN45" i="7"/>
  <c r="CK45" i="7"/>
  <c r="DM45" i="7"/>
  <c r="CI45" i="7"/>
  <c r="DJ45" i="7"/>
  <c r="CP45" i="7"/>
  <c r="DL45" i="7"/>
  <c r="CH45" i="7"/>
  <c r="CO45" i="7"/>
  <c r="CN45" i="7"/>
  <c r="DH45" i="7"/>
  <c r="DG45" i="7"/>
  <c r="CM24" i="4"/>
  <c r="CE24" i="4"/>
  <c r="CP32" i="7"/>
  <c r="DN32" i="7"/>
  <c r="CK32" i="7"/>
  <c r="DJ32" i="7"/>
  <c r="DH32" i="7"/>
  <c r="DG32" i="7"/>
  <c r="CI32" i="7"/>
  <c r="CH32" i="7"/>
  <c r="CB65" i="4"/>
  <c r="AN65" i="4" s="1"/>
  <c r="CJ65" i="4"/>
  <c r="DR111" i="7"/>
  <c r="DH111" i="7"/>
  <c r="CK111" i="7"/>
  <c r="DQ111" i="7"/>
  <c r="DG111" i="7"/>
  <c r="CU111" i="7"/>
  <c r="CJ111" i="7"/>
  <c r="CT111" i="7"/>
  <c r="CI111" i="7"/>
  <c r="DS111" i="7"/>
  <c r="CS111" i="7"/>
  <c r="DJ111" i="7"/>
  <c r="DI111" i="7"/>
  <c r="CH111" i="7"/>
  <c r="CE26" i="4"/>
  <c r="CM26" i="4"/>
  <c r="DM72" i="7"/>
  <c r="CO72" i="7"/>
  <c r="DS72" i="7"/>
  <c r="DL72" i="7"/>
  <c r="CU72" i="7"/>
  <c r="CN72" i="7"/>
  <c r="DJ72" i="7"/>
  <c r="CK72" i="7"/>
  <c r="DI72" i="7"/>
  <c r="CJ72" i="7"/>
  <c r="DG72" i="7"/>
  <c r="DR72" i="7"/>
  <c r="DH72" i="7"/>
  <c r="CT72" i="7"/>
  <c r="CI72" i="7"/>
  <c r="DQ72" i="7"/>
  <c r="CS72" i="7"/>
  <c r="CH72" i="7"/>
  <c r="CM36" i="4"/>
  <c r="CE36" i="4"/>
  <c r="CE31" i="4"/>
  <c r="CM31" i="4"/>
  <c r="CM28" i="4"/>
  <c r="CE28" i="4"/>
  <c r="CL20" i="4"/>
  <c r="CD20" i="4"/>
  <c r="CB20" i="4"/>
  <c r="CK20" i="4"/>
  <c r="CJ20" i="4"/>
  <c r="CC20" i="4"/>
  <c r="DG17" i="7"/>
  <c r="CN17" i="7"/>
  <c r="DN17" i="7"/>
  <c r="CK17" i="7"/>
  <c r="DM17" i="7"/>
  <c r="CI17" i="7"/>
  <c r="DL17" i="7"/>
  <c r="CH17" i="7"/>
  <c r="CP17" i="7"/>
  <c r="DJ17" i="7"/>
  <c r="DH17" i="7"/>
  <c r="CO17" i="7"/>
  <c r="CE32" i="4"/>
  <c r="CM32" i="4"/>
  <c r="CM14" i="4"/>
  <c r="CE14" i="4"/>
  <c r="CM22" i="4"/>
  <c r="CE22" i="4"/>
  <c r="CH41" i="7"/>
  <c r="DN41" i="7"/>
  <c r="CI41" i="7"/>
  <c r="DH41" i="7"/>
  <c r="DG41" i="7"/>
  <c r="DJ41" i="7"/>
  <c r="CP41" i="7"/>
  <c r="CK41" i="7"/>
  <c r="CT89" i="7"/>
  <c r="CI89" i="7"/>
  <c r="CS89" i="7"/>
  <c r="CH89" i="7"/>
  <c r="DQ89" i="7"/>
  <c r="CJ89" i="7"/>
  <c r="DJ89" i="7"/>
  <c r="DS89" i="7"/>
  <c r="CU89" i="7"/>
  <c r="DR89" i="7"/>
  <c r="DI89" i="7"/>
  <c r="DH89" i="7"/>
  <c r="CK89" i="7"/>
  <c r="DG89" i="7"/>
  <c r="CI99" i="7"/>
  <c r="DJ99" i="7"/>
  <c r="CT99" i="7"/>
  <c r="DQ99" i="7"/>
  <c r="CJ99" i="7"/>
  <c r="CH99" i="7"/>
  <c r="DG99" i="7"/>
  <c r="DS99" i="7"/>
  <c r="DI99" i="7"/>
  <c r="DH99" i="7"/>
  <c r="CU99" i="7"/>
  <c r="CS99" i="7"/>
  <c r="DR99" i="7"/>
  <c r="CK99" i="7"/>
  <c r="CM33" i="4"/>
  <c r="CE33" i="4"/>
  <c r="CM30" i="4"/>
  <c r="CE30" i="4"/>
  <c r="CM27" i="4"/>
  <c r="CE27" i="4"/>
  <c r="CM13" i="4"/>
  <c r="CE13" i="4"/>
  <c r="CM25" i="4"/>
  <c r="CE25" i="4"/>
  <c r="DI105" i="17"/>
  <c r="CK105" i="17"/>
  <c r="DG105" i="17"/>
  <c r="DH105" i="17"/>
  <c r="CF105" i="17"/>
  <c r="CJ105" i="17"/>
  <c r="CI105" i="17"/>
  <c r="DJ105" i="17"/>
  <c r="CH105" i="17"/>
  <c r="AY15" i="10"/>
  <c r="AY76" i="7"/>
  <c r="AU60" i="16"/>
  <c r="AJ59" i="16"/>
  <c r="R59" i="16" s="1"/>
  <c r="AU64" i="16"/>
  <c r="AJ79" i="16"/>
  <c r="R79" i="16" s="1"/>
  <c r="AU57" i="16"/>
  <c r="AJ66" i="16"/>
  <c r="R66" i="16" s="1"/>
  <c r="AJ64" i="16"/>
  <c r="R64" i="16" s="1"/>
  <c r="AJ62" i="16"/>
  <c r="R62" i="16" s="1"/>
  <c r="AJ60" i="16"/>
  <c r="R60" i="16" s="1"/>
  <c r="AU61" i="16"/>
  <c r="AU79" i="16"/>
  <c r="AU65" i="16"/>
  <c r="AU78" i="16"/>
  <c r="AJ57" i="16"/>
  <c r="R57" i="16" s="1"/>
  <c r="AU59" i="16"/>
  <c r="AU62" i="16"/>
  <c r="AJ78" i="16"/>
  <c r="R78" i="16" s="1"/>
  <c r="AJ65" i="16"/>
  <c r="R65" i="16" s="1"/>
  <c r="AJ63" i="16"/>
  <c r="R63" i="16" s="1"/>
  <c r="AJ61" i="16"/>
  <c r="R61" i="16" s="1"/>
  <c r="AU49" i="16"/>
  <c r="AJ58" i="16"/>
  <c r="D12" i="5"/>
  <c r="B61" i="11"/>
  <c r="E12" i="5"/>
  <c r="L23" i="16"/>
  <c r="CB65" i="2"/>
  <c r="C65" i="2"/>
  <c r="F16" i="16"/>
  <c r="AY75" i="16"/>
  <c r="I16" i="16"/>
  <c r="E20" i="6"/>
  <c r="D38" i="6"/>
  <c r="E29" i="6"/>
  <c r="E38" i="6"/>
  <c r="O40" i="16"/>
  <c r="L31" i="16"/>
  <c r="E29" i="5"/>
  <c r="D29" i="5"/>
  <c r="E58" i="17"/>
  <c r="E63" i="17"/>
  <c r="E55" i="17"/>
  <c r="E70" i="17"/>
  <c r="D29" i="6"/>
  <c r="E15" i="6"/>
  <c r="D20" i="6"/>
  <c r="D15" i="6"/>
  <c r="AN74" i="16"/>
  <c r="CM13" i="6"/>
  <c r="AN73" i="16"/>
  <c r="C76" i="16"/>
  <c r="AL76" i="16" s="1"/>
  <c r="AN17" i="16"/>
  <c r="CC13" i="6"/>
  <c r="AU96" i="16"/>
  <c r="C18" i="16"/>
  <c r="AW18" i="16" s="1"/>
  <c r="AN30" i="16"/>
  <c r="C70" i="2"/>
  <c r="C27" i="6"/>
  <c r="BS25" i="18"/>
  <c r="BD25" i="18" s="1"/>
  <c r="BR25" i="18"/>
  <c r="BC25" i="18" s="1"/>
  <c r="BS15" i="18"/>
  <c r="BD15" i="18" s="1"/>
  <c r="BR15" i="18"/>
  <c r="BC15" i="18" s="1"/>
  <c r="AN34" i="16"/>
  <c r="AM15" i="16"/>
  <c r="AI99" i="16"/>
  <c r="AM75" i="16"/>
  <c r="O23" i="16"/>
  <c r="AY34" i="16"/>
  <c r="AX34" i="16"/>
  <c r="AM34" i="16"/>
  <c r="AY24" i="16"/>
  <c r="CM27" i="6"/>
  <c r="CH27" i="6"/>
  <c r="AU89" i="16"/>
  <c r="AU93" i="16"/>
  <c r="AI93" i="16"/>
  <c r="AN76" i="16"/>
  <c r="O19" i="16"/>
  <c r="L26" i="16"/>
  <c r="AL12" i="16"/>
  <c r="C30" i="16"/>
  <c r="AK30" i="16" s="1"/>
  <c r="F23" i="16"/>
  <c r="CM37" i="6"/>
  <c r="CD37" i="6"/>
  <c r="CK37" i="6"/>
  <c r="CJ34" i="6"/>
  <c r="CG19" i="6"/>
  <c r="C61" i="4"/>
  <c r="C31" i="4"/>
  <c r="DE14" i="2"/>
  <c r="CC14" i="2"/>
  <c r="CG14" i="2"/>
  <c r="DB14" i="2"/>
  <c r="DF14" i="2"/>
  <c r="CD14" i="2"/>
  <c r="DC14" i="2"/>
  <c r="DG14" i="2"/>
  <c r="DD14" i="2"/>
  <c r="CE14" i="2"/>
  <c r="CF14" i="2"/>
  <c r="CB14" i="2"/>
  <c r="CB13" i="2"/>
  <c r="DE13" i="2"/>
  <c r="DC13" i="2"/>
  <c r="DG13" i="2"/>
  <c r="CE13" i="2"/>
  <c r="DD13" i="2"/>
  <c r="CF13" i="2"/>
  <c r="CC13" i="2"/>
  <c r="CD13" i="2"/>
  <c r="DB13" i="2"/>
  <c r="CG13" i="2"/>
  <c r="DF13" i="2"/>
  <c r="DC15" i="2"/>
  <c r="DG15" i="2"/>
  <c r="CE15" i="2"/>
  <c r="DD15" i="2"/>
  <c r="CB15" i="2"/>
  <c r="CF15" i="2"/>
  <c r="DE15" i="2"/>
  <c r="CG15" i="2"/>
  <c r="DB15" i="2"/>
  <c r="DF15" i="2"/>
  <c r="CC15" i="2"/>
  <c r="CD15" i="2"/>
  <c r="DC23" i="2"/>
  <c r="DE23" i="2"/>
  <c r="CC23" i="2"/>
  <c r="CG23" i="2"/>
  <c r="DB23" i="2"/>
  <c r="DF23" i="2"/>
  <c r="CD23" i="2"/>
  <c r="DG23" i="2"/>
  <c r="DD23" i="2"/>
  <c r="CE23" i="2"/>
  <c r="CF23" i="2"/>
  <c r="CB23" i="2"/>
  <c r="DC18" i="2"/>
  <c r="DE18" i="2"/>
  <c r="CC18" i="2"/>
  <c r="CG18" i="2"/>
  <c r="DB18" i="2"/>
  <c r="DF18" i="2"/>
  <c r="CD18" i="2"/>
  <c r="DG18" i="2"/>
  <c r="CE18" i="2"/>
  <c r="CF18" i="2"/>
  <c r="DD18" i="2"/>
  <c r="CB18" i="2"/>
  <c r="DC16" i="2"/>
  <c r="DE16" i="2"/>
  <c r="CC16" i="2"/>
  <c r="CG16" i="2"/>
  <c r="DB16" i="2"/>
  <c r="DF16" i="2"/>
  <c r="CD16" i="2"/>
  <c r="DG16" i="2"/>
  <c r="CB16" i="2"/>
  <c r="CE16" i="2"/>
  <c r="DD16" i="2"/>
  <c r="CF16" i="2"/>
  <c r="DC22" i="2"/>
  <c r="DG22" i="2"/>
  <c r="CE22" i="2"/>
  <c r="DD22" i="2"/>
  <c r="CB22" i="2"/>
  <c r="CF22" i="2"/>
  <c r="DE22" i="2"/>
  <c r="CC22" i="2"/>
  <c r="CD22" i="2"/>
  <c r="DB22" i="2"/>
  <c r="CG22" i="2"/>
  <c r="DF22" i="2"/>
  <c r="DD34" i="2"/>
  <c r="CD34" i="2"/>
  <c r="DB34" i="2"/>
  <c r="CB34" i="2"/>
  <c r="DC34" i="2"/>
  <c r="CC34" i="2"/>
  <c r="DE34" i="2"/>
  <c r="CE34" i="2"/>
  <c r="DF34" i="2"/>
  <c r="CF34" i="2"/>
  <c r="DG34" i="2"/>
  <c r="CG34" i="2"/>
  <c r="DB31" i="2"/>
  <c r="DF31" i="2"/>
  <c r="CB31" i="2"/>
  <c r="CF31" i="2"/>
  <c r="DD31" i="2"/>
  <c r="CD31" i="2"/>
  <c r="DE31" i="2"/>
  <c r="CE31" i="2"/>
  <c r="DC31" i="2"/>
  <c r="DG31" i="2"/>
  <c r="CC31" i="2"/>
  <c r="CG31" i="2"/>
  <c r="DD35" i="2"/>
  <c r="CB35" i="2"/>
  <c r="CF35" i="2"/>
  <c r="DF35" i="2"/>
  <c r="CD35" i="2"/>
  <c r="DC35" i="2"/>
  <c r="CE35" i="2"/>
  <c r="DE35" i="2"/>
  <c r="CC35" i="2"/>
  <c r="CG35" i="2"/>
  <c r="DB35" i="2"/>
  <c r="DG35" i="2"/>
  <c r="DB29" i="2"/>
  <c r="DF29" i="2"/>
  <c r="CB29" i="2"/>
  <c r="CF29" i="2"/>
  <c r="DC29" i="2"/>
  <c r="DG29" i="2"/>
  <c r="CC29" i="2"/>
  <c r="CG29" i="2"/>
  <c r="DD29" i="2"/>
  <c r="CD29" i="2"/>
  <c r="DE29" i="2"/>
  <c r="CE29" i="2"/>
  <c r="DB33" i="2"/>
  <c r="DF33" i="2"/>
  <c r="CB33" i="2"/>
  <c r="CF33" i="2"/>
  <c r="DC33" i="2"/>
  <c r="DG33" i="2"/>
  <c r="CC33" i="2"/>
  <c r="CG33" i="2"/>
  <c r="DD33" i="2"/>
  <c r="CD33" i="2"/>
  <c r="DE33" i="2"/>
  <c r="CE33" i="2"/>
  <c r="DD30" i="2"/>
  <c r="CD30" i="2"/>
  <c r="DB30" i="2"/>
  <c r="CB30" i="2"/>
  <c r="DC30" i="2"/>
  <c r="CC30" i="2"/>
  <c r="DE30" i="2"/>
  <c r="CE30" i="2"/>
  <c r="DF30" i="2"/>
  <c r="CF30" i="2"/>
  <c r="DG30" i="2"/>
  <c r="CG30" i="2"/>
  <c r="DD26" i="2"/>
  <c r="CD26" i="2"/>
  <c r="DF26" i="2"/>
  <c r="CF26" i="2"/>
  <c r="DG26" i="2"/>
  <c r="CG26" i="2"/>
  <c r="DE26" i="2"/>
  <c r="CE26" i="2"/>
  <c r="DB26" i="2"/>
  <c r="CB26" i="2"/>
  <c r="DC26" i="2"/>
  <c r="CC26" i="2"/>
  <c r="DD32" i="2"/>
  <c r="CD32" i="2"/>
  <c r="DF32" i="2"/>
  <c r="CF32" i="2"/>
  <c r="DG32" i="2"/>
  <c r="CG32" i="2"/>
  <c r="DE32" i="2"/>
  <c r="CE32" i="2"/>
  <c r="DB32" i="2"/>
  <c r="CB32" i="2"/>
  <c r="DC32" i="2"/>
  <c r="CC32" i="2"/>
  <c r="DB65" i="2"/>
  <c r="C21" i="4"/>
  <c r="C28" i="4"/>
  <c r="C32" i="4"/>
  <c r="BD17" i="5"/>
  <c r="C16" i="6"/>
  <c r="CL13" i="6"/>
  <c r="CJ13" i="6"/>
  <c r="CC28" i="6"/>
  <c r="AN13" i="16"/>
  <c r="AM25" i="16"/>
  <c r="F26" i="16"/>
  <c r="C34" i="16"/>
  <c r="AW34" i="16" s="1"/>
  <c r="AK49" i="16"/>
  <c r="C75" i="16"/>
  <c r="AK75" i="16" s="1"/>
  <c r="AT93" i="16"/>
  <c r="AM20" i="16"/>
  <c r="AY21" i="16"/>
  <c r="AM21" i="16"/>
  <c r="AX20" i="16"/>
  <c r="E31" i="16"/>
  <c r="C31" i="16" s="1"/>
  <c r="C20" i="16"/>
  <c r="AK20" i="16" s="1"/>
  <c r="AN75" i="16"/>
  <c r="AN20" i="16"/>
  <c r="CG13" i="6"/>
  <c r="C25" i="4"/>
  <c r="AV12" i="16"/>
  <c r="E38" i="16"/>
  <c r="C38" i="16" s="1"/>
  <c r="AN35" i="16"/>
  <c r="C56" i="6"/>
  <c r="AW12" i="16"/>
  <c r="AJ72" i="16"/>
  <c r="C17" i="4"/>
  <c r="C22" i="4"/>
  <c r="AT90" i="16"/>
  <c r="AY37" i="16"/>
  <c r="AM77" i="16"/>
  <c r="CK36" i="6"/>
  <c r="AX75" i="16"/>
  <c r="AY20" i="16"/>
  <c r="CO13" i="6"/>
  <c r="BG39" i="5"/>
  <c r="CF13" i="6"/>
  <c r="AX50" i="16"/>
  <c r="AG7" i="1"/>
  <c r="D6" i="12" s="1"/>
  <c r="AJ49" i="16"/>
  <c r="DA73" i="2"/>
  <c r="AX47" i="16"/>
  <c r="C50" i="16"/>
  <c r="AV50" i="16" s="1"/>
  <c r="AY50" i="16"/>
  <c r="AU48" i="16"/>
  <c r="AJ48" i="16"/>
  <c r="C77" i="16"/>
  <c r="AW77" i="16" s="1"/>
  <c r="AX74" i="16"/>
  <c r="AX77" i="16"/>
  <c r="AN77" i="16"/>
  <c r="AY66" i="16"/>
  <c r="AM50" i="16"/>
  <c r="AN50" i="16"/>
  <c r="O16" i="16"/>
  <c r="AX17" i="16"/>
  <c r="AY29" i="16"/>
  <c r="AM13" i="16"/>
  <c r="AX25" i="16"/>
  <c r="AT88" i="16"/>
  <c r="AI96" i="16"/>
  <c r="AT91" i="16"/>
  <c r="AJ99" i="16"/>
  <c r="I19" i="16"/>
  <c r="AN15" i="16"/>
  <c r="AY63" i="16"/>
  <c r="I31" i="16"/>
  <c r="C51" i="16"/>
  <c r="AV51" i="16" s="1"/>
  <c r="L19" i="16"/>
  <c r="CH65" i="2"/>
  <c r="DE65" i="2"/>
  <c r="CE65" i="2"/>
  <c r="DC65" i="2"/>
  <c r="CC65" i="2"/>
  <c r="CG65" i="2"/>
  <c r="CD65" i="2"/>
  <c r="AY17" i="16"/>
  <c r="AT99" i="16"/>
  <c r="C17" i="16"/>
  <c r="AV17" i="16" s="1"/>
  <c r="AX30" i="16"/>
  <c r="AX18" i="16"/>
  <c r="AX29" i="16"/>
  <c r="C27" i="4"/>
  <c r="AJ96" i="16"/>
  <c r="AN25" i="16"/>
  <c r="O26" i="16"/>
  <c r="DG65" i="2"/>
  <c r="AY30" i="16"/>
  <c r="AM18" i="16"/>
  <c r="AM29" i="16"/>
  <c r="CJ28" i="6"/>
  <c r="C73" i="16"/>
  <c r="AU73" i="16" s="1"/>
  <c r="C29" i="16"/>
  <c r="AV29" i="16" s="1"/>
  <c r="AM30" i="16"/>
  <c r="AN18" i="16"/>
  <c r="CE34" i="6"/>
  <c r="AN29" i="16"/>
  <c r="AJ87" i="16"/>
  <c r="O87" i="16" s="1"/>
  <c r="AY13" i="16"/>
  <c r="C54" i="6"/>
  <c r="C13" i="16"/>
  <c r="AV13" i="16" s="1"/>
  <c r="AY18" i="16"/>
  <c r="C21" i="16"/>
  <c r="AL21" i="16" s="1"/>
  <c r="CC34" i="6"/>
  <c r="F38" i="16"/>
  <c r="C14" i="16"/>
  <c r="AL14" i="16" s="1"/>
  <c r="D40" i="16"/>
  <c r="AX13" i="16"/>
  <c r="CJ35" i="6"/>
  <c r="C37" i="16"/>
  <c r="AW37" i="16" s="1"/>
  <c r="C34" i="6"/>
  <c r="AM37" i="16"/>
  <c r="C33" i="4"/>
  <c r="AJ92" i="16"/>
  <c r="F19" i="16"/>
  <c r="AX15" i="16"/>
  <c r="C28" i="16"/>
  <c r="AV28" i="16" s="1"/>
  <c r="C24" i="16"/>
  <c r="AW24" i="16" s="1"/>
  <c r="AN36" i="16"/>
  <c r="CB90" i="2"/>
  <c r="I26" i="16"/>
  <c r="AY35" i="16"/>
  <c r="F40" i="16"/>
  <c r="AW48" i="16"/>
  <c r="AU99" i="16"/>
  <c r="CE16" i="6"/>
  <c r="AX35" i="16"/>
  <c r="AX24" i="16"/>
  <c r="L40" i="16"/>
  <c r="CA90" i="2"/>
  <c r="CD90" i="2"/>
  <c r="DC94" i="2"/>
  <c r="AK12" i="16"/>
  <c r="CO16" i="5"/>
  <c r="G21" i="6"/>
  <c r="C19" i="6"/>
  <c r="AY12" i="16"/>
  <c r="CC16" i="6"/>
  <c r="AM35" i="16"/>
  <c r="AM24" i="16"/>
  <c r="CM19" i="6"/>
  <c r="T21" i="6"/>
  <c r="E26" i="16"/>
  <c r="C26" i="16" s="1"/>
  <c r="F31" i="16"/>
  <c r="O31" i="16"/>
  <c r="AY28" i="16"/>
  <c r="E40" i="16"/>
  <c r="C16" i="16"/>
  <c r="AT87" i="16"/>
  <c r="O38" i="16"/>
  <c r="AT96" i="16"/>
  <c r="AX12" i="16"/>
  <c r="AN24" i="16"/>
  <c r="AL49" i="16"/>
  <c r="AU91" i="16"/>
  <c r="C35" i="16"/>
  <c r="AL35" i="16" s="1"/>
  <c r="AY36" i="16"/>
  <c r="AX28" i="16"/>
  <c r="CK19" i="6"/>
  <c r="AJ90" i="16"/>
  <c r="AN51" i="16"/>
  <c r="I40" i="16"/>
  <c r="C36" i="16"/>
  <c r="AW36" i="16" s="1"/>
  <c r="CF19" i="6"/>
  <c r="C15" i="16"/>
  <c r="DA75" i="2"/>
  <c r="AM36" i="16"/>
  <c r="CL40" i="5"/>
  <c r="AY15" i="16"/>
  <c r="AK58" i="16"/>
  <c r="L16" i="16"/>
  <c r="C33" i="16"/>
  <c r="AK33" i="16" s="1"/>
  <c r="B42" i="11"/>
  <c r="CJ16" i="6"/>
  <c r="CN40" i="5"/>
  <c r="AM12" i="16"/>
  <c r="AI88" i="16"/>
  <c r="AI94" i="16"/>
  <c r="AT89" i="16"/>
  <c r="AY81" i="16"/>
  <c r="AX36" i="16"/>
  <c r="C46" i="16"/>
  <c r="AJ46" i="16" s="1"/>
  <c r="C12" i="17"/>
  <c r="C28" i="17"/>
  <c r="C32" i="17"/>
  <c r="C34" i="17"/>
  <c r="DA44" i="17"/>
  <c r="DI46" i="17"/>
  <c r="DH53" i="17"/>
  <c r="CI60" i="17"/>
  <c r="CI52" i="17"/>
  <c r="CJ67" i="17"/>
  <c r="DH44" i="17"/>
  <c r="C33" i="17"/>
  <c r="C67" i="17"/>
  <c r="C18" i="17"/>
  <c r="CJ46" i="17"/>
  <c r="DI60" i="17"/>
  <c r="C54" i="17"/>
  <c r="C61" i="17"/>
  <c r="DI44" i="17"/>
  <c r="CI67" i="17"/>
  <c r="C13" i="17"/>
  <c r="CI53" i="17"/>
  <c r="C52" i="17"/>
  <c r="C27" i="17"/>
  <c r="C60" i="17"/>
  <c r="DD44" i="17"/>
  <c r="DI67" i="17"/>
  <c r="CJ60" i="17"/>
  <c r="E72" i="17"/>
  <c r="DH46" i="17"/>
  <c r="CJ52" i="17"/>
  <c r="C16" i="17"/>
  <c r="C25" i="17"/>
  <c r="C15" i="17"/>
  <c r="DI52" i="17"/>
  <c r="CJ53" i="17"/>
  <c r="DH49" i="17"/>
  <c r="DH56" i="17"/>
  <c r="DH62" i="17"/>
  <c r="DI65" i="17"/>
  <c r="CJ69" i="17"/>
  <c r="C46" i="17"/>
  <c r="DI50" i="17"/>
  <c r="DI57" i="17"/>
  <c r="DH59" i="17"/>
  <c r="DH66" i="17"/>
  <c r="DH71" i="17"/>
  <c r="AY70" i="7"/>
  <c r="C97" i="7"/>
  <c r="C83" i="7"/>
  <c r="CO39" i="5"/>
  <c r="CO42" i="5"/>
  <c r="CQ25" i="5"/>
  <c r="BG37" i="5"/>
  <c r="BE25" i="5"/>
  <c r="G42" i="2"/>
  <c r="DC91" i="2"/>
  <c r="C27" i="7"/>
  <c r="C15" i="7"/>
  <c r="B24" i="18"/>
  <c r="AK27" i="16"/>
  <c r="AL27" i="16"/>
  <c r="AV88" i="16"/>
  <c r="AK88" i="16"/>
  <c r="AV96" i="16"/>
  <c r="AK96" i="16"/>
  <c r="AT94" i="16"/>
  <c r="AV90" i="16"/>
  <c r="AK90" i="16"/>
  <c r="AK98" i="16"/>
  <c r="AV98" i="16"/>
  <c r="C47" i="16"/>
  <c r="AM39" i="16"/>
  <c r="AK91" i="16"/>
  <c r="AV91" i="16"/>
  <c r="AK99" i="16"/>
  <c r="AV99" i="16"/>
  <c r="AK97" i="16"/>
  <c r="AV97" i="16"/>
  <c r="AU92" i="16"/>
  <c r="C23" i="16"/>
  <c r="AY39" i="16"/>
  <c r="AK92" i="16"/>
  <c r="AV92" i="16"/>
  <c r="C81" i="16"/>
  <c r="I38" i="16"/>
  <c r="AK93" i="16"/>
  <c r="AV93" i="16"/>
  <c r="AM33" i="16"/>
  <c r="AV94" i="16"/>
  <c r="AK94" i="16"/>
  <c r="AK89" i="16"/>
  <c r="AV89" i="16"/>
  <c r="AW58" i="16"/>
  <c r="AV95" i="16"/>
  <c r="AK95" i="16"/>
  <c r="F13" i="12"/>
  <c r="A56" i="8"/>
  <c r="CD13" i="6"/>
  <c r="CH19" i="6"/>
  <c r="CF26" i="6"/>
  <c r="CH13" i="6"/>
  <c r="CG17" i="6"/>
  <c r="CJ19" i="6"/>
  <c r="CO19" i="6"/>
  <c r="C55" i="6"/>
  <c r="C13" i="6"/>
  <c r="CN19" i="6"/>
  <c r="CK35" i="6"/>
  <c r="CM35" i="6"/>
  <c r="CC19" i="6"/>
  <c r="CK26" i="6"/>
  <c r="CN13" i="6"/>
  <c r="CE19" i="6"/>
  <c r="CD35" i="6"/>
  <c r="CQ23" i="5"/>
  <c r="CQ28" i="5"/>
  <c r="C60" i="4"/>
  <c r="C62" i="4"/>
  <c r="DI61" i="17"/>
  <c r="DH69" i="17"/>
  <c r="DI62" i="17"/>
  <c r="C11" i="17"/>
  <c r="C62" i="17"/>
  <c r="DH65" i="17"/>
  <c r="CJ56" i="17"/>
  <c r="CI56" i="17"/>
  <c r="DI49" i="17"/>
  <c r="C22" i="17"/>
  <c r="C49" i="17"/>
  <c r="C21" i="17"/>
  <c r="CI62" i="17"/>
  <c r="CJ49" i="17"/>
  <c r="CI69" i="17"/>
  <c r="CI65" i="17"/>
  <c r="CJ65" i="17"/>
  <c r="C19" i="17"/>
  <c r="CI49" i="17"/>
  <c r="C69" i="17"/>
  <c r="DI69" i="17"/>
  <c r="CJ62" i="17"/>
  <c r="C56" i="17"/>
  <c r="DD105" i="17"/>
  <c r="CI46" i="17"/>
  <c r="DH60" i="17"/>
  <c r="DH52" i="17"/>
  <c r="DH67" i="17"/>
  <c r="C65" i="17"/>
  <c r="DI56" i="17"/>
  <c r="CI61" i="17"/>
  <c r="C35" i="17"/>
  <c r="C31" i="17"/>
  <c r="DH57" i="17"/>
  <c r="CC91" i="2"/>
  <c r="G47" i="2"/>
  <c r="DD91" i="2"/>
  <c r="G45" i="2"/>
  <c r="CA91" i="2"/>
  <c r="CA94" i="2"/>
  <c r="G40" i="2"/>
  <c r="G48" i="2"/>
  <c r="DB91" i="2"/>
  <c r="CC89" i="2"/>
  <c r="G43" i="2"/>
  <c r="CA89" i="2"/>
  <c r="G46" i="2"/>
  <c r="DA74" i="2"/>
  <c r="G41" i="2"/>
  <c r="G44" i="2"/>
  <c r="C57" i="6"/>
  <c r="K21" i="6"/>
  <c r="CF17" i="6"/>
  <c r="CO17" i="6"/>
  <c r="CM17" i="6"/>
  <c r="CL36" i="6"/>
  <c r="W21" i="6"/>
  <c r="CE36" i="6"/>
  <c r="CK17" i="6"/>
  <c r="CC36" i="6"/>
  <c r="C30" i="7"/>
  <c r="C102" i="7"/>
  <c r="C40" i="7"/>
  <c r="C42" i="7"/>
  <c r="C33" i="7"/>
  <c r="B21" i="18"/>
  <c r="BQ25" i="18"/>
  <c r="BB25" i="18" s="1"/>
  <c r="BP25" i="18"/>
  <c r="BA25" i="18" s="1"/>
  <c r="BQ15" i="18"/>
  <c r="BB15" i="18" s="1"/>
  <c r="BP15" i="18"/>
  <c r="BA15" i="18" s="1"/>
  <c r="B14" i="18"/>
  <c r="AU86" i="16"/>
  <c r="AK86" i="16"/>
  <c r="AV86" i="16"/>
  <c r="C57" i="17"/>
  <c r="C107" i="17"/>
  <c r="D72" i="17"/>
  <c r="C59" i="17"/>
  <c r="DH45" i="17"/>
  <c r="C71" i="17"/>
  <c r="C24" i="17"/>
  <c r="C66" i="17"/>
  <c r="DI71" i="17"/>
  <c r="DB44" i="17"/>
  <c r="C14" i="4"/>
  <c r="C36" i="4"/>
  <c r="DA89" i="2"/>
  <c r="DC89" i="2"/>
  <c r="CD89" i="2"/>
  <c r="DD89" i="2"/>
  <c r="CB89" i="2"/>
  <c r="DI65" i="2"/>
  <c r="C30" i="4"/>
  <c r="CP28" i="5"/>
  <c r="BD28" i="5"/>
  <c r="C80" i="7"/>
  <c r="C34" i="7"/>
  <c r="C16" i="7"/>
  <c r="AJ98" i="16"/>
  <c r="AU98" i="16"/>
  <c r="CD93" i="2"/>
  <c r="CC93" i="2"/>
  <c r="DD93" i="2"/>
  <c r="DC93" i="2"/>
  <c r="CA93" i="2"/>
  <c r="DB93" i="2"/>
  <c r="DA93" i="2"/>
  <c r="AU90" i="16"/>
  <c r="C34" i="4"/>
  <c r="C23" i="7"/>
  <c r="C16" i="4"/>
  <c r="CG18" i="6"/>
  <c r="C18" i="6"/>
  <c r="CC18" i="6"/>
  <c r="CO18" i="6"/>
  <c r="CE18" i="6"/>
  <c r="CJ18" i="6"/>
  <c r="CL18" i="6"/>
  <c r="C47" i="7"/>
  <c r="C13" i="4"/>
  <c r="AT92" i="16"/>
  <c r="AI92" i="16"/>
  <c r="C4" i="12"/>
  <c r="CJ37" i="6"/>
  <c r="CE37" i="6"/>
  <c r="CL37" i="6"/>
  <c r="CC37" i="6"/>
  <c r="C37" i="6"/>
  <c r="C87" i="7"/>
  <c r="AJ86" i="16"/>
  <c r="AT86" i="16"/>
  <c r="C26" i="4"/>
  <c r="J21" i="6"/>
  <c r="C73" i="7"/>
  <c r="AJ95" i="16"/>
  <c r="AI95" i="16"/>
  <c r="AU95" i="16"/>
  <c r="AT95" i="16"/>
  <c r="C82" i="7"/>
  <c r="CN28" i="6"/>
  <c r="CE28" i="6"/>
  <c r="J136" i="17"/>
  <c r="C28" i="6"/>
  <c r="C17" i="6"/>
  <c r="C29" i="4"/>
  <c r="A87" i="4" s="1"/>
  <c r="C15" i="4"/>
  <c r="CH14" i="6"/>
  <c r="C14" i="6"/>
  <c r="C54" i="7"/>
  <c r="AT97" i="16"/>
  <c r="AU97" i="16"/>
  <c r="AJ97" i="16"/>
  <c r="AI97" i="16"/>
  <c r="AN81" i="16"/>
  <c r="AX81" i="16"/>
  <c r="AM81" i="16"/>
  <c r="AY80" i="16"/>
  <c r="C80" i="16"/>
  <c r="AJ80" i="16" s="1"/>
  <c r="AN58" i="16"/>
  <c r="AY58" i="16"/>
  <c r="AX58" i="16"/>
  <c r="AM58" i="16"/>
  <c r="L38" i="16"/>
  <c r="AN14" i="16"/>
  <c r="AY14" i="16"/>
  <c r="AX14" i="16"/>
  <c r="AM27" i="16"/>
  <c r="AX27" i="16"/>
  <c r="AY27" i="16"/>
  <c r="AN39" i="16"/>
  <c r="AX39" i="16"/>
  <c r="C39" i="16"/>
  <c r="AM22" i="16"/>
  <c r="AX22" i="16"/>
  <c r="C22" i="16"/>
  <c r="AN22" i="16"/>
  <c r="AY22" i="16"/>
  <c r="CF36" i="6"/>
  <c r="CM36" i="6"/>
  <c r="C36" i="6"/>
  <c r="CJ47" i="17"/>
  <c r="CI47" i="17"/>
  <c r="DH47" i="17"/>
  <c r="C47" i="17"/>
  <c r="DI47" i="17"/>
  <c r="CJ54" i="17"/>
  <c r="CI54" i="17"/>
  <c r="DI54" i="17"/>
  <c r="DH54" i="17"/>
  <c r="CJ61" i="17"/>
  <c r="DH61" i="17"/>
  <c r="CI64" i="17"/>
  <c r="C64" i="17"/>
  <c r="CJ64" i="17"/>
  <c r="DI64" i="17"/>
  <c r="CI68" i="17"/>
  <c r="DH68" i="17"/>
  <c r="C68" i="17"/>
  <c r="DI68" i="17"/>
  <c r="AM32" i="16"/>
  <c r="AY32" i="16"/>
  <c r="C32" i="16"/>
  <c r="AN32" i="16"/>
  <c r="C30" i="17"/>
  <c r="AX46" i="16"/>
  <c r="AN46" i="16"/>
  <c r="AM46" i="16"/>
  <c r="AY46" i="16"/>
  <c r="CN39" i="5"/>
  <c r="BC39" i="5"/>
  <c r="CN17" i="6"/>
  <c r="CH17" i="6"/>
  <c r="CC17" i="6"/>
  <c r="CE17" i="6"/>
  <c r="CL17" i="6"/>
  <c r="C22" i="7"/>
  <c r="AV58" i="16"/>
  <c r="AU58" i="16"/>
  <c r="AL58" i="16"/>
  <c r="AK48" i="16"/>
  <c r="C35" i="6"/>
  <c r="H21" i="6"/>
  <c r="CJ68" i="17"/>
  <c r="AX80" i="16"/>
  <c r="AM14" i="16"/>
  <c r="C24" i="4"/>
  <c r="C26" i="7"/>
  <c r="AW27" i="16"/>
  <c r="AV27" i="16"/>
  <c r="DH64" i="17"/>
  <c r="AN27" i="16"/>
  <c r="AN21" i="16"/>
  <c r="AM17" i="16"/>
  <c r="AX66" i="16"/>
  <c r="AN37" i="16"/>
  <c r="CK14" i="6"/>
  <c r="CF14" i="6"/>
  <c r="CM14" i="6"/>
  <c r="CN27" i="6"/>
  <c r="CF27" i="6"/>
  <c r="CO27" i="6"/>
  <c r="CK27" i="6"/>
  <c r="AM80" i="16"/>
  <c r="AX63" i="16"/>
  <c r="C25" i="16"/>
  <c r="AY25" i="16"/>
  <c r="C53" i="17"/>
  <c r="DI53" i="17"/>
  <c r="AY33" i="16"/>
  <c r="CD34" i="6"/>
  <c r="DI59" i="17"/>
  <c r="AX33" i="16"/>
  <c r="AU94" i="16"/>
  <c r="AJ94" i="16"/>
  <c r="AJ91" i="16"/>
  <c r="AI91" i="16"/>
  <c r="AM74" i="16"/>
  <c r="C74" i="16"/>
  <c r="AJ74" i="16" s="1"/>
  <c r="AY74" i="16"/>
  <c r="AN33" i="16"/>
  <c r="AN28" i="16"/>
  <c r="AM28" i="16"/>
  <c r="CJ45" i="17"/>
  <c r="CI45" i="17"/>
  <c r="CJ50" i="17"/>
  <c r="CI50" i="17"/>
  <c r="CJ57" i="17"/>
  <c r="CI57" i="17"/>
  <c r="CJ59" i="17"/>
  <c r="CI59" i="17"/>
  <c r="CJ66" i="17"/>
  <c r="CI66" i="17"/>
  <c r="CI71" i="17"/>
  <c r="CJ71" i="17"/>
  <c r="C20" i="7"/>
  <c r="C50" i="17"/>
  <c r="DI45" i="17"/>
  <c r="DI66" i="17"/>
  <c r="DH50" i="17"/>
  <c r="CD27" i="6"/>
  <c r="AB27" i="6" s="1"/>
  <c r="AX21" i="16"/>
  <c r="AN80" i="16"/>
  <c r="AX37" i="16"/>
  <c r="AY77" i="16"/>
  <c r="DC90" i="2"/>
  <c r="B22" i="18"/>
  <c r="A39" i="18" s="1"/>
  <c r="D19" i="16"/>
  <c r="C19" i="16" s="1"/>
  <c r="X21" i="6"/>
  <c r="C136" i="17"/>
  <c r="AI90" i="16"/>
  <c r="AJ93" i="16"/>
  <c r="DA91" i="2"/>
  <c r="B23" i="18"/>
  <c r="J134" i="17"/>
  <c r="J135" i="17"/>
  <c r="I23" i="16"/>
  <c r="C60" i="7"/>
  <c r="CB91" i="2"/>
  <c r="CB94" i="2"/>
  <c r="CD94" i="2"/>
  <c r="AI86" i="16"/>
  <c r="BG16" i="5"/>
  <c r="BF21" i="5"/>
  <c r="BC40" i="5"/>
  <c r="CQ16" i="5"/>
  <c r="CO27" i="5"/>
  <c r="CO38" i="5"/>
  <c r="CM42" i="5"/>
  <c r="BK27" i="5"/>
  <c r="CN21" i="5"/>
  <c r="C38" i="5"/>
  <c r="BG18" i="5"/>
  <c r="BF23" i="5"/>
  <c r="BG38" i="5"/>
  <c r="BG42" i="5"/>
  <c r="BG27" i="5"/>
  <c r="CM38" i="5"/>
  <c r="BC38" i="5"/>
  <c r="BD42" i="5"/>
  <c r="CO18" i="5"/>
  <c r="BD21" i="5"/>
  <c r="BE38" i="5"/>
  <c r="BE39" i="5"/>
  <c r="CQ37" i="5"/>
  <c r="BG25" i="5"/>
  <c r="CW14" i="5"/>
  <c r="CN23" i="5"/>
  <c r="CQ27" i="5"/>
  <c r="BE18" i="5"/>
  <c r="BD23" i="5"/>
  <c r="CQ38" i="5"/>
  <c r="BE42" i="5"/>
  <c r="BE37" i="5"/>
  <c r="CL38" i="5"/>
  <c r="BF39" i="5"/>
  <c r="CN28" i="5"/>
  <c r="C39" i="5"/>
  <c r="CP13" i="5"/>
  <c r="CO22" i="5"/>
  <c r="CP26" i="5"/>
  <c r="BD26" i="5"/>
  <c r="BF40" i="5"/>
  <c r="BD25" i="5"/>
  <c r="BD39" i="5"/>
  <c r="BF42" i="5"/>
  <c r="CP39" i="5"/>
  <c r="CL39" i="5"/>
  <c r="CP40" i="5"/>
  <c r="CN13" i="5"/>
  <c r="CP42" i="5"/>
  <c r="CP18" i="5"/>
  <c r="BD13" i="5"/>
  <c r="BJ18" i="5"/>
  <c r="BB42" i="5"/>
  <c r="BC37" i="5"/>
  <c r="C37" i="5"/>
  <c r="AL48" i="16"/>
  <c r="AV48" i="16"/>
  <c r="CN18" i="5"/>
  <c r="CL37" i="5"/>
  <c r="BD34" i="5"/>
  <c r="BC36" i="5"/>
  <c r="C40" i="5"/>
  <c r="BG40" i="5"/>
  <c r="BD16" i="5"/>
  <c r="CQ15" i="5"/>
  <c r="CP37" i="5"/>
  <c r="CN37" i="5"/>
  <c r="BD37" i="5"/>
  <c r="CM34" i="5"/>
  <c r="BC34" i="5"/>
  <c r="BD14" i="5"/>
  <c r="BE28" i="5"/>
  <c r="BF36" i="5"/>
  <c r="CM40" i="5"/>
  <c r="BB40" i="5"/>
  <c r="CN20" i="5"/>
  <c r="BG36" i="5"/>
  <c r="CQ40" i="5"/>
  <c r="BB37" i="5"/>
  <c r="CN34" i="5"/>
  <c r="AL35" i="5"/>
  <c r="CL36" i="5"/>
  <c r="BJ27" i="5"/>
  <c r="CP34" i="5"/>
  <c r="CQ34" i="5"/>
  <c r="CQ36" i="5"/>
  <c r="CM37" i="5"/>
  <c r="CO23" i="5"/>
  <c r="BD36" i="5"/>
  <c r="BE40" i="5"/>
  <c r="CC22" i="10"/>
  <c r="C84" i="7"/>
  <c r="C21" i="7"/>
  <c r="C74" i="7"/>
  <c r="C43" i="7"/>
  <c r="C103" i="7"/>
  <c r="C88" i="7"/>
  <c r="C79" i="7"/>
  <c r="C46" i="7"/>
  <c r="C31" i="7"/>
  <c r="C78" i="7"/>
  <c r="C90" i="7"/>
  <c r="C25" i="7"/>
  <c r="C98" i="7"/>
  <c r="C109" i="7"/>
  <c r="C77" i="7"/>
  <c r="C104" i="7"/>
  <c r="C59" i="7"/>
  <c r="C27" i="5"/>
  <c r="BH27" i="5" s="1"/>
  <c r="CP25" i="5"/>
  <c r="C18" i="5"/>
  <c r="CP16" i="5"/>
  <c r="CW16" i="5"/>
  <c r="BD22" i="5"/>
  <c r="CW25" i="5"/>
  <c r="BE20" i="5"/>
  <c r="BK25" i="5"/>
  <c r="BG22" i="5"/>
  <c r="CN16" i="5"/>
  <c r="C14" i="5"/>
  <c r="BF18" i="5"/>
  <c r="BG17" i="5"/>
  <c r="CW22" i="5"/>
  <c r="BF27" i="5"/>
  <c r="CN14" i="5"/>
  <c r="CN27" i="5"/>
  <c r="CQ20" i="5"/>
  <c r="CO20" i="5"/>
  <c r="BF14" i="5"/>
  <c r="CW13" i="5"/>
  <c r="CQ21" i="5"/>
  <c r="CV16" i="5"/>
  <c r="BK18" i="5"/>
  <c r="CV22" i="5"/>
  <c r="BJ25" i="5"/>
  <c r="BD27" i="5"/>
  <c r="BK16" i="5"/>
  <c r="BJ20" i="5"/>
  <c r="C16" i="5"/>
  <c r="CP27" i="5"/>
  <c r="CQ22" i="5"/>
  <c r="C20" i="5"/>
  <c r="C25" i="5"/>
  <c r="CN25" i="5"/>
  <c r="CW17" i="5"/>
  <c r="CV25" i="5"/>
  <c r="CP19" i="5"/>
  <c r="CO26" i="5"/>
  <c r="CP20" i="5"/>
  <c r="CO13" i="5"/>
  <c r="CN22" i="5"/>
  <c r="CV21" i="5"/>
  <c r="BJ23" i="5"/>
  <c r="BK15" i="5"/>
  <c r="BG26" i="5"/>
  <c r="BG28" i="5"/>
  <c r="BE17" i="5"/>
  <c r="BD20" i="5"/>
  <c r="CW20" i="5"/>
  <c r="BJ22" i="5"/>
  <c r="BJ26" i="5"/>
  <c r="BJ15" i="5"/>
  <c r="CQ17" i="5"/>
  <c r="C26" i="5"/>
  <c r="BH26" i="5" s="1"/>
  <c r="CW21" i="5"/>
  <c r="BK23" i="5"/>
  <c r="BE23" i="5"/>
  <c r="BE26" i="5"/>
  <c r="BG15" i="5"/>
  <c r="CW18" i="5"/>
  <c r="BK20" i="5"/>
  <c r="CV20" i="5"/>
  <c r="BK22" i="5"/>
  <c r="CO15" i="5"/>
  <c r="CP22" i="5"/>
  <c r="C23" i="5"/>
  <c r="CV18" i="5"/>
  <c r="C21" i="5"/>
  <c r="C13" i="5"/>
  <c r="BF26" i="5"/>
  <c r="CV26" i="5"/>
  <c r="BK28" i="5"/>
  <c r="BF15" i="5"/>
  <c r="CW15" i="5"/>
  <c r="BK17" i="5"/>
  <c r="BF19" i="5"/>
  <c r="C19" i="5"/>
  <c r="BE13" i="5"/>
  <c r="C17" i="5"/>
  <c r="CP17" i="5"/>
  <c r="BK13" i="5"/>
  <c r="CN15" i="5"/>
  <c r="CO21" i="5"/>
  <c r="CN19" i="5"/>
  <c r="CV19" i="5"/>
  <c r="BK21" i="5"/>
  <c r="CV23" i="5"/>
  <c r="BK26" i="5"/>
  <c r="CW26" i="5"/>
  <c r="BJ28" i="5"/>
  <c r="BJ13" i="5"/>
  <c r="BD15" i="5"/>
  <c r="CV15" i="5"/>
  <c r="BJ17" i="5"/>
  <c r="BD19" i="5"/>
  <c r="BG21" i="5"/>
  <c r="BG13" i="5"/>
  <c r="CN17" i="5"/>
  <c r="C28" i="5"/>
  <c r="BH28" i="5" s="1"/>
  <c r="C15" i="5"/>
  <c r="CW19" i="5"/>
  <c r="BJ21" i="5"/>
  <c r="CW23" i="5"/>
  <c r="BF28" i="5"/>
  <c r="CV13" i="5"/>
  <c r="CV17" i="5"/>
  <c r="U21" i="6"/>
  <c r="CN18" i="6"/>
  <c r="CF18" i="6"/>
  <c r="CH18" i="6"/>
  <c r="CM18" i="6"/>
  <c r="CD18" i="6"/>
  <c r="CM16" i="6"/>
  <c r="CH16" i="6"/>
  <c r="CD16" i="6"/>
  <c r="CG16" i="6"/>
  <c r="CO16" i="6"/>
  <c r="CK16" i="6"/>
  <c r="CL14" i="6"/>
  <c r="CE14" i="6"/>
  <c r="CO14" i="6"/>
  <c r="CG14" i="6"/>
  <c r="CC14" i="6"/>
  <c r="CC12" i="6"/>
  <c r="CH12" i="6"/>
  <c r="CN12" i="6"/>
  <c r="CE12" i="6"/>
  <c r="CO12" i="6"/>
  <c r="CH26" i="6"/>
  <c r="CG26" i="6"/>
  <c r="CO26" i="6"/>
  <c r="CC26" i="6"/>
  <c r="CN26" i="6"/>
  <c r="CF28" i="6"/>
  <c r="CH28" i="6"/>
  <c r="CM28" i="6"/>
  <c r="CD28" i="6"/>
  <c r="CG28" i="6"/>
  <c r="CO28" i="6"/>
  <c r="AU88" i="16"/>
  <c r="AJ88" i="16"/>
  <c r="AI98" i="16"/>
  <c r="AT98" i="16"/>
  <c r="AJ89" i="16"/>
  <c r="AI89" i="16"/>
  <c r="AM73" i="16"/>
  <c r="AY73" i="16"/>
  <c r="AX73" i="16"/>
  <c r="AM76" i="16"/>
  <c r="AX76" i="16"/>
  <c r="AY76" i="16"/>
  <c r="AY48" i="16"/>
  <c r="AM48" i="16"/>
  <c r="AN48" i="16"/>
  <c r="AN47" i="16"/>
  <c r="AM47" i="16"/>
  <c r="AY47" i="16"/>
  <c r="AM51" i="16"/>
  <c r="AY51" i="16"/>
  <c r="AX51" i="16"/>
  <c r="CN16" i="6"/>
  <c r="CG12" i="6"/>
  <c r="DF65" i="2"/>
  <c r="CO14" i="5"/>
  <c r="BK14" i="5"/>
  <c r="BE14" i="5"/>
  <c r="BJ14" i="5"/>
  <c r="BG14" i="5"/>
  <c r="CC35" i="6"/>
  <c r="CE35" i="6"/>
  <c r="I21" i="6"/>
  <c r="CN14" i="6"/>
  <c r="BF16" i="5"/>
  <c r="BJ16" i="5"/>
  <c r="CV14" i="5"/>
  <c r="AM72" i="16"/>
  <c r="AX72" i="16"/>
  <c r="AY72" i="16"/>
  <c r="CL42" i="5"/>
  <c r="BC42" i="5"/>
  <c r="BB39" i="5"/>
  <c r="CM39" i="5"/>
  <c r="CE22" i="10"/>
  <c r="CR22" i="10"/>
  <c r="CT22" i="10"/>
  <c r="CI22" i="10"/>
  <c r="CQ22" i="10"/>
  <c r="CP22" i="10"/>
  <c r="CS22" i="10"/>
  <c r="CF22" i="10"/>
  <c r="CC90" i="2"/>
  <c r="DA90" i="2"/>
  <c r="DB92" i="2"/>
  <c r="CC94" i="2"/>
  <c r="DA94" i="2"/>
  <c r="DD90" i="2"/>
  <c r="CA92" i="2"/>
  <c r="K92" i="2" s="1"/>
  <c r="DD94" i="2"/>
  <c r="AY17" i="7" l="1"/>
  <c r="DJ31" i="7"/>
  <c r="CI31" i="7"/>
  <c r="DH31" i="7"/>
  <c r="CH31" i="7"/>
  <c r="CK31" i="7"/>
  <c r="DN31" i="7"/>
  <c r="DG31" i="7"/>
  <c r="CP31" i="7"/>
  <c r="DG54" i="7"/>
  <c r="DN54" i="7"/>
  <c r="DJ54" i="7"/>
  <c r="CP54" i="7"/>
  <c r="DH54" i="7"/>
  <c r="CK54" i="7"/>
  <c r="CI54" i="7"/>
  <c r="CH54" i="7"/>
  <c r="DG21" i="7"/>
  <c r="CN21" i="7"/>
  <c r="DN21" i="7"/>
  <c r="CK21" i="7"/>
  <c r="DJ21" i="7"/>
  <c r="DH21" i="7"/>
  <c r="DL21" i="7"/>
  <c r="CP21" i="7"/>
  <c r="CO21" i="7"/>
  <c r="DM21" i="7"/>
  <c r="CI21" i="7"/>
  <c r="CH21" i="7"/>
  <c r="CC24" i="4"/>
  <c r="CL24" i="4"/>
  <c r="CB24" i="4"/>
  <c r="CJ24" i="4"/>
  <c r="CD24" i="4"/>
  <c r="CK24" i="4"/>
  <c r="CI98" i="7"/>
  <c r="DJ98" i="7"/>
  <c r="CT98" i="7"/>
  <c r="DS98" i="7"/>
  <c r="DG98" i="7"/>
  <c r="CS98" i="7"/>
  <c r="DR98" i="7"/>
  <c r="CK98" i="7"/>
  <c r="DI98" i="7"/>
  <c r="CJ98" i="7"/>
  <c r="AY98" i="7" s="1"/>
  <c r="DH98" i="7"/>
  <c r="CH98" i="7"/>
  <c r="DQ98" i="7"/>
  <c r="CU98" i="7"/>
  <c r="DM79" i="7"/>
  <c r="CO79" i="7"/>
  <c r="DS79" i="7"/>
  <c r="DL79" i="7"/>
  <c r="CU79" i="7"/>
  <c r="CN79" i="7"/>
  <c r="DJ79" i="7"/>
  <c r="CK79" i="7"/>
  <c r="DI79" i="7"/>
  <c r="CJ79" i="7"/>
  <c r="DG79" i="7"/>
  <c r="DR79" i="7"/>
  <c r="DH79" i="7"/>
  <c r="CT79" i="7"/>
  <c r="CI79" i="7"/>
  <c r="DQ79" i="7"/>
  <c r="CS79" i="7"/>
  <c r="CH79" i="7"/>
  <c r="DH84" i="7"/>
  <c r="CI84" i="7"/>
  <c r="DG84" i="7"/>
  <c r="CH84" i="7"/>
  <c r="DJ84" i="7"/>
  <c r="CK84" i="7"/>
  <c r="DS84" i="7"/>
  <c r="DI84" i="7"/>
  <c r="CU84" i="7"/>
  <c r="CJ84" i="7"/>
  <c r="DR84" i="7"/>
  <c r="CT84" i="7"/>
  <c r="DQ84" i="7"/>
  <c r="CS84" i="7"/>
  <c r="CO84" i="7"/>
  <c r="DL84" i="7"/>
  <c r="CN84" i="7"/>
  <c r="DM84" i="7"/>
  <c r="R48" i="16"/>
  <c r="DN42" i="7"/>
  <c r="DJ42" i="7"/>
  <c r="CP42" i="7"/>
  <c r="DH42" i="7"/>
  <c r="CK42" i="7"/>
  <c r="CH42" i="7"/>
  <c r="DG42" i="7"/>
  <c r="CI42" i="7"/>
  <c r="CC33" i="4"/>
  <c r="CL33" i="4"/>
  <c r="CB33" i="4"/>
  <c r="CJ33" i="4"/>
  <c r="CK33" i="4"/>
  <c r="CD33" i="4"/>
  <c r="CO37" i="4"/>
  <c r="CG37" i="4"/>
  <c r="AS37" i="4" s="1"/>
  <c r="CC27" i="4"/>
  <c r="CJ27" i="4"/>
  <c r="CD27" i="4"/>
  <c r="CL27" i="4"/>
  <c r="CB27" i="4"/>
  <c r="CK27" i="4"/>
  <c r="CK22" i="4"/>
  <c r="CJ22" i="4"/>
  <c r="CD22" i="4"/>
  <c r="CC22" i="4"/>
  <c r="CL22" i="4"/>
  <c r="CB22" i="4"/>
  <c r="CB32" i="4"/>
  <c r="CK32" i="4"/>
  <c r="CD32" i="4"/>
  <c r="CL32" i="4"/>
  <c r="CJ32" i="4"/>
  <c r="CC32" i="4"/>
  <c r="CF35" i="4"/>
  <c r="AS35" i="4" s="1"/>
  <c r="CN35" i="4"/>
  <c r="A164" i="2"/>
  <c r="A163" i="2"/>
  <c r="F7" i="12" s="1"/>
  <c r="AS20" i="4"/>
  <c r="DM77" i="7"/>
  <c r="CO77" i="7"/>
  <c r="DS77" i="7"/>
  <c r="DL77" i="7"/>
  <c r="CU77" i="7"/>
  <c r="CN77" i="7"/>
  <c r="DJ77" i="7"/>
  <c r="CK77" i="7"/>
  <c r="DI77" i="7"/>
  <c r="CJ77" i="7"/>
  <c r="AY77" i="7" s="1"/>
  <c r="DR77" i="7"/>
  <c r="DH77" i="7"/>
  <c r="CT77" i="7"/>
  <c r="CI77" i="7"/>
  <c r="DQ77" i="7"/>
  <c r="DG77" i="7"/>
  <c r="CS77" i="7"/>
  <c r="CH77" i="7"/>
  <c r="DG20" i="7"/>
  <c r="CN20" i="7"/>
  <c r="DN20" i="7"/>
  <c r="CK20" i="7"/>
  <c r="DM20" i="7"/>
  <c r="CI20" i="7"/>
  <c r="CO20" i="7"/>
  <c r="DL20" i="7"/>
  <c r="CH20" i="7"/>
  <c r="DJ20" i="7"/>
  <c r="DH20" i="7"/>
  <c r="CP20" i="7"/>
  <c r="DJ26" i="7"/>
  <c r="CP26" i="7"/>
  <c r="DH26" i="7"/>
  <c r="CO26" i="7"/>
  <c r="DM26" i="7"/>
  <c r="CI26" i="7"/>
  <c r="DN26" i="7"/>
  <c r="CK26" i="7"/>
  <c r="DL26" i="7"/>
  <c r="CH26" i="7"/>
  <c r="DG26" i="7"/>
  <c r="CN26" i="7"/>
  <c r="CD26" i="4"/>
  <c r="CL26" i="4"/>
  <c r="CJ26" i="4"/>
  <c r="CC26" i="4"/>
  <c r="CB26" i="4"/>
  <c r="CK26" i="4"/>
  <c r="DM80" i="7"/>
  <c r="CO80" i="7"/>
  <c r="DS80" i="7"/>
  <c r="DL80" i="7"/>
  <c r="CU80" i="7"/>
  <c r="CN80" i="7"/>
  <c r="DJ80" i="7"/>
  <c r="CK80" i="7"/>
  <c r="DI80" i="7"/>
  <c r="CJ80" i="7"/>
  <c r="AY80" i="7" s="1"/>
  <c r="DR80" i="7"/>
  <c r="DH80" i="7"/>
  <c r="CT80" i="7"/>
  <c r="CI80" i="7"/>
  <c r="DQ80" i="7"/>
  <c r="DG80" i="7"/>
  <c r="CS80" i="7"/>
  <c r="CH80" i="7"/>
  <c r="DG15" i="7"/>
  <c r="CN15" i="7"/>
  <c r="DN15" i="7"/>
  <c r="CK15" i="7"/>
  <c r="AY15" i="7" s="1"/>
  <c r="DJ15" i="7"/>
  <c r="CH15" i="7"/>
  <c r="DH15" i="7"/>
  <c r="CP15" i="7"/>
  <c r="CO15" i="7"/>
  <c r="DM15" i="7"/>
  <c r="CI15" i="7"/>
  <c r="DL15" i="7"/>
  <c r="A137" i="7"/>
  <c r="DJ27" i="7"/>
  <c r="CP27" i="7"/>
  <c r="DH27" i="7"/>
  <c r="CO27" i="7"/>
  <c r="DG27" i="7"/>
  <c r="DL27" i="7"/>
  <c r="DN27" i="7"/>
  <c r="CK27" i="7"/>
  <c r="CN27" i="7"/>
  <c r="DM27" i="7"/>
  <c r="CI27" i="7"/>
  <c r="CH27" i="7"/>
  <c r="DJ25" i="7"/>
  <c r="CP25" i="7"/>
  <c r="DH25" i="7"/>
  <c r="CO25" i="7"/>
  <c r="CN25" i="7"/>
  <c r="DN25" i="7"/>
  <c r="CK25" i="7"/>
  <c r="CH25" i="7"/>
  <c r="DM25" i="7"/>
  <c r="CI25" i="7"/>
  <c r="DL25" i="7"/>
  <c r="DG25" i="7"/>
  <c r="DJ88" i="7"/>
  <c r="DS88" i="7"/>
  <c r="DI88" i="7"/>
  <c r="DQ88" i="7"/>
  <c r="CJ88" i="7"/>
  <c r="CI88" i="7"/>
  <c r="CU88" i="7"/>
  <c r="DR88" i="7"/>
  <c r="CT88" i="7"/>
  <c r="CS88" i="7"/>
  <c r="DH88" i="7"/>
  <c r="CK88" i="7"/>
  <c r="DG88" i="7"/>
  <c r="CH88" i="7"/>
  <c r="CC15" i="4"/>
  <c r="CK15" i="4"/>
  <c r="CB62" i="4"/>
  <c r="AN62" i="4" s="1"/>
  <c r="CJ15" i="4"/>
  <c r="CD15" i="4"/>
  <c r="CL15" i="4"/>
  <c r="CJ62" i="4"/>
  <c r="CB15" i="4"/>
  <c r="DR87" i="7"/>
  <c r="DJ87" i="7"/>
  <c r="CT87" i="7"/>
  <c r="CK87" i="7"/>
  <c r="DQ87" i="7"/>
  <c r="DI87" i="7"/>
  <c r="CS87" i="7"/>
  <c r="CJ87" i="7"/>
  <c r="DS87" i="7"/>
  <c r="DG87" i="7"/>
  <c r="CU87" i="7"/>
  <c r="CH87" i="7"/>
  <c r="CN87" i="7"/>
  <c r="CI87" i="7"/>
  <c r="DM87" i="7"/>
  <c r="DH87" i="7"/>
  <c r="CO87" i="7"/>
  <c r="DL87" i="7"/>
  <c r="CK16" i="4"/>
  <c r="CB16" i="4"/>
  <c r="CD16" i="4"/>
  <c r="CC16" i="4"/>
  <c r="CJ16" i="4"/>
  <c r="CL16" i="4"/>
  <c r="CC30" i="4"/>
  <c r="CL30" i="4"/>
  <c r="CB30" i="4"/>
  <c r="CD30" i="4"/>
  <c r="CK30" i="4"/>
  <c r="CJ30" i="4"/>
  <c r="DH40" i="7"/>
  <c r="CK40" i="7"/>
  <c r="DG40" i="7"/>
  <c r="CI40" i="7"/>
  <c r="CH40" i="7"/>
  <c r="AY40" i="7" s="1"/>
  <c r="DN40" i="7"/>
  <c r="DJ40" i="7"/>
  <c r="CP40" i="7"/>
  <c r="DH83" i="7"/>
  <c r="CI83" i="7"/>
  <c r="DG83" i="7"/>
  <c r="CH83" i="7"/>
  <c r="DJ83" i="7"/>
  <c r="CK83" i="7"/>
  <c r="DS83" i="7"/>
  <c r="DI83" i="7"/>
  <c r="CU83" i="7"/>
  <c r="CJ83" i="7"/>
  <c r="DR83" i="7"/>
  <c r="CT83" i="7"/>
  <c r="DQ83" i="7"/>
  <c r="CS83" i="7"/>
  <c r="DL83" i="7"/>
  <c r="CN83" i="7"/>
  <c r="CO83" i="7"/>
  <c r="DM83" i="7"/>
  <c r="CD17" i="4"/>
  <c r="CL17" i="4"/>
  <c r="CC17" i="4"/>
  <c r="CK17" i="4"/>
  <c r="CB17" i="4"/>
  <c r="CJ17" i="4"/>
  <c r="CK28" i="4"/>
  <c r="CJ28" i="4"/>
  <c r="CD28" i="4"/>
  <c r="CC28" i="4"/>
  <c r="CL28" i="4"/>
  <c r="CB28" i="4"/>
  <c r="A105" i="16"/>
  <c r="CK13" i="4"/>
  <c r="CB13" i="4"/>
  <c r="CL13" i="4"/>
  <c r="CJ13" i="4"/>
  <c r="CD13" i="4"/>
  <c r="CC13" i="4"/>
  <c r="F9" i="12"/>
  <c r="DH109" i="7"/>
  <c r="CI109" i="7"/>
  <c r="DG109" i="7"/>
  <c r="CH109" i="7"/>
  <c r="DM109" i="7"/>
  <c r="CO109" i="7"/>
  <c r="DI109" i="7"/>
  <c r="CS109" i="7"/>
  <c r="DS109" i="7"/>
  <c r="CN109" i="7"/>
  <c r="DR109" i="7"/>
  <c r="CU109" i="7"/>
  <c r="DQ109" i="7"/>
  <c r="CT109" i="7"/>
  <c r="DL109" i="7"/>
  <c r="CK109" i="7"/>
  <c r="CJ109" i="7"/>
  <c r="DJ109" i="7"/>
  <c r="DG47" i="7"/>
  <c r="CN47" i="7"/>
  <c r="DN47" i="7"/>
  <c r="CK47" i="7"/>
  <c r="DM47" i="7"/>
  <c r="CI47" i="7"/>
  <c r="DL47" i="7"/>
  <c r="CH47" i="7"/>
  <c r="DJ47" i="7"/>
  <c r="DH47" i="7"/>
  <c r="CP47" i="7"/>
  <c r="CO47" i="7"/>
  <c r="DR90" i="7"/>
  <c r="DH90" i="7"/>
  <c r="CK90" i="7"/>
  <c r="DQ90" i="7"/>
  <c r="DG90" i="7"/>
  <c r="CU90" i="7"/>
  <c r="CJ90" i="7"/>
  <c r="CH90" i="7"/>
  <c r="DJ90" i="7"/>
  <c r="CT90" i="7"/>
  <c r="DS90" i="7"/>
  <c r="CS90" i="7"/>
  <c r="DI90" i="7"/>
  <c r="CI90" i="7"/>
  <c r="DH103" i="7"/>
  <c r="CI103" i="7"/>
  <c r="DG103" i="7"/>
  <c r="CH103" i="7"/>
  <c r="DM103" i="7"/>
  <c r="CO103" i="7"/>
  <c r="DI103" i="7"/>
  <c r="CS103" i="7"/>
  <c r="DS103" i="7"/>
  <c r="CN103" i="7"/>
  <c r="DL103" i="7"/>
  <c r="CK103" i="7"/>
  <c r="DJ103" i="7"/>
  <c r="CJ103" i="7"/>
  <c r="DR103" i="7"/>
  <c r="DQ103" i="7"/>
  <c r="CU103" i="7"/>
  <c r="CT103" i="7"/>
  <c r="CB29" i="4"/>
  <c r="CJ29" i="4"/>
  <c r="CD29" i="4"/>
  <c r="CL29" i="4"/>
  <c r="CC29" i="4"/>
  <c r="CK29" i="4"/>
  <c r="DM73" i="7"/>
  <c r="CO73" i="7"/>
  <c r="DS73" i="7"/>
  <c r="DL73" i="7"/>
  <c r="CU73" i="7"/>
  <c r="CN73" i="7"/>
  <c r="DJ73" i="7"/>
  <c r="CK73" i="7"/>
  <c r="DI73" i="7"/>
  <c r="CJ73" i="7"/>
  <c r="DR73" i="7"/>
  <c r="DH73" i="7"/>
  <c r="CT73" i="7"/>
  <c r="CI73" i="7"/>
  <c r="DQ73" i="7"/>
  <c r="DG73" i="7"/>
  <c r="CS73" i="7"/>
  <c r="CH73" i="7"/>
  <c r="DG23" i="7"/>
  <c r="CN23" i="7"/>
  <c r="DN23" i="7"/>
  <c r="CK23" i="7"/>
  <c r="DM23" i="7"/>
  <c r="CI23" i="7"/>
  <c r="DL23" i="7"/>
  <c r="CH23" i="7"/>
  <c r="AY23" i="7" s="1"/>
  <c r="CP23" i="7"/>
  <c r="CO23" i="7"/>
  <c r="DJ23" i="7"/>
  <c r="DH23" i="7"/>
  <c r="DG16" i="7"/>
  <c r="CN16" i="7"/>
  <c r="DN16" i="7"/>
  <c r="CK16" i="7"/>
  <c r="CP16" i="7"/>
  <c r="CO16" i="7"/>
  <c r="DM16" i="7"/>
  <c r="CI16" i="7"/>
  <c r="AY16" i="7" s="1"/>
  <c r="DL16" i="7"/>
  <c r="CH16" i="7"/>
  <c r="DJ16" i="7"/>
  <c r="DH16" i="7"/>
  <c r="CG36" i="4"/>
  <c r="CF36" i="4"/>
  <c r="CL36" i="4"/>
  <c r="CD36" i="4"/>
  <c r="CB36" i="4"/>
  <c r="CK36" i="4"/>
  <c r="CC36" i="4"/>
  <c r="CJ36" i="4"/>
  <c r="CO36" i="4"/>
  <c r="CN36" i="4"/>
  <c r="DH102" i="7"/>
  <c r="CI102" i="7"/>
  <c r="DG102" i="7"/>
  <c r="CH102" i="7"/>
  <c r="DM102" i="7"/>
  <c r="CO102" i="7"/>
  <c r="DI102" i="7"/>
  <c r="CS102" i="7"/>
  <c r="DS102" i="7"/>
  <c r="CN102" i="7"/>
  <c r="DL102" i="7"/>
  <c r="CK102" i="7"/>
  <c r="DJ102" i="7"/>
  <c r="CJ102" i="7"/>
  <c r="DR102" i="7"/>
  <c r="DQ102" i="7"/>
  <c r="CU102" i="7"/>
  <c r="CT102" i="7"/>
  <c r="DJ97" i="7"/>
  <c r="CS97" i="7"/>
  <c r="DI97" i="7"/>
  <c r="DH97" i="7"/>
  <c r="CT97" i="7"/>
  <c r="DQ97" i="7"/>
  <c r="CK97" i="7"/>
  <c r="CI97" i="7"/>
  <c r="DG97" i="7"/>
  <c r="CH97" i="7"/>
  <c r="AY97" i="7" s="1"/>
  <c r="DS97" i="7"/>
  <c r="DR97" i="7"/>
  <c r="CK25" i="4"/>
  <c r="CD25" i="4"/>
  <c r="CL25" i="4"/>
  <c r="CJ25" i="4"/>
  <c r="CC25" i="4"/>
  <c r="CB25" i="4"/>
  <c r="CC21" i="4"/>
  <c r="CD21" i="4"/>
  <c r="CL21" i="4"/>
  <c r="CB21" i="4"/>
  <c r="AS21" i="4" s="1"/>
  <c r="CK21" i="4"/>
  <c r="CJ21" i="4"/>
  <c r="T35" i="2"/>
  <c r="DM74" i="7"/>
  <c r="CO74" i="7"/>
  <c r="DS74" i="7"/>
  <c r="DL74" i="7"/>
  <c r="CU74" i="7"/>
  <c r="CN74" i="7"/>
  <c r="DJ74" i="7"/>
  <c r="CK74" i="7"/>
  <c r="DI74" i="7"/>
  <c r="CJ74" i="7"/>
  <c r="DR74" i="7"/>
  <c r="DH74" i="7"/>
  <c r="CT74" i="7"/>
  <c r="CI74" i="7"/>
  <c r="DQ74" i="7"/>
  <c r="DG74" i="7"/>
  <c r="CS74" i="7"/>
  <c r="CH74" i="7"/>
  <c r="CK31" i="4"/>
  <c r="CL31" i="4"/>
  <c r="CJ31" i="4"/>
  <c r="CD31" i="4"/>
  <c r="CC31" i="4"/>
  <c r="CB31" i="4"/>
  <c r="DG46" i="7"/>
  <c r="CN46" i="7"/>
  <c r="DN46" i="7"/>
  <c r="CK46" i="7"/>
  <c r="CP46" i="7"/>
  <c r="CO46" i="7"/>
  <c r="DL46" i="7"/>
  <c r="CH46" i="7"/>
  <c r="DM46" i="7"/>
  <c r="CI46" i="7"/>
  <c r="DJ46" i="7"/>
  <c r="DH46" i="7"/>
  <c r="AB36" i="6"/>
  <c r="DG33" i="7"/>
  <c r="CI33" i="7"/>
  <c r="DH33" i="7"/>
  <c r="CH33" i="7"/>
  <c r="DN33" i="7"/>
  <c r="DJ33" i="7"/>
  <c r="CK33" i="7"/>
  <c r="CP33" i="7"/>
  <c r="DH104" i="7"/>
  <c r="CI104" i="7"/>
  <c r="DG104" i="7"/>
  <c r="CH104" i="7"/>
  <c r="DM104" i="7"/>
  <c r="CO104" i="7"/>
  <c r="DI104" i="7"/>
  <c r="CS104" i="7"/>
  <c r="DS104" i="7"/>
  <c r="CN104" i="7"/>
  <c r="DL104" i="7"/>
  <c r="CK104" i="7"/>
  <c r="AY104" i="7" s="1"/>
  <c r="DJ104" i="7"/>
  <c r="CJ104" i="7"/>
  <c r="DR104" i="7"/>
  <c r="DQ104" i="7"/>
  <c r="CU104" i="7"/>
  <c r="CT104" i="7"/>
  <c r="DM78" i="7"/>
  <c r="CO78" i="7"/>
  <c r="DS78" i="7"/>
  <c r="DL78" i="7"/>
  <c r="CU78" i="7"/>
  <c r="CN78" i="7"/>
  <c r="DJ78" i="7"/>
  <c r="CK78" i="7"/>
  <c r="DI78" i="7"/>
  <c r="CJ78" i="7"/>
  <c r="DR78" i="7"/>
  <c r="DH78" i="7"/>
  <c r="CT78" i="7"/>
  <c r="CI78" i="7"/>
  <c r="DQ78" i="7"/>
  <c r="DG78" i="7"/>
  <c r="CS78" i="7"/>
  <c r="CH78" i="7"/>
  <c r="DN43" i="7"/>
  <c r="CK43" i="7"/>
  <c r="DM43" i="7"/>
  <c r="CI43" i="7"/>
  <c r="DL43" i="7"/>
  <c r="CH43" i="7"/>
  <c r="AY43" i="7" s="1"/>
  <c r="DJ43" i="7"/>
  <c r="CP43" i="7"/>
  <c r="DH43" i="7"/>
  <c r="CO43" i="7"/>
  <c r="DG43" i="7"/>
  <c r="CN43" i="7"/>
  <c r="DG22" i="7"/>
  <c r="CN22" i="7"/>
  <c r="DN22" i="7"/>
  <c r="CK22" i="7"/>
  <c r="CP22" i="7"/>
  <c r="DH22" i="7"/>
  <c r="CO22" i="7"/>
  <c r="DJ22" i="7"/>
  <c r="DM22" i="7"/>
  <c r="CI22" i="7"/>
  <c r="DL22" i="7"/>
  <c r="CH22" i="7"/>
  <c r="DH82" i="7"/>
  <c r="CI82" i="7"/>
  <c r="DG82" i="7"/>
  <c r="CH82" i="7"/>
  <c r="DJ82" i="7"/>
  <c r="CK82" i="7"/>
  <c r="DS82" i="7"/>
  <c r="DI82" i="7"/>
  <c r="CU82" i="7"/>
  <c r="CJ82" i="7"/>
  <c r="DR82" i="7"/>
  <c r="CT82" i="7"/>
  <c r="DQ82" i="7"/>
  <c r="CS82" i="7"/>
  <c r="CN82" i="7"/>
  <c r="DM82" i="7"/>
  <c r="CO82" i="7"/>
  <c r="DL82" i="7"/>
  <c r="CJ34" i="4"/>
  <c r="CD34" i="4"/>
  <c r="CL34" i="4"/>
  <c r="CB34" i="4"/>
  <c r="CF34" i="4"/>
  <c r="CC34" i="4"/>
  <c r="CK34" i="4"/>
  <c r="CN34" i="4"/>
  <c r="CG40" i="4"/>
  <c r="AS40" i="4" s="1"/>
  <c r="CO40" i="4"/>
  <c r="DJ34" i="7"/>
  <c r="CI34" i="7"/>
  <c r="DH34" i="7"/>
  <c r="CH34" i="7"/>
  <c r="DN34" i="7"/>
  <c r="DG34" i="7"/>
  <c r="CP34" i="7"/>
  <c r="CK34" i="7"/>
  <c r="CD14" i="4"/>
  <c r="CL14" i="4"/>
  <c r="CC14" i="4"/>
  <c r="CK14" i="4"/>
  <c r="CB14" i="4"/>
  <c r="CJ14" i="4"/>
  <c r="DJ30" i="7"/>
  <c r="CP30" i="7"/>
  <c r="DH30" i="7"/>
  <c r="CO30" i="7"/>
  <c r="DM30" i="7"/>
  <c r="CI30" i="7"/>
  <c r="CK30" i="7"/>
  <c r="DL30" i="7"/>
  <c r="CH30" i="7"/>
  <c r="CN30" i="7"/>
  <c r="DG30" i="7"/>
  <c r="DN30" i="7"/>
  <c r="AY109" i="7"/>
  <c r="AY25" i="7"/>
  <c r="AY78" i="7"/>
  <c r="BU22" i="18"/>
  <c r="BF22" i="18" s="1"/>
  <c r="BT22" i="18"/>
  <c r="BE22" i="18" s="1"/>
  <c r="T13" i="2"/>
  <c r="AY89" i="7"/>
  <c r="F17" i="12"/>
  <c r="AY99" i="7"/>
  <c r="AY41" i="7"/>
  <c r="AB19" i="6"/>
  <c r="T18" i="2"/>
  <c r="T23" i="2"/>
  <c r="T14" i="2"/>
  <c r="U25" i="18"/>
  <c r="AY72" i="7"/>
  <c r="BT21" i="18"/>
  <c r="BE21" i="18" s="1"/>
  <c r="BU21" i="18"/>
  <c r="BF21" i="18" s="1"/>
  <c r="AB35" i="6"/>
  <c r="AY32" i="7"/>
  <c r="AY111" i="7"/>
  <c r="AB12" i="6"/>
  <c r="AY45" i="7"/>
  <c r="T22" i="2"/>
  <c r="T15" i="2"/>
  <c r="AB13" i="6"/>
  <c r="CB48" i="6"/>
  <c r="AB48" i="6" s="1"/>
  <c r="CP48" i="6"/>
  <c r="AB16" i="6"/>
  <c r="AB14" i="6"/>
  <c r="AB28" i="6"/>
  <c r="T32" i="2"/>
  <c r="T26" i="2"/>
  <c r="T30" i="2"/>
  <c r="T34" i="2"/>
  <c r="AY81" i="7"/>
  <c r="AY24" i="7"/>
  <c r="BT23" i="18"/>
  <c r="BE23" i="18" s="1"/>
  <c r="BU23" i="18"/>
  <c r="BF23" i="18" s="1"/>
  <c r="AB17" i="6"/>
  <c r="AB18" i="6"/>
  <c r="BT24" i="18"/>
  <c r="BE24" i="18" s="1"/>
  <c r="BU24" i="18"/>
  <c r="BF24" i="18" s="1"/>
  <c r="T33" i="2"/>
  <c r="T29" i="2"/>
  <c r="T31" i="2"/>
  <c r="T16" i="2"/>
  <c r="O105" i="17"/>
  <c r="AB34" i="6"/>
  <c r="AB26" i="6"/>
  <c r="AB37" i="6"/>
  <c r="DM11" i="17"/>
  <c r="DN11" i="17"/>
  <c r="CO11" i="17"/>
  <c r="CN11" i="17"/>
  <c r="AL36" i="16"/>
  <c r="R12" i="16"/>
  <c r="C20" i="6"/>
  <c r="C12" i="5"/>
  <c r="C40" i="16"/>
  <c r="AU77" i="16"/>
  <c r="AL30" i="16"/>
  <c r="R30" i="16" s="1"/>
  <c r="AK18" i="16"/>
  <c r="AV18" i="16"/>
  <c r="AL18" i="16"/>
  <c r="AU76" i="16"/>
  <c r="C38" i="6"/>
  <c r="C29" i="5"/>
  <c r="C72" i="17"/>
  <c r="DE72" i="17" s="1"/>
  <c r="T52" i="17"/>
  <c r="E21" i="6"/>
  <c r="D21" i="6"/>
  <c r="AV76" i="16"/>
  <c r="AJ76" i="16"/>
  <c r="AK76" i="16"/>
  <c r="AW76" i="16"/>
  <c r="AV30" i="16"/>
  <c r="AW14" i="16"/>
  <c r="O99" i="16"/>
  <c r="AV14" i="16"/>
  <c r="BS23" i="18"/>
  <c r="BD23" i="18" s="1"/>
  <c r="BR23" i="18"/>
  <c r="BC23" i="18" s="1"/>
  <c r="BQ24" i="18"/>
  <c r="BB24" i="18" s="1"/>
  <c r="BR24" i="18"/>
  <c r="BC24" i="18" s="1"/>
  <c r="BS24" i="18"/>
  <c r="BD24" i="18" s="1"/>
  <c r="BS22" i="18"/>
  <c r="BD22" i="18" s="1"/>
  <c r="BR22" i="18"/>
  <c r="BC22" i="18" s="1"/>
  <c r="BQ21" i="18"/>
  <c r="BB21" i="18" s="1"/>
  <c r="BS21" i="18"/>
  <c r="BD21" i="18" s="1"/>
  <c r="BR21" i="18"/>
  <c r="BC21" i="18" s="1"/>
  <c r="BR14" i="18"/>
  <c r="BC14" i="18" s="1"/>
  <c r="BS14" i="18"/>
  <c r="BD14" i="18" s="1"/>
  <c r="S15" i="18"/>
  <c r="AW20" i="16"/>
  <c r="AW30" i="16"/>
  <c r="AW63" i="16"/>
  <c r="AW17" i="16"/>
  <c r="AK24" i="16"/>
  <c r="AL20" i="16"/>
  <c r="R20" i="16" s="1"/>
  <c r="AK14" i="16"/>
  <c r="R14" i="16" s="1"/>
  <c r="AW75" i="16"/>
  <c r="AU75" i="16"/>
  <c r="AJ75" i="16"/>
  <c r="AU63" i="16"/>
  <c r="AV63" i="16"/>
  <c r="AU50" i="16"/>
  <c r="C51" i="17"/>
  <c r="CF51" i="17" s="1"/>
  <c r="AL17" i="16"/>
  <c r="AK17" i="16"/>
  <c r="AV21" i="16"/>
  <c r="AV24" i="16"/>
  <c r="AL24" i="16"/>
  <c r="AK29" i="16"/>
  <c r="AL34" i="16"/>
  <c r="AK34" i="16"/>
  <c r="AV34" i="16"/>
  <c r="AU51" i="16"/>
  <c r="AL75" i="16"/>
  <c r="AV75" i="16"/>
  <c r="AL13" i="16"/>
  <c r="AW13" i="16"/>
  <c r="A106" i="16" s="1"/>
  <c r="AK13" i="16"/>
  <c r="AW21" i="16"/>
  <c r="AV20" i="16"/>
  <c r="AK21" i="16"/>
  <c r="R21" i="16" s="1"/>
  <c r="O90" i="16"/>
  <c r="O93" i="16"/>
  <c r="O97" i="16"/>
  <c r="O96" i="16"/>
  <c r="C15" i="6"/>
  <c r="CB55" i="6" s="1"/>
  <c r="AB55" i="6" s="1"/>
  <c r="O91" i="16"/>
  <c r="M65" i="2"/>
  <c r="K90" i="2"/>
  <c r="AK50" i="16"/>
  <c r="AW50" i="16"/>
  <c r="AJ50" i="16"/>
  <c r="AL50" i="16"/>
  <c r="AL51" i="16"/>
  <c r="AJ51" i="16"/>
  <c r="AK47" i="16"/>
  <c r="AJ47" i="16"/>
  <c r="AL46" i="16"/>
  <c r="AV73" i="16"/>
  <c r="AL73" i="16"/>
  <c r="AW73" i="16"/>
  <c r="AV81" i="16"/>
  <c r="AJ81" i="16"/>
  <c r="AV77" i="16"/>
  <c r="AJ77" i="16"/>
  <c r="AL77" i="16"/>
  <c r="AK73" i="16"/>
  <c r="AJ73" i="16"/>
  <c r="AK77" i="16"/>
  <c r="AU66" i="16"/>
  <c r="AK51" i="16"/>
  <c r="AW51" i="16"/>
  <c r="AV46" i="16"/>
  <c r="AW46" i="16"/>
  <c r="AU46" i="16"/>
  <c r="AK46" i="16"/>
  <c r="T69" i="17"/>
  <c r="C55" i="17"/>
  <c r="DE55" i="17" s="1"/>
  <c r="C29" i="6"/>
  <c r="A81" i="6" s="1"/>
  <c r="AK28" i="16"/>
  <c r="AW28" i="16"/>
  <c r="AL28" i="16"/>
  <c r="AK37" i="16"/>
  <c r="AV37" i="16"/>
  <c r="AL37" i="16"/>
  <c r="AL29" i="16"/>
  <c r="AW29" i="16"/>
  <c r="AY92" i="7"/>
  <c r="C48" i="17"/>
  <c r="AU81" i="16"/>
  <c r="AL47" i="16"/>
  <c r="BP24" i="18"/>
  <c r="BA24" i="18" s="1"/>
  <c r="AW33" i="16"/>
  <c r="C17" i="17"/>
  <c r="AL33" i="16"/>
  <c r="R33" i="16" s="1"/>
  <c r="AW35" i="16"/>
  <c r="AK35" i="16"/>
  <c r="R35" i="16" s="1"/>
  <c r="AV35" i="16"/>
  <c r="AK36" i="16"/>
  <c r="AV36" i="16"/>
  <c r="AV66" i="16"/>
  <c r="AW66" i="16"/>
  <c r="AV33" i="16"/>
  <c r="O94" i="16"/>
  <c r="AL81" i="16"/>
  <c r="AK81" i="16"/>
  <c r="C70" i="17"/>
  <c r="DF70" i="17" s="1"/>
  <c r="T67" i="17"/>
  <c r="AL15" i="16"/>
  <c r="AV15" i="16"/>
  <c r="AK15" i="16"/>
  <c r="AW15" i="16"/>
  <c r="O92" i="16"/>
  <c r="R49" i="16"/>
  <c r="O88" i="16"/>
  <c r="AL38" i="5"/>
  <c r="T46" i="17"/>
  <c r="DE44" i="17"/>
  <c r="C26" i="17"/>
  <c r="T60" i="17"/>
  <c r="C58" i="17"/>
  <c r="CF58" i="17" s="1"/>
  <c r="C36" i="17"/>
  <c r="C63" i="17"/>
  <c r="CG63" i="17" s="1"/>
  <c r="C23" i="17"/>
  <c r="T53" i="17"/>
  <c r="C20" i="17"/>
  <c r="DF44" i="17"/>
  <c r="T44" i="17"/>
  <c r="C14" i="17"/>
  <c r="T54" i="17"/>
  <c r="T56" i="17"/>
  <c r="O89" i="16"/>
  <c r="AW81" i="16"/>
  <c r="O98" i="16"/>
  <c r="O95" i="16"/>
  <c r="AU47" i="16"/>
  <c r="AW47" i="16"/>
  <c r="AV47" i="16"/>
  <c r="R27" i="16"/>
  <c r="T61" i="17"/>
  <c r="T47" i="17"/>
  <c r="T49" i="17"/>
  <c r="T65" i="17"/>
  <c r="T71" i="17"/>
  <c r="T62" i="17"/>
  <c r="K89" i="2"/>
  <c r="K94" i="2"/>
  <c r="K91" i="2"/>
  <c r="K93" i="2"/>
  <c r="AY35" i="7"/>
  <c r="BP21" i="18"/>
  <c r="BA21" i="18" s="1"/>
  <c r="BQ22" i="18"/>
  <c r="BB22" i="18" s="1"/>
  <c r="BP22" i="18"/>
  <c r="BA22" i="18" s="1"/>
  <c r="BQ20" i="18"/>
  <c r="BB20" i="18" s="1"/>
  <c r="BP20" i="18"/>
  <c r="BA20" i="18" s="1"/>
  <c r="BQ23" i="18"/>
  <c r="BB23" i="18" s="1"/>
  <c r="BP23" i="18"/>
  <c r="BA23" i="18" s="1"/>
  <c r="BP14" i="18"/>
  <c r="BQ14" i="18"/>
  <c r="BB14" i="18" s="1"/>
  <c r="CO14" i="10"/>
  <c r="CF14" i="10"/>
  <c r="CQ14" i="10"/>
  <c r="CB14" i="10"/>
  <c r="CK14" i="10"/>
  <c r="CP14" i="10"/>
  <c r="O86" i="16"/>
  <c r="T59" i="17"/>
  <c r="T64" i="17"/>
  <c r="C39" i="17"/>
  <c r="T66" i="17"/>
  <c r="T45" i="17"/>
  <c r="AL22" i="16"/>
  <c r="AV22" i="16"/>
  <c r="AK22" i="16"/>
  <c r="AW22" i="16"/>
  <c r="T50" i="17"/>
  <c r="AK74" i="16"/>
  <c r="AL74" i="16"/>
  <c r="AV74" i="16"/>
  <c r="AW74" i="16"/>
  <c r="AU74" i="16"/>
  <c r="AK32" i="16"/>
  <c r="AW32" i="16"/>
  <c r="AL32" i="16"/>
  <c r="AV32" i="16"/>
  <c r="R58" i="16"/>
  <c r="AK39" i="16"/>
  <c r="AV39" i="16"/>
  <c r="AL39" i="16"/>
  <c r="AW39" i="16"/>
  <c r="AL25" i="16"/>
  <c r="AW25" i="16"/>
  <c r="AK25" i="16"/>
  <c r="AV25" i="16"/>
  <c r="AV80" i="16"/>
  <c r="AL80" i="16"/>
  <c r="AW80" i="16"/>
  <c r="AU80" i="16"/>
  <c r="AK80" i="16"/>
  <c r="T57" i="17"/>
  <c r="T68" i="17"/>
  <c r="AM18" i="5"/>
  <c r="AL37" i="5"/>
  <c r="CV27" i="5"/>
  <c r="AL40" i="5"/>
  <c r="AL34" i="5"/>
  <c r="CW27" i="5"/>
  <c r="CR28" i="5"/>
  <c r="AL39" i="5"/>
  <c r="CR26" i="5"/>
  <c r="AL42" i="5"/>
  <c r="AM27" i="5"/>
  <c r="AL36" i="5"/>
  <c r="CJ14" i="10"/>
  <c r="CN22" i="10"/>
  <c r="CH14" i="10"/>
  <c r="CE14" i="10"/>
  <c r="F15" i="12"/>
  <c r="CD14" i="10"/>
  <c r="CI14" i="10"/>
  <c r="CM14" i="10"/>
  <c r="CH22" i="10"/>
  <c r="CG22" i="10"/>
  <c r="AM21" i="5"/>
  <c r="CR27" i="5"/>
  <c r="BH25" i="5"/>
  <c r="AM25" i="5" s="1"/>
  <c r="CR25" i="5"/>
  <c r="AM15" i="5"/>
  <c r="AM17" i="5"/>
  <c r="AM20" i="5"/>
  <c r="CR23" i="5"/>
  <c r="BH23" i="5"/>
  <c r="AM23" i="5" s="1"/>
  <c r="BH22" i="5"/>
  <c r="AM22" i="5" s="1"/>
  <c r="CR22" i="5"/>
  <c r="AM16" i="5"/>
  <c r="AM26" i="5"/>
  <c r="AM28" i="5"/>
  <c r="AM19" i="5"/>
  <c r="AL72" i="16"/>
  <c r="AU72" i="16"/>
  <c r="AW72" i="16"/>
  <c r="AK72" i="16"/>
  <c r="AV72" i="16"/>
  <c r="AM14" i="5"/>
  <c r="AY33" i="7" l="1"/>
  <c r="AY73" i="7"/>
  <c r="AY30" i="7"/>
  <c r="AY21" i="7"/>
  <c r="AY54" i="7"/>
  <c r="AY31" i="7"/>
  <c r="AY34" i="7"/>
  <c r="AY82" i="7"/>
  <c r="AY42" i="7"/>
  <c r="AY79" i="7"/>
  <c r="AY26" i="7"/>
  <c r="AY84" i="7"/>
  <c r="AY103" i="7"/>
  <c r="AY90" i="7"/>
  <c r="AY47" i="7"/>
  <c r="AY83" i="7"/>
  <c r="AY87" i="7"/>
  <c r="AY88" i="7"/>
  <c r="AY27" i="7"/>
  <c r="AY20" i="7"/>
  <c r="AY22" i="7"/>
  <c r="AY46" i="7"/>
  <c r="AY74" i="7"/>
  <c r="AY102" i="7"/>
  <c r="A138" i="7"/>
  <c r="D12" i="12" s="1"/>
  <c r="A34" i="10"/>
  <c r="D15" i="12" s="1"/>
  <c r="A40" i="18"/>
  <c r="D17" i="12" s="1"/>
  <c r="AS14" i="4"/>
  <c r="AS29" i="4"/>
  <c r="AS28" i="4"/>
  <c r="AS30" i="4"/>
  <c r="AS32" i="4"/>
  <c r="AS33" i="4"/>
  <c r="F14" i="12"/>
  <c r="AS34" i="4"/>
  <c r="A88" i="4"/>
  <c r="D9" i="12" s="1"/>
  <c r="AS16" i="4"/>
  <c r="AS22" i="4"/>
  <c r="AS24" i="4"/>
  <c r="F10" i="12"/>
  <c r="AS31" i="4"/>
  <c r="AS36" i="4"/>
  <c r="AS17" i="4"/>
  <c r="AS27" i="4"/>
  <c r="R36" i="16"/>
  <c r="AS25" i="4"/>
  <c r="AS13" i="4"/>
  <c r="AS15" i="4"/>
  <c r="AS26" i="4"/>
  <c r="A215" i="17"/>
  <c r="D8" i="12" s="1"/>
  <c r="R15" i="16"/>
  <c r="CC36" i="17"/>
  <c r="CB36" i="17"/>
  <c r="DB36" i="17"/>
  <c r="DA36" i="17"/>
  <c r="BA14" i="18"/>
  <c r="S14" i="18" s="1"/>
  <c r="AY13" i="7"/>
  <c r="AY14" i="10"/>
  <c r="R73" i="16"/>
  <c r="R76" i="16"/>
  <c r="R74" i="16"/>
  <c r="DA20" i="17"/>
  <c r="CB20" i="17"/>
  <c r="CC20" i="17"/>
  <c r="DB20" i="17"/>
  <c r="DB17" i="17"/>
  <c r="CC17" i="17"/>
  <c r="DA17" i="17"/>
  <c r="CB17" i="17"/>
  <c r="U21" i="18"/>
  <c r="U24" i="18"/>
  <c r="AJ11" i="17"/>
  <c r="DB26" i="17"/>
  <c r="CB26" i="17"/>
  <c r="AJ26" i="17" s="1"/>
  <c r="DA26" i="17"/>
  <c r="CC26" i="17"/>
  <c r="AY91" i="7"/>
  <c r="CP55" i="6"/>
  <c r="R72" i="16"/>
  <c r="CC23" i="17"/>
  <c r="CB23" i="17"/>
  <c r="DB23" i="17"/>
  <c r="DA23" i="17"/>
  <c r="DA14" i="17"/>
  <c r="DB14" i="17"/>
  <c r="U22" i="18"/>
  <c r="U23" i="18"/>
  <c r="U20" i="18"/>
  <c r="R80" i="16"/>
  <c r="R81" i="16"/>
  <c r="R75" i="16"/>
  <c r="R77" i="16"/>
  <c r="DE48" i="17"/>
  <c r="CF48" i="17"/>
  <c r="DB39" i="17"/>
  <c r="DA39" i="17"/>
  <c r="CB39" i="17"/>
  <c r="CC39" i="17"/>
  <c r="CC14" i="17"/>
  <c r="CB14" i="17"/>
  <c r="R18" i="16"/>
  <c r="DF51" i="17"/>
  <c r="CG51" i="17"/>
  <c r="T51" i="17" s="1"/>
  <c r="R34" i="16"/>
  <c r="R24" i="16"/>
  <c r="CF55" i="17"/>
  <c r="CG55" i="17"/>
  <c r="CG70" i="17"/>
  <c r="DE51" i="17"/>
  <c r="DE63" i="17"/>
  <c r="CF70" i="17"/>
  <c r="DF55" i="17"/>
  <c r="DE70" i="17"/>
  <c r="R17" i="16"/>
  <c r="R29" i="16"/>
  <c r="R13" i="16"/>
  <c r="R51" i="16"/>
  <c r="R28" i="16"/>
  <c r="R50" i="16"/>
  <c r="CG48" i="17"/>
  <c r="R11" i="16"/>
  <c r="R47" i="16"/>
  <c r="R46" i="16"/>
  <c r="R37" i="16"/>
  <c r="DF48" i="17"/>
  <c r="C21" i="6"/>
  <c r="DE58" i="17"/>
  <c r="DF58" i="17"/>
  <c r="CG58" i="17"/>
  <c r="T58" i="17" s="1"/>
  <c r="R22" i="16"/>
  <c r="R39" i="16"/>
  <c r="CF63" i="17"/>
  <c r="T63" i="17" s="1"/>
  <c r="DF63" i="17"/>
  <c r="CF72" i="17"/>
  <c r="DF72" i="17"/>
  <c r="D14" i="12"/>
  <c r="S12" i="18"/>
  <c r="CG72" i="17"/>
  <c r="BH13" i="5"/>
  <c r="AM13" i="5" s="1"/>
  <c r="CR13" i="5"/>
  <c r="R25" i="16"/>
  <c r="R32" i="16"/>
  <c r="AK22" i="10"/>
  <c r="A216" i="17" l="1"/>
  <c r="F8" i="12" s="1"/>
  <c r="A101" i="5"/>
  <c r="D10" i="12" s="1"/>
  <c r="AJ14" i="17"/>
  <c r="AJ23" i="17"/>
  <c r="AJ36" i="17"/>
  <c r="CP43" i="6"/>
  <c r="CB43" i="6"/>
  <c r="AB43" i="6" s="1"/>
  <c r="F11" i="12"/>
  <c r="AJ17" i="17"/>
  <c r="AJ20" i="17"/>
  <c r="AJ39" i="17"/>
  <c r="T55" i="17"/>
  <c r="T70" i="17"/>
  <c r="T48" i="17"/>
  <c r="F12" i="12"/>
  <c r="T72" i="17"/>
  <c r="D7" i="12"/>
  <c r="A82" i="6" l="1"/>
  <c r="D11" i="12" s="1"/>
  <c r="D19" i="12" s="1"/>
  <c r="B10" i="13" s="1"/>
</calcChain>
</file>

<file path=xl/sharedStrings.xml><?xml version="1.0" encoding="utf-8"?>
<sst xmlns="http://schemas.openxmlformats.org/spreadsheetml/2006/main" count="3002" uniqueCount="896">
  <si>
    <t>DATOS DEL ESTABLECIMIENTO</t>
  </si>
  <si>
    <t>CÓDIGOS</t>
  </si>
  <si>
    <t>NOMBRE DE COMUNA</t>
  </si>
  <si>
    <t>DEPENDENCIA</t>
  </si>
  <si>
    <t>MES:</t>
  </si>
  <si>
    <t>AÑO:</t>
  </si>
  <si>
    <t>JUNIO</t>
  </si>
  <si>
    <t>SERVICIO DE SALUD</t>
  </si>
  <si>
    <t>DICIEMBRE</t>
  </si>
  <si>
    <t>MUNICIPAL</t>
  </si>
  <si>
    <t>MINSAL - DEIS</t>
  </si>
  <si>
    <t>ATENCIÓN PRIMARIA DE SALUD</t>
  </si>
  <si>
    <t>MÉTODOS</t>
  </si>
  <si>
    <t>TOTAL</t>
  </si>
  <si>
    <t>GRUPO DE EDAD (en años)</t>
  </si>
  <si>
    <t>Pueblos Originarios</t>
  </si>
  <si>
    <t>Menor 
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</si>
  <si>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</si>
  <si>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</si>
  <si>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</si>
  <si>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</si>
  <si>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</si>
  <si>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</si>
  <si>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</si>
  <si>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</si>
  <si>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HORMONAL</t>
  </si>
  <si>
    <t>Oral Combinado</t>
  </si>
  <si>
    <t>Oral Progestágeno</t>
  </si>
  <si>
    <t>Inyectable Combinado</t>
  </si>
  <si>
    <t>Inyectable Progestágeno</t>
  </si>
  <si>
    <t>Mujer</t>
  </si>
  <si>
    <t>Hombres</t>
  </si>
  <si>
    <t>Mujeres con Retiro de Implante Anticipado en el semestre (antes de los 3 años)</t>
  </si>
  <si>
    <t>GRUPOS DE EDAD</t>
  </si>
  <si>
    <t>TOTAL DE GESTANTES EN CONTROL</t>
  </si>
  <si>
    <t>EN RIESGO 
PSICO-
SOCIAL</t>
  </si>
  <si>
    <t>QUE PRESENTAN VIOLENCIA DE GÉNERO</t>
  </si>
  <si>
    <t>Menos de 15 años</t>
  </si>
  <si>
    <t>N° VDI</t>
  </si>
  <si>
    <t>N° Gestantes 
con VDI</t>
  </si>
  <si>
    <t>TOTAL de Visitas</t>
  </si>
  <si>
    <t>1 Visita</t>
  </si>
  <si>
    <t>2 Visitas</t>
  </si>
  <si>
    <t>3 Visitas</t>
  </si>
  <si>
    <t>POBLACION</t>
  </si>
  <si>
    <t>ESTADO
NUTRICIONAL</t>
  </si>
  <si>
    <t>GRUPOS DE EDAD (en años)</t>
  </si>
  <si>
    <t>Menos 15 años</t>
  </si>
  <si>
    <t>GESTANTES EN CONTROL
(Información a la fecha de corte)</t>
  </si>
  <si>
    <t>OBESA</t>
  </si>
  <si>
    <t>SOBREPESO</t>
  </si>
  <si>
    <t>NORMAL</t>
  </si>
  <si>
    <t>BAJO PESO</t>
  </si>
  <si>
    <t>CONTROL AL 8º MES POST-PARTO
(Información del semestre)</t>
  </si>
  <si>
    <t xml:space="preserve">SECCION E: MUJERES Y GESTANTES EN CONTROL CON CONSULTA NUTRICIONAL </t>
  </si>
  <si>
    <t>MUJERES</t>
  </si>
  <si>
    <t>Gestantes con malnutrición por déficit (bajo peso)</t>
  </si>
  <si>
    <t>Gestantes con malnutrición por exceso - Obesa</t>
  </si>
  <si>
    <t>Gestantes con malnutrición por exceso - Sobrepeso</t>
  </si>
  <si>
    <t>En 3º mes post parto</t>
  </si>
  <si>
    <t>En 6º mes post parto</t>
  </si>
  <si>
    <t xml:space="preserve">SECCION F: MUJERES EN CONTROL DE CLIMATERIO </t>
  </si>
  <si>
    <t>Población</t>
  </si>
  <si>
    <t>45 a 64 años</t>
  </si>
  <si>
    <t>Población en Control</t>
  </si>
  <si>
    <t>Mujeres con pauta aplicada MRS*</t>
  </si>
  <si>
    <t>* MRS: Menopause Rating Scale</t>
  </si>
  <si>
    <t>NIVEL SECUNDARIO</t>
  </si>
  <si>
    <t>PATOLOGÍA</t>
  </si>
  <si>
    <t xml:space="preserve">Preeclampsia (PE) </t>
  </si>
  <si>
    <t>Sindrome Hipertensivo del Embarazo (SHE)</t>
  </si>
  <si>
    <t>Factores de riesgo y condicionantes de Parto Prematuro</t>
  </si>
  <si>
    <t>VIH</t>
  </si>
  <si>
    <t>Cesárea anterior</t>
  </si>
  <si>
    <t>Malformación Congénita</t>
  </si>
  <si>
    <t>Otras patologías del embarazo</t>
  </si>
  <si>
    <t>INDICADOR NUTRICIONAL
Y
PARÁMETROS DE MEDICIÓN</t>
  </si>
  <si>
    <t>GRUPOS DE EDAD (en meses - años) Y SEXO</t>
  </si>
  <si>
    <t>Menor de 1 mes</t>
  </si>
  <si>
    <t>1 mes</t>
  </si>
  <si>
    <t>2 meses</t>
  </si>
  <si>
    <t>3 meses</t>
  </si>
  <si>
    <t>4 meses</t>
  </si>
  <si>
    <t>5 meses</t>
  </si>
  <si>
    <t>6 meses</t>
  </si>
  <si>
    <t>7 a 11 meses</t>
  </si>
  <si>
    <t>12 a 17 meses</t>
  </si>
  <si>
    <t>18 a 23 meses</t>
  </si>
  <si>
    <t>24 a 35 meses</t>
  </si>
  <si>
    <t>36 a 41 meses</t>
  </si>
  <si>
    <t>42 a 47 meses</t>
  </si>
  <si>
    <t>48 a 59 meses</t>
  </si>
  <si>
    <t>60 a 71 meses</t>
  </si>
  <si>
    <t>Ambos
sexos</t>
  </si>
  <si>
    <t>Mujeres</t>
  </si>
  <si>
    <t>TOTAL DE NIÑOS EN CONTROL</t>
  </si>
  <si>
    <t>INDICADOR PESO/EDAD</t>
  </si>
  <si>
    <t>INDICADOR PESO/TALLA</t>
  </si>
  <si>
    <t>INDICADOR TALLA/EDAD</t>
  </si>
  <si>
    <t>DIAGNOSTICO NUTRICIONAL INTEGRADO</t>
  </si>
  <si>
    <t>DESNUTRIDO</t>
  </si>
  <si>
    <t>OBESO</t>
  </si>
  <si>
    <t>SUBTOTAL</t>
  </si>
  <si>
    <t>DESNUTRICIÓN 
SECUNDARIA</t>
  </si>
  <si>
    <t>T O T A L</t>
  </si>
  <si>
    <t>RESULTADO Y
GRUPOS DE EDAD</t>
  </si>
  <si>
    <t>12 a 23 meses</t>
  </si>
  <si>
    <t>RIESGO</t>
  </si>
  <si>
    <t>Menor de 12 meses</t>
  </si>
  <si>
    <t>RETRASO</t>
  </si>
  <si>
    <t>RESULTADO</t>
  </si>
  <si>
    <t>SCORE 
DE RIESGO</t>
  </si>
  <si>
    <t>LEVE</t>
  </si>
  <si>
    <t>MODERADO</t>
  </si>
  <si>
    <t>GRAVE</t>
  </si>
  <si>
    <t>NIÑO/A CON CONSULTA NUTRICIONAL EN</t>
  </si>
  <si>
    <t>EDAD</t>
  </si>
  <si>
    <t>CLASIFICACIÓN</t>
  </si>
  <si>
    <t>GRUPOS DE EDAD (en meses)</t>
  </si>
  <si>
    <t>36 a 47 meses</t>
  </si>
  <si>
    <t>48 a 71 meses</t>
  </si>
  <si>
    <t>6-9 años</t>
  </si>
  <si>
    <t>NORMAL (PA menor al percentil 90)</t>
  </si>
  <si>
    <t>SIN RIESGO</t>
  </si>
  <si>
    <t>CON RIESGO</t>
  </si>
  <si>
    <t>PROGRAMAS</t>
  </si>
  <si>
    <t>GRUPOS DE EDAD (en años) Y SEXO</t>
  </si>
  <si>
    <t>Con espirometría vigente</t>
  </si>
  <si>
    <t>10 a 14 años</t>
  </si>
  <si>
    <t xml:space="preserve">Hombres </t>
  </si>
  <si>
    <t>SÍNDROME BRONQUIAL OBSTRUCTIVA RECURRENTE (SBOR)</t>
  </si>
  <si>
    <t>SEVERO</t>
  </si>
  <si>
    <t>ASMA BRONQUIAL</t>
  </si>
  <si>
    <t>ENFERMEDAD PULMONAR OBSTRUCTIVA CRÓNICA (EPOC)</t>
  </si>
  <si>
    <t>OTRAS RESPIRATORIAS CRONICAS</t>
  </si>
  <si>
    <t>OXIGENO DEPENDIENTE</t>
  </si>
  <si>
    <t xml:space="preserve">FIBROSIS QUÍSTICA </t>
  </si>
  <si>
    <t xml:space="preserve">EPILEPSIA </t>
  </si>
  <si>
    <t xml:space="preserve">ENFERMEDAD DE PARKINSON </t>
  </si>
  <si>
    <t xml:space="preserve">ARTROSIS DE CADERA Y RODILLA </t>
  </si>
  <si>
    <t>ALIVIO DEL DOLOR</t>
  </si>
  <si>
    <t>HIPOTIROIDISMO</t>
  </si>
  <si>
    <t>DEPENDENCIA LEVE</t>
  </si>
  <si>
    <t>DEPENDENCIA MODERADA</t>
  </si>
  <si>
    <t>DEPENDENCIA SEVERA</t>
  </si>
  <si>
    <t>ONCOLÓGICA</t>
  </si>
  <si>
    <t>NO ONCOLÓGICA</t>
  </si>
  <si>
    <t>ATENCIÓN DOMICILIARIA POR DEPENDENCIA SEVERA</t>
  </si>
  <si>
    <t>TOTAL PERSONAS</t>
  </si>
  <si>
    <t>(*) Incluidos en Dependencia Severa Oncológica y NO Oncológica</t>
  </si>
  <si>
    <t>SECCION B: CUIDADORES DE PACIENTES CON DEPENDENCIA SEVERA</t>
  </si>
  <si>
    <t>CONCEPTO</t>
  </si>
  <si>
    <t>NÚMERO DE CUIDADORES</t>
  </si>
  <si>
    <t>SECCION C: POBLACIÓN EN CONTROL EN PROGRAMA DE REHABILITACIÓN PULMONAR EN SALA IRA-ERA</t>
  </si>
  <si>
    <t>PROGRAMA</t>
  </si>
  <si>
    <t>REHABILITACIÓN PULMONAR</t>
  </si>
  <si>
    <t>SECCIÓN A: PROGRAMA SALUD CARDIOVASCULAR (PSCV)</t>
  </si>
  <si>
    <t>Pacientes Diabéticos</t>
  </si>
  <si>
    <t>NUMERO DE PERSONAS EN PSCV</t>
  </si>
  <si>
    <t>CLASIFICACIÓN DEL
RIESGO
CARDIOVASCULAR</t>
  </si>
  <si>
    <t>BAJO</t>
  </si>
  <si>
    <t>PERSONAS BAJO CONTROL SEGÚN PATOLOGÍA Y FACTORES DE RIESGO (EXISTENCIA)</t>
  </si>
  <si>
    <t>SIN ENFERMEDAD RENAL (S/ERC)</t>
  </si>
  <si>
    <t>SECCIÓN B: METAS DE COMPENSACIÓN</t>
  </si>
  <si>
    <t>PERSONAS BAJO CONTROL POR HIPERTENSION</t>
  </si>
  <si>
    <t xml:space="preserve">PA &lt; 140/90 mmHg </t>
  </si>
  <si>
    <t>PERSONAS BAJO CONTROL POR DIABETES MELLITUS</t>
  </si>
  <si>
    <t xml:space="preserve">HbA1C&lt;7% </t>
  </si>
  <si>
    <t>PERSONAS BAJO CONTROL con antecedentes Enfermedad Cardiovascular (ECV)</t>
  </si>
  <si>
    <t>En tratamiento con Estatina</t>
  </si>
  <si>
    <t>SECCIÓN C: VARIABLES DE SEGUIMIENTO DEL PSCV AL CORTE</t>
  </si>
  <si>
    <t>VARIABLES</t>
  </si>
  <si>
    <t>EN TRATAMIENTO CON INSULINA</t>
  </si>
  <si>
    <t>CON HbA1C&gt;= 9 %</t>
  </si>
  <si>
    <t>Riesgo bajo</t>
  </si>
  <si>
    <t xml:space="preserve">Riesgo moderado </t>
  </si>
  <si>
    <t>Riesgo alto</t>
  </si>
  <si>
    <t xml:space="preserve">Riesgo máximo </t>
  </si>
  <si>
    <t>Curación Convencional</t>
  </si>
  <si>
    <t>Curación Avanzada</t>
  </si>
  <si>
    <t>CONDICIÓN DE 
FUNCIONALIDAD</t>
  </si>
  <si>
    <t>65 a 69 años</t>
  </si>
  <si>
    <t>70 a 74 años</t>
  </si>
  <si>
    <t>75 a 79 años</t>
  </si>
  <si>
    <t>AUTOVALENTE SIN RIESGO</t>
  </si>
  <si>
    <t>AUTOVALENTE CON RIESGO</t>
  </si>
  <si>
    <t xml:space="preserve">RIESGO DE DEPENDENCIA </t>
  </si>
  <si>
    <t>SUBTOTAL (EFAM)</t>
  </si>
  <si>
    <t>DEPENDIENTE LEVE</t>
  </si>
  <si>
    <t xml:space="preserve">DEPENDIENTE MODERADO </t>
  </si>
  <si>
    <t xml:space="preserve">DEPENDIENTE GRAVE </t>
  </si>
  <si>
    <t>DEPENDIENTE TOTAL</t>
  </si>
  <si>
    <t>SUBTOTAL (INDICE BARTHEL)</t>
  </si>
  <si>
    <t>SECCION B: POBLACIÓN BAJO CONTROL POR ESTADO NUTRICIONAL</t>
  </si>
  <si>
    <t>ESTADO NUTRICIONAL</t>
  </si>
  <si>
    <t>80 y más años</t>
  </si>
  <si>
    <t xml:space="preserve">TOTAL </t>
  </si>
  <si>
    <t>PERSONAS CON SOSPECHA DE MALTRATO</t>
  </si>
  <si>
    <t xml:space="preserve">PERSONAS EN ACTIVIDAD FÍSICA </t>
  </si>
  <si>
    <t>TIPO DE RIESGO</t>
  </si>
  <si>
    <t>Normal</t>
  </si>
  <si>
    <t>Leve</t>
  </si>
  <si>
    <t>Alto</t>
  </si>
  <si>
    <t>A. ATENCIÓN PRIMARIA</t>
  </si>
  <si>
    <t>SECCION A.1: POBLACIÓN EN CONTROL EN APS AL CORTE</t>
  </si>
  <si>
    <t>Gestantes</t>
  </si>
  <si>
    <t>0 a 4 años</t>
  </si>
  <si>
    <t>5 a 9 años</t>
  </si>
  <si>
    <t>55 a 59 años</t>
  </si>
  <si>
    <t>60 a 64 años</t>
  </si>
  <si>
    <t>NÚMERO DE PERSONAS EN CONTROL EN EL PROGRAMA</t>
  </si>
  <si>
    <t>FACTORES DE RIESGO Y CONDICIONANTES DE LA SALUD MENTAL</t>
  </si>
  <si>
    <t>VICTIMA</t>
  </si>
  <si>
    <t>ABUSO SEXUAL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</si>
  <si>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</si>
  <si>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</si>
  <si>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</si>
  <si>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</si>
  <si>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</si>
  <si>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</si>
  <si>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TRASTORNOS MENTALES Y DEL COMPORTAMIENTO DEBIDO A CONSUMO SUSTANCIAS PSICOTROPICAS</t>
  </si>
  <si>
    <t>TRASTORNOS DEL COMPORTAMIENTO Y DE LAS EMOCIONES DE COMIENZO HABITUAL EN LA INFANCIA Y ADOLESCENCIA</t>
  </si>
  <si>
    <t>TRASTORNO HIPERCINÉTICO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</si>
  <si>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</si>
  <si>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</si>
  <si>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</si>
  <si>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</si>
  <si>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TRASTORNOS DE LA CONDUCTA ALIMENTARIA</t>
  </si>
  <si>
    <t>RETRASO MENTAL</t>
  </si>
  <si>
    <t>TRASTORNO DE PERSONALIDAD</t>
  </si>
  <si>
    <t>TRASTORNO GENERALIZADOS DEL DESARROLLO</t>
  </si>
  <si>
    <t>TIPO</t>
  </si>
  <si>
    <t>RUBRO</t>
  </si>
  <si>
    <t>PROGRAMA DE REHABILITACIÓN TIPO I</t>
  </si>
  <si>
    <t>PROGRAMA DE REHABILITACIÓN TIPO II</t>
  </si>
  <si>
    <t>DEPRESIÓN REFRACTARIA</t>
  </si>
  <si>
    <t>DEPRESIÓN GRAVE CON PSICOSIS</t>
  </si>
  <si>
    <t>SECCION B.2: PROGRAMA DE REHABILITACIÓN EN ESPECIALIDAD (PERSONAS CON TRANSTORNOS PSIQUIÁTRICO)</t>
  </si>
  <si>
    <t>CLASIFICACIÓN DE LAS FAMILIAS POR SECTOR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</si>
  <si>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</si>
  <si>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</si>
  <si>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</si>
  <si>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</si>
  <si>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</si>
  <si>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</si>
  <si>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</si>
  <si>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</si>
  <si>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 xml:space="preserve">N° FAMILIAS INSCRITAS </t>
  </si>
  <si>
    <t>2 a 4 años</t>
  </si>
  <si>
    <t>TRANS</t>
  </si>
  <si>
    <t>Menor 1 Año</t>
  </si>
  <si>
    <t>1 año</t>
  </si>
  <si>
    <t>Nº DE PERSONAS / COMERCIO SEXUAL</t>
  </si>
  <si>
    <t>Menor de 25 años</t>
  </si>
  <si>
    <t xml:space="preserve">25 a 29 años </t>
  </si>
  <si>
    <t>(*) FUENTE DE INFORMACIÓN: CITOEXPERT O REVICAN</t>
  </si>
  <si>
    <t>PAP INFORMADOS SEGÚN RESULTADO</t>
  </si>
  <si>
    <t>NORMALES</t>
  </si>
  <si>
    <t>INADECUADOS Y ATIPICOS</t>
  </si>
  <si>
    <t>POSITIVOS</t>
  </si>
  <si>
    <t>INADECUADOS</t>
  </si>
  <si>
    <t>ATIPICOS</t>
  </si>
  <si>
    <t xml:space="preserve"> HPV</t>
  </si>
  <si>
    <t>NIE I</t>
  </si>
  <si>
    <t>NIE II</t>
  </si>
  <si>
    <t xml:space="preserve"> NIE III</t>
  </si>
  <si>
    <t>Ca. Inv. (Epidermoide)</t>
  </si>
  <si>
    <t>Ca. Inv. (Adenocarcinoma)</t>
  </si>
  <si>
    <t>Menor de 35 años</t>
  </si>
  <si>
    <t>35 a 49 años</t>
  </si>
  <si>
    <t>SECCION D: PROGRAMA DE CANCER DE MAMA: NÚMERO DE MUJERES CON EXAMEN FÍSICO DE MAMA (VIGENTE)</t>
  </si>
  <si>
    <t>(*) FUENTE DE INFORMACIÓN: TARJETERO POBLACIONAL DE LA APS</t>
  </si>
  <si>
    <t>A.- DIFERENCIAS ENTRE POBLACIÓN EN CONTROL Y ESTADO NUTRICIONAL</t>
  </si>
  <si>
    <t>B.- DESGLOSE DE POBLACIÓN SEGÚN CONDICIÓN, PATOLOGÍA, SEXO, ETC.</t>
  </si>
  <si>
    <t>REM</t>
  </si>
  <si>
    <t>Nº ERRORES</t>
  </si>
  <si>
    <t>JUSTIFICAR ERRORES (indicar)</t>
  </si>
  <si>
    <t>REM
SIN DATOS</t>
  </si>
  <si>
    <t>CAUSAL</t>
  </si>
  <si>
    <t>OTRA CAUSAL (indicar)</t>
  </si>
  <si>
    <t>HOJA NOMBRE</t>
  </si>
  <si>
    <t>REM P1</t>
  </si>
  <si>
    <t>Licencia médica</t>
  </si>
  <si>
    <t>REM P2</t>
  </si>
  <si>
    <t>Feriado Legal</t>
  </si>
  <si>
    <t>REM P3</t>
  </si>
  <si>
    <t>No hubo profesional</t>
  </si>
  <si>
    <t>REM P4</t>
  </si>
  <si>
    <t>No corresponde REM</t>
  </si>
  <si>
    <t>REM P5</t>
  </si>
  <si>
    <t>Otra causa justificada</t>
  </si>
  <si>
    <t>REM P6</t>
  </si>
  <si>
    <t>REM P7</t>
  </si>
  <si>
    <t>REM P11</t>
  </si>
  <si>
    <t>REM P12</t>
  </si>
  <si>
    <t>Hoja de Macros y Utilidades</t>
  </si>
  <si>
    <t>DESPROTEGER HOJAS</t>
  </si>
  <si>
    <t>PROTEGER HOJAS</t>
  </si>
  <si>
    <t>Contraseña para copia del archivo :DEIS</t>
  </si>
  <si>
    <t>TIPO DE ESTABLECIMIENTO/ESTRATEGIA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</si>
  <si>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</si>
  <si>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</si>
  <si>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</si>
  <si>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</si>
  <si>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Posta de Salud Rural (PSR)</t>
  </si>
  <si>
    <t>Consultorio General Urbano (CGU)</t>
  </si>
  <si>
    <t>Consultorio General Rural (CGR)</t>
  </si>
  <si>
    <t>Centro Comunitario de Salud Familiar (CECOF)</t>
  </si>
  <si>
    <t>Consultorio de Salud Mental (COSAM)</t>
  </si>
  <si>
    <t>Programa de Reparación y Atención Integral de Salud (PRAIS)</t>
  </si>
  <si>
    <t>Consultorio General Urbano (CGU) - CESFAM</t>
  </si>
  <si>
    <t>Consultorio General Rural (CGR) - CESFAM</t>
  </si>
  <si>
    <t>Dirección Servicio de Salud (DSS)</t>
  </si>
  <si>
    <t>Centro de Atención Funcionarios (CAF)</t>
  </si>
  <si>
    <t>CON RAZON ALBÚMINA CREATININA (RAC),VIGENTE</t>
  </si>
  <si>
    <t>CON FONDO DE OJO, VIGENTE</t>
  </si>
  <si>
    <t>20 - 24</t>
  </si>
  <si>
    <t>datos</t>
  </si>
  <si>
    <t>errores</t>
  </si>
  <si>
    <t>Del 5to mes</t>
  </si>
  <si>
    <t>De los 3 años y 6 meses</t>
  </si>
  <si>
    <t>Diada, menor de 10 días</t>
  </si>
  <si>
    <t>ALTO</t>
  </si>
  <si>
    <t>SECCION D: NIVEL DE CONTROL DE POBLACION RESPIRATORIA CRONICA</t>
  </si>
  <si>
    <t>Controlado</t>
  </si>
  <si>
    <t>Parcialmente Controlado</t>
  </si>
  <si>
    <t>No Controlado</t>
  </si>
  <si>
    <t>No evaluada</t>
  </si>
  <si>
    <t>Logra Control Adecuado</t>
  </si>
  <si>
    <t>No Logra Control Adecuado</t>
  </si>
  <si>
    <t xml:space="preserve">15 - 19 </t>
  </si>
  <si>
    <t>25 - 29</t>
  </si>
  <si>
    <t>30 - 34</t>
  </si>
  <si>
    <t>35 - 39</t>
  </si>
  <si>
    <t>40 - 44</t>
  </si>
  <si>
    <t>45 - 49</t>
  </si>
  <si>
    <t>50 - 54</t>
  </si>
  <si>
    <t>SECCION A.1: EXISTENCIA DE POBLACIÓN EN CONTROL EN PROGRAMA "MÁS ADULTOS MAYORES AUTOVALENTES" POR CONDICIÓN DE FUNCIONALIDAD</t>
  </si>
  <si>
    <t>TOTAL (EFAM)</t>
  </si>
  <si>
    <t xml:space="preserve">PERSONAS CON DIAGNOSTICOS DE TRASTORNOS MENTALES </t>
  </si>
  <si>
    <t>TABAQUISMO ≥ 55 AÑOS</t>
  </si>
  <si>
    <t>ANTECEDENTES DE INFARTO AGUDO AL MIOCARDIO (IAM)</t>
  </si>
  <si>
    <t>HbA1C&lt;7% - PA &lt; 140/90mmHg y Colesterol LDL &lt; 100 mg/dl</t>
  </si>
  <si>
    <t>Primer trimestre</t>
  </si>
  <si>
    <t>Diabetes Pre Gestacional</t>
  </si>
  <si>
    <t>Diabetes Gestacional</t>
  </si>
  <si>
    <t>GESTANTES QUE PRESENTAN ARO</t>
  </si>
  <si>
    <t>Anemia</t>
  </si>
  <si>
    <t>Cardiopatías</t>
  </si>
  <si>
    <t>Pielonefritis</t>
  </si>
  <si>
    <t>Rh(-) sensibilizada</t>
  </si>
  <si>
    <t>Placenta previa</t>
  </si>
  <si>
    <t>Chagas</t>
  </si>
  <si>
    <t>Colestasia Intrahépatica de Embarazo</t>
  </si>
  <si>
    <t xml:space="preserve">Mujeres con EFM vigente
</t>
  </si>
  <si>
    <t xml:space="preserve">ASISTENCIA VENTILATORIA NO INVASIVA O INVASIVA </t>
  </si>
  <si>
    <t xml:space="preserve">Madre de Hijo menor de 5 años </t>
  </si>
  <si>
    <t>OTRAS</t>
  </si>
  <si>
    <t xml:space="preserve">OTRAS </t>
  </si>
  <si>
    <t>SECCION B: POBLACION EN CONTROL SEGÚN RESULTADO DE EVALUACIÓN DEL DESARROLLO PSICOMOTOR</t>
  </si>
  <si>
    <t>SECCION D: POBLACIÓN EN CONTROL EN EL SEMESTRE CON CONSULTA NUTRICIONAL, SEGÚN ESTRATEGIA</t>
  </si>
  <si>
    <t>SECCION E: POBLACIÓN INASISTENTE A CONTROL DEL NIÑO SANO (AL CORTE)</t>
  </si>
  <si>
    <t xml:space="preserve">PA &lt; 150/90 mmHg </t>
  </si>
  <si>
    <t>HbA1C&lt;8%</t>
  </si>
  <si>
    <t>CON ECG VIGENTE</t>
  </si>
  <si>
    <t>TODAS LAS PERSONAS EN PSCV</t>
  </si>
  <si>
    <t>SECCION A.3: PROGRAMA DE ACOMPAÑAMIENTO PSICOSOCIAL EN LA ATENCION PRIMARIA</t>
  </si>
  <si>
    <t>Ambos Sexos</t>
  </si>
  <si>
    <t>Grupos de Edad</t>
  </si>
  <si>
    <t>Ambos sexos</t>
  </si>
  <si>
    <t>15 - 19 años</t>
  </si>
  <si>
    <t>SOBREPESO / RIESGO OBESIDAD</t>
  </si>
  <si>
    <t>Estudio/trabajo</t>
  </si>
  <si>
    <t>Áreas de Riesgo</t>
  </si>
  <si>
    <t>Gineco/urologico/sexualidad</t>
  </si>
  <si>
    <t>Total de Adolescentes que reciben Consejería</t>
  </si>
  <si>
    <t>Adolescentes 10 a 14 años</t>
  </si>
  <si>
    <t>Adolescentes 15 a 19 años</t>
  </si>
  <si>
    <t>INDICADOR IMC / EDAD</t>
  </si>
  <si>
    <t>+ 3 D.S. (&gt;= 3 )</t>
  </si>
  <si>
    <t>+ 2 D.S. (&gt;= +2.0 a +2.9)</t>
  </si>
  <si>
    <t>+ 1 D.S. (&gt;= +1.0 a +1.9)</t>
  </si>
  <si>
    <t>- 1 D.S. (&lt;= -1.0 a -1.9)</t>
  </si>
  <si>
    <t>- 2 D.S. (&lt;= -2.0)</t>
  </si>
  <si>
    <t>PROMEDIO (-0,9 A + 0,9)</t>
  </si>
  <si>
    <t>+ 2 D.S. (&gt;= +2.0)</t>
  </si>
  <si>
    <t>+ 1 D.S. (+1.0 a +1.9)</t>
  </si>
  <si>
    <t>- 1 D.S. (-1.0 a -1.9)</t>
  </si>
  <si>
    <t>INDICADOR PERIMETRO DE CINTURA / EDAD</t>
  </si>
  <si>
    <t>NORMAL (&lt;p75)</t>
  </si>
  <si>
    <t>RIESGO DE OBESIDAD ABDOMINAL (75&lt;p&lt;90)</t>
  </si>
  <si>
    <t>OBESIDAD ABDOMINAL (&gt;p90)</t>
  </si>
  <si>
    <t>RIESGO DE DESNUTRIR/ DEFICIT PONDERAL*</t>
  </si>
  <si>
    <t>OBESO SEVERO</t>
  </si>
  <si>
    <t>Adolescentes 10-14 años</t>
  </si>
  <si>
    <t>Adolescentes 15 - 19 años</t>
  </si>
  <si>
    <t>NOTA(*): El Diagnóstico Nutricional Integrado de Déficit para los niños (as) 5 años y más denomina Déficit Ponderal al Riesgo de Desnutrir.</t>
  </si>
  <si>
    <t>AGRESOR/A</t>
  </si>
  <si>
    <t xml:space="preserve">VIOLENCIA </t>
  </si>
  <si>
    <t>AVANZADO</t>
  </si>
  <si>
    <t>SECCIÓN A. CLASIFICACIÓN DE LAS FAMILIAS SECTOR URBANO</t>
  </si>
  <si>
    <t>N° FAMILIAS EVALUADAS CON CARTOLA/ENCUESTA FAMILIAR</t>
  </si>
  <si>
    <t>N° DE FAMILIAS EN RIESGO BAJO</t>
  </si>
  <si>
    <t>N° DE FAMILIAS EN RIESGO MEDIO</t>
  </si>
  <si>
    <t>N° DE FAMILIAS EN RIESGO ALTO</t>
  </si>
  <si>
    <t>SECCIÓN A.1 CLASIFICACIÓN DE LAS FAMILIAS SECTOR RURAL</t>
  </si>
  <si>
    <t>SECCIÓN B. INTERVENCIÓN EN FAMILIAS SECTOR URBANO Y RURAL</t>
  </si>
  <si>
    <t>N° FAMILIAS CON PLAN DE INTERVENCIÓN</t>
  </si>
  <si>
    <t>N° FAMILIAS SIN PLAN DE INTERVENCIÓN</t>
  </si>
  <si>
    <t>N° FAMILIAS EGRESADAS DE PLANES DE INTERVENCIÓN</t>
  </si>
  <si>
    <t>TOTAL DE EGRESOS</t>
  </si>
  <si>
    <t>INTERVENCIÓN EN FAMILIAS</t>
  </si>
  <si>
    <t>ALTA POR CUMPLIR PLAN DE INTERVENCIÓN</t>
  </si>
  <si>
    <t>TRASLADO DE ESTABLECIMIENTO</t>
  </si>
  <si>
    <t>DERIVACIÓN POR COMPLEJIDAD DEL CASO</t>
  </si>
  <si>
    <t>POR ABANDONO</t>
  </si>
  <si>
    <t>Hombre</t>
  </si>
  <si>
    <t>GLAUCOMA</t>
  </si>
  <si>
    <t>Alterado</t>
  </si>
  <si>
    <t>ALIMENTACION SALUDABLE</t>
  </si>
  <si>
    <t>TABAQUISMO</t>
  </si>
  <si>
    <t>CONSUMO DE DROGAS</t>
  </si>
  <si>
    <t>SALUD SEXUAL REPRODUCTIVA</t>
  </si>
  <si>
    <t>REGULACION DE FECUNDIDAD</t>
  </si>
  <si>
    <t>PREVENCION VIH-ITS</t>
  </si>
  <si>
    <t>ADOLESCENTES CON CONDUCTA POSTERGADORA</t>
  </si>
  <si>
    <t>ADOLESCENTES CON CONDUCTA ANTICIPADORA</t>
  </si>
  <si>
    <t>ADOLESCENTES CON CONDUCTA ACTIVA</t>
  </si>
  <si>
    <t>USO ACTUAL DE METODO ANTICONCEPTIVO</t>
  </si>
  <si>
    <t>USO ACTUAL DE DOBLE PROTECCIÓN</t>
  </si>
  <si>
    <t>ADOLESCENTE CON ANTECEDENTE DE UN PRIMER EMBARAZO</t>
  </si>
  <si>
    <t>ADOLESCENTE CON ANTECEDENTE DE MAS DE UN EMBARAZO</t>
  </si>
  <si>
    <t>ADOLESCENTE CON ANTECEDENTE DE ABORTO</t>
  </si>
  <si>
    <t>ESTUDIA</t>
  </si>
  <si>
    <t>DESERCIÓN ESCOLAR</t>
  </si>
  <si>
    <t>TRABAJO JUVENIL</t>
  </si>
  <si>
    <t>PEORES FORMAS DE TRABAJO INFANTIL</t>
  </si>
  <si>
    <t>SERVICIO DOMESTICO NO REMUNERADO PELIGROSO</t>
  </si>
  <si>
    <t>TRABAJO INFANTIL</t>
  </si>
  <si>
    <t>NORMAL O EUTROFIA</t>
  </si>
  <si>
    <t>RANGOS PERCENTILARES PARA CIRCUNFERENCIA DE CINTURA</t>
  </si>
  <si>
    <t>NORMAL (p&lt;75)</t>
  </si>
  <si>
    <t>≥+ 2.0 D.E.(Talla Alta)</t>
  </si>
  <si>
    <t>+ 1.0 a+ 1.9 D.E. (Talla Normal Alta)</t>
  </si>
  <si>
    <r>
      <rPr>
        <u/>
        <sz val="8"/>
        <rFont val="Verdana"/>
        <family val="2"/>
      </rPr>
      <t>&lt;</t>
    </r>
    <r>
      <rPr>
        <sz val="8"/>
        <rFont val="Verdana"/>
        <family val="2"/>
      </rPr>
      <t xml:space="preserve"> 2 D.E. (Talla Baja)</t>
    </r>
  </si>
  <si>
    <t>-0.9 a+ 0.9 D.E. (Talla Normal)</t>
  </si>
  <si>
    <r>
      <rPr>
        <u/>
        <sz val="8"/>
        <rFont val="Verdana"/>
        <family val="2"/>
      </rPr>
      <t>&gt;</t>
    </r>
    <r>
      <rPr>
        <sz val="8"/>
        <rFont val="Verdana"/>
        <family val="2"/>
      </rPr>
      <t>+ 3 D.E. (Obesidad Severa)</t>
    </r>
  </si>
  <si>
    <t>≥ +2.0 a+2,9 D.E. (Obesidad)</t>
  </si>
  <si>
    <t xml:space="preserve">≥ +1.0 a+1,9 D.E.(Sobrepeso) </t>
  </si>
  <si>
    <t>ACTIVIDAD Y AREA TEMATICA</t>
  </si>
  <si>
    <t>INSTRUMENTO DE EVALUACIÓN</t>
  </si>
  <si>
    <t>TIMED UP AND GO</t>
  </si>
  <si>
    <t>ESTACIÓN UNIPODAL</t>
  </si>
  <si>
    <t xml:space="preserve">Normal </t>
  </si>
  <si>
    <t>REM P9</t>
  </si>
  <si>
    <t>CON PRESIÓN ARTERIAL igual o Mayor 160/100 mmHg</t>
  </si>
  <si>
    <t>SECCION A: POBLACIÓN EN CONTROL DE SALUD INTEGRAL DE ADOLESCENTES, SEGÚN ESTADO NUTRICIONAL</t>
  </si>
  <si>
    <t>SECCION G: POBLACIÓN INFANTIL EUTRÓFICA, SEGÚN RIESGO DE MALNUTRICIÓN POR EXCESO (Incluida en sección A y A1)</t>
  </si>
  <si>
    <t>SECCION F: POBLACIÓN INFANTIL SEGÚN DIAGNÓSTICO DE PRESIÓN ARTERIAL (Incluida en sección A y A1)</t>
  </si>
  <si>
    <t>NUMERO DE PERSONAS EN CONTROL EN EL PROGRAMA</t>
  </si>
  <si>
    <t>OBESIDAD ABDOMINAL p&gt;90)</t>
  </si>
  <si>
    <t>Total cuidadoras/es con examen preventivo vigente</t>
  </si>
  <si>
    <t>Cuidadoras/es con apoyo monetario</t>
  </si>
  <si>
    <t>Masculino</t>
  </si>
  <si>
    <t>Femenino</t>
  </si>
  <si>
    <t>Población Migrantes</t>
  </si>
  <si>
    <t>LUBRICANTES</t>
  </si>
  <si>
    <t>ESTERILIZACIÓN QUIRURGICA</t>
  </si>
  <si>
    <t>Mujeres con Retiro de Implante Anticipado en el semestre (antes de los 5 años)</t>
  </si>
  <si>
    <t>Gestantes que reciben preservativo</t>
  </si>
  <si>
    <t>SECCION F.1: POBLACIÓN EN CONTROL CLIMATERIO SEGÚN TIPO TERAPIA REEMPLAZO HORMONAL</t>
  </si>
  <si>
    <t>Estradiol Micronizado 1mg</t>
  </si>
  <si>
    <t>Estradiol Gel</t>
  </si>
  <si>
    <t>Progesterona Micronizada 100mg</t>
  </si>
  <si>
    <t>Progesterona Micronizada 200mg</t>
  </si>
  <si>
    <t>Nomegestrol 5mg comp.</t>
  </si>
  <si>
    <t>Tibolona 2,5mg comp.</t>
  </si>
  <si>
    <t>Menor 
de 45 años</t>
  </si>
  <si>
    <t>55 a 60 años</t>
  </si>
  <si>
    <t>Total de Niños y Niñas que han recibido VDI</t>
  </si>
  <si>
    <t>Tipo de Programas SENAME</t>
  </si>
  <si>
    <t xml:space="preserve">POR EDAD </t>
  </si>
  <si>
    <t>15 a 19</t>
  </si>
  <si>
    <t>Mayor a 25 años</t>
  </si>
  <si>
    <t>CIP-CRC</t>
  </si>
  <si>
    <t>RESIDENCIALES</t>
  </si>
  <si>
    <t>Variable</t>
  </si>
  <si>
    <t>20 a 24</t>
  </si>
  <si>
    <t>POBLACIÓN EN CONTROL CON MÉTODO DE REGULACIÓN DE FERTILIDAD</t>
  </si>
  <si>
    <t>GESTANTES EN CONTROL CON RIESGO PSICOSOCIAL</t>
  </si>
  <si>
    <t>POBLACIÓN INFANTIL EN CONTROL</t>
  </si>
  <si>
    <t>POBLACIÓN EN CONTROL DE SALUD INTEGRAL DE ADOLESCENTES SEGÚN ÁREA DE RIESGO</t>
  </si>
  <si>
    <t>POBLACIÓN EN CONTROL DE SALUD MENTAL</t>
  </si>
  <si>
    <t>POBLACIÓN EN PROGRAMA DE ACOMPAÑAMIENTO PSICOSOCIAL</t>
  </si>
  <si>
    <t>Implante Levonorgestrel (5 años)</t>
  </si>
  <si>
    <t>PRESERVATIVO/PRACTICA SEXUAL SEGURA</t>
  </si>
  <si>
    <t>Total</t>
  </si>
  <si>
    <t>RIESGO BAJO</t>
  </si>
  <si>
    <t>RIESGO MEDIO</t>
  </si>
  <si>
    <t>RIESGO ALTO</t>
  </si>
  <si>
    <t>Implante Etonogestrel (3 años)</t>
  </si>
  <si>
    <t>REM-P1. POBLACIÓN EN CONTROL PROGRAMA DE SALUD DE LA MUJER</t>
  </si>
  <si>
    <t>D . I . U con Levonorgestrel</t>
  </si>
  <si>
    <t>SECCION D: GESTANTES Y MUJERES DE 8° MES POST-PARTO EN CONTROL, SEGÚN ESTADO NUTRICIONAL</t>
  </si>
  <si>
    <t>SECCION G: GESTANTES EN CONTROL CON ECOGRAFÍA POR TRIMESTRE DE GESTACION (EN EL SEMESTRE)</t>
  </si>
  <si>
    <t>REM-P4. POBLACIÓN EN CONTROL PROGRAMA DE SALUD CARDIOVASCULAR (PSCV)</t>
  </si>
  <si>
    <t>COLESTEROL LDL &lt; 100 mg/dL</t>
  </si>
  <si>
    <t>SECCION A: POBLACIÓN EN CONTROL POR CONDICIÓN DE FUNCIONALIDAD</t>
  </si>
  <si>
    <t>GRUPO DE EDAD (en años) Y SEXO</t>
  </si>
  <si>
    <t>D . I . U T con Cobre</t>
  </si>
  <si>
    <t xml:space="preserve"> TOTAL</t>
  </si>
  <si>
    <t>4 a 11 meses</t>
  </si>
  <si>
    <t>TIPO A</t>
  </si>
  <si>
    <t>TIPO B</t>
  </si>
  <si>
    <t>REM-P6. POBLACIÓN EN CONTROL PROGRAMA DE SALUD MENTAL EN ATENCIÓN PRIMARIA Y ESPECIALIDAD</t>
  </si>
  <si>
    <t>N° DE PERSONAS EN CONTROL EN PROGRAMA DE ACOMPAÑAMIENTO PSICOSOCIAL</t>
  </si>
  <si>
    <t>DEPRESIÓN CON ALTO RIESGO SUICIDA</t>
  </si>
  <si>
    <t>REM-P7. FAMILIAS EN CONTROL DE SALUD FAMILIAR</t>
  </si>
  <si>
    <t>REM-P9. POBLACIÓN EN CONTROL DEL ADOLESCENTE</t>
  </si>
  <si>
    <t>TOTAL ADOLESCENTES EN CONTROL</t>
  </si>
  <si>
    <t>≤ -2.0 D.E. (Desnutrición)</t>
  </si>
  <si>
    <t>- 1.0 a -1.9 D.E. (Talla Normal Baja)</t>
  </si>
  <si>
    <t>RIESGO DE OBESIDAD (p75&lt;p&lt;90)</t>
  </si>
  <si>
    <t>SECCION B: POBLACIÓN EN CONTROL SALUD INTEGRAL DE ADOLESCENTES, SEGÚN EDUCACIÓN Y TRABAJO</t>
  </si>
  <si>
    <t>SECCION C: POBLACIÓN EN CONTROL SALUD INTEGRAL DE ADOLESCENTES, SEGÚN ÁREAS DE RIESGO</t>
  </si>
  <si>
    <t>10-14 años</t>
  </si>
  <si>
    <t>GRUPO DE EDAD 
(en años)</t>
  </si>
  <si>
    <t xml:space="preserve"> 0 - 4</t>
  </si>
  <si>
    <t xml:space="preserve"> 5 - 9</t>
  </si>
  <si>
    <t xml:space="preserve"> 10 - 14 </t>
  </si>
  <si>
    <t>NUMERO DE ERRORES SEGÚN :</t>
  </si>
  <si>
    <t>CREA UNA COPIA DEL ARCHIVO (TRANFORMA HOJAS A VALORES)</t>
  </si>
  <si>
    <t>REM-P3. POBLACIÓN EN CONTROL OTROS PROGRAMAS</t>
  </si>
  <si>
    <t>REM P13</t>
  </si>
  <si>
    <t>Menor de 15</t>
  </si>
  <si>
    <t>ACTIVIDAD FÍSICA</t>
  </si>
  <si>
    <t>≤ -1.0 a-1,9 D.E.(Bajo peso)</t>
  </si>
  <si>
    <t>SECCION A.2: PROGRAMA DE REHABILITACIÓN EN ATENCION PRIMARIA (PERSONAS CON TRANSTORNOS PSIQUIÁTRICO).</t>
  </si>
  <si>
    <t>SECCION A: POBLACIÓN EN CONTROL SEGÚN MÉTODO DE REGULACIÓN DE FERTILIDAD Y SALUD SEXUAL</t>
  </si>
  <si>
    <t>B. ATENCIÓN DE ESPECIALIDADES
SECCION B.1: POBLACIÓN EN CONTROL EN ESPECIALIDAD AL CORTE</t>
  </si>
  <si>
    <t>Madre de hojos</t>
  </si>
  <si>
    <t>Pueblos originarios</t>
  </si>
  <si>
    <t>Poblacion Migrantes</t>
  </si>
  <si>
    <t>No Olvide</t>
  </si>
  <si>
    <t>Niños y niñas SENAME</t>
  </si>
  <si>
    <t>Femenino (NO)</t>
  </si>
  <si>
    <t xml:space="preserve"> -0.9 a+ 0.9 D.E. (Peso Normal)</t>
  </si>
  <si>
    <t>CONDON FEMENINO</t>
  </si>
  <si>
    <t>PV-VIH (personas viviendo con VIH)</t>
  </si>
  <si>
    <t>Espacios Amigables</t>
  </si>
  <si>
    <t>SUICIDIO</t>
  </si>
  <si>
    <t>IDEACIÓN</t>
  </si>
  <si>
    <t>INTENTO</t>
  </si>
  <si>
    <t>TRASTORNO DE ESTRÉS POST TRAUMATICO</t>
  </si>
  <si>
    <t>FOBIAS SOCIALES</t>
  </si>
  <si>
    <t>TRASTORNOS DE ANSIEDAD GENERALIZADA</t>
  </si>
  <si>
    <t>OTROS TRASTORNOS DE ANSIEDAD</t>
  </si>
  <si>
    <t>EPILEPSIA</t>
  </si>
  <si>
    <t>CON ATENCIÓN PODOLÓGICA VIGENTE</t>
  </si>
  <si>
    <t>SECCIÓN A: EXISTENCIA DE POBLACIÓN EN CONTROL</t>
  </si>
  <si>
    <t xml:space="preserve">CON INDICACIÓN DE NUTRICIÓN ENTERAL DOMICILIARIA (NED) </t>
  </si>
  <si>
    <t>DEMENCIAS (INCLUYE ALZHEIMER)</t>
  </si>
  <si>
    <t>Nº TOTAL DE PERSONAS CON VIH/SIDA</t>
  </si>
  <si>
    <t>GESTANTES</t>
  </si>
  <si>
    <t>Inicia TARV en este embarazo</t>
  </si>
  <si>
    <t>en TARV previa</t>
  </si>
  <si>
    <t>NO GESTANTES</t>
  </si>
  <si>
    <t>Con TARV</t>
  </si>
  <si>
    <t>Sin TARV</t>
  </si>
  <si>
    <t>CON AMPUTACIÓN POR PIE DIABÉTICO</t>
  </si>
  <si>
    <t>Población SENAME</t>
  </si>
  <si>
    <t>Madre de hijos</t>
  </si>
  <si>
    <t>Poblacion SENAME</t>
  </si>
  <si>
    <t>EN  TRATAMIENTO CON INSULINA QUE LOGRA META CON  HbA1C SEGÚN EDAD</t>
  </si>
  <si>
    <t>Plan Cuidado Integral Elaborado</t>
  </si>
  <si>
    <t>6 a 7 años</t>
  </si>
  <si>
    <t>8 a 9 años</t>
  </si>
  <si>
    <t>PRESIÓN ARTERIAL ELEVADA</t>
  </si>
  <si>
    <t>TOTAL PERSONAS MAYORES EN CONTROL</t>
  </si>
  <si>
    <t xml:space="preserve">REM-P5. POBLACIÓN EN CONTROL PROGRAMA NACIONAL DE SALUD INTEGRAL DE PERSONAS MAYORES </t>
  </si>
  <si>
    <t>PCIE</t>
  </si>
  <si>
    <t>SECCION C: PERSONAS MAYORES CON SOSPECHA DE MALTRATO</t>
  </si>
  <si>
    <t xml:space="preserve">SECCION D: PERSONAS MAYORES EN ACTIVIDAD FÍSICA </t>
  </si>
  <si>
    <t>SECCION E: PERSONAS MAYORES CON RIESGO DE CAÍDAS</t>
  </si>
  <si>
    <t>REM-P11. POBLACIÓN EN CONTROL PROGRAMA DE INFECCIONES DE TRASMISIÓN SEXUAL - VIH / SIDA</t>
  </si>
  <si>
    <t>SECCION A: POBLACIÓN EN CONTROL DEL PROGRAMA DE VIH/SIDA (Uso exclusivo Centros de Atención VIH-SIDA)</t>
  </si>
  <si>
    <t>Consultorio General Urbano(CGU) con SAPU/SUR/SAR</t>
  </si>
  <si>
    <t>Consultorio General Urbano (CGU) - CESFAM con SAPU/SAR</t>
  </si>
  <si>
    <t>Consultorio General Rural (CGR) con SAPU/SAR/SUR</t>
  </si>
  <si>
    <t>Consultorio General Rural (CGR) - CESFAM con SAPU/SAR/SUR</t>
  </si>
  <si>
    <t>SOBREPESO: IMC entre 25 y 29.9 &lt;65</t>
  </si>
  <si>
    <t>SOBREPESO: IMC entre 28 y 31.9 &gt;65</t>
  </si>
  <si>
    <t xml:space="preserve">SECCION C: POBLACIÓN MENOR DE 1 AÑO EN CONTROL, SEGÚN SCORE RIESGO EN IRA Y VISITA DOMICILIARIA INTEGRAL </t>
  </si>
  <si>
    <t>CON *EVALUACIÓN VIGENTE DEL PIE SEGÚN PAUTA DE ESTIMACION DEL RIESGO DE ULCERACION EN PERSONAS CON DIABETES</t>
  </si>
  <si>
    <t xml:space="preserve">MUJERES BAJO CONTROL DE REGULACIÓN DE FERTILIDAD SEGÚN ESTADO NUTRICIONAL </t>
  </si>
  <si>
    <t>MUJERES
con Examen VPH Vigente 
en los ultimos 5 años</t>
  </si>
  <si>
    <t>TRANS MASCULINO
con Examen VPH Vigente 
en los ultimos 5 años</t>
  </si>
  <si>
    <t>VPH INFORMADOS SEGÚN RESULTADO</t>
  </si>
  <si>
    <t>VPH (-)</t>
  </si>
  <si>
    <t>VPH 16 (+)</t>
  </si>
  <si>
    <t>VPH 18 (+)</t>
  </si>
  <si>
    <t xml:space="preserve">VPH AR* (+) </t>
  </si>
  <si>
    <t>* Agrupados Alto Riesgo</t>
  </si>
  <si>
    <t xml:space="preserve">TOTAL VPH  INFORMADOS EN TRANS MASCULINO </t>
  </si>
  <si>
    <t xml:space="preserve">VPH AR (+) </t>
  </si>
  <si>
    <t>SECCION E: PROGRAMA DE CANCER DE CUELLO UTERINO: POBLACIÓN CON VPH VIGENTE</t>
  </si>
  <si>
    <t xml:space="preserve">TOTAL PAP INFORMADOS EN TRANS MASCULINO </t>
  </si>
  <si>
    <t>AUTISMO</t>
  </si>
  <si>
    <t>ASPERGER</t>
  </si>
  <si>
    <t>SÍNDROME DE RETT</t>
  </si>
  <si>
    <t>TRASTORNO DESINTEGRATIVO DE LA INFANCIA</t>
  </si>
  <si>
    <t>TRASTONO GENERALIZADO DEL DESARROLLO NO ESPECÍFICO</t>
  </si>
  <si>
    <t>N° DE PERSONAS EN TARV</t>
  </si>
  <si>
    <t xml:space="preserve">SECCION H: MUJERES BAJO CONTROL DE REGULACIÓN DE FERTILIDAD SEGÚN ESTADO NUTRICIONAL </t>
  </si>
  <si>
    <t>SECCIÓN F: PROGRAMA DE CANCER DE CUELLO UTERINO: RESULTADOS DE VPH  REALIZADOS EN EL SISTEMA PUBLICO SEGÚN GRUPOS DE EDAD 
(Examen realizados en la red pública)</t>
  </si>
  <si>
    <t xml:space="preserve">HTA ESTADIO I </t>
  </si>
  <si>
    <t>HTA ESTADIO II</t>
  </si>
  <si>
    <t>En tratamiento con Antiagregantes plaquetarios</t>
  </si>
  <si>
    <t>PERSONAS CON RCV ALTO</t>
  </si>
  <si>
    <t>PERSONAS CON DIABETES  EN PSCV</t>
  </si>
  <si>
    <t>ANTECEDENTE DE ATAQUE CEREBRO VASCULAR</t>
  </si>
  <si>
    <t>ANTECEDENTES DE INFARTO AGUDO AL MIOCARDIO</t>
  </si>
  <si>
    <t>Derivación Nivel Secundario</t>
  </si>
  <si>
    <t xml:space="preserve">REM-P2. POBLACIÓN EN CONTROL PROGRAMA NACIONAL  DE SALUD DE LA INFANCIA </t>
  </si>
  <si>
    <t>Mujeres con MRS elevado*</t>
  </si>
  <si>
    <t>PERSONAS CON HIPERTENSION EN PSCV</t>
  </si>
  <si>
    <t>Con carga viral &lt;a 1000 copias</t>
  </si>
  <si>
    <t>SECCIÓN E:  RESULTADO DE ENCUESTA CALIDAD DE VIDA</t>
  </si>
  <si>
    <t>5 - 9 
años</t>
  </si>
  <si>
    <t>10 - 14
años</t>
  </si>
  <si>
    <t>15 - 19
años</t>
  </si>
  <si>
    <t xml:space="preserve">20 a 24 años
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</si>
  <si>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</si>
  <si>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</si>
  <si>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</si>
  <si>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</si>
  <si>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</si>
  <si>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</si>
  <si>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</si>
  <si>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</si>
  <si>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</si>
  <si>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>Ingresos</t>
  </si>
  <si>
    <t>Abandonos</t>
  </si>
  <si>
    <t>Egresos por termino de ciclo</t>
  </si>
  <si>
    <t>Articulacion continuidad en intersector</t>
  </si>
  <si>
    <t>DIAGNÓSTICO</t>
  </si>
  <si>
    <t>ACTIVIDAD</t>
  </si>
  <si>
    <t>Mejora en relación a  año anterior</t>
  </si>
  <si>
    <t>No mejora en relación a año anterior</t>
  </si>
  <si>
    <t>Evaluados</t>
  </si>
  <si>
    <t>SECCION B: POBLACIÓN EN CONTROL POR COMERCIO SEXUAL (Uso exclusivo de Unidades Control Comercio Sexual)</t>
  </si>
  <si>
    <t>OTRAS CRÓNICAS RESPIRATORIAS</t>
  </si>
  <si>
    <t>Unidad de Salud de Funcionarios (USF)</t>
  </si>
  <si>
    <t>Servicio de Atención Primaria de Urgencia (SAPU)</t>
  </si>
  <si>
    <t>Servicio de Urgencia Rural (SUR)</t>
  </si>
  <si>
    <t>Servicio de Atención Primaria de Urgencia Dental (SAPUDENT)</t>
  </si>
  <si>
    <t>Hospital de Campaña</t>
  </si>
  <si>
    <t>Centro Oncologico</t>
  </si>
  <si>
    <t>SAMU</t>
  </si>
  <si>
    <t>7 a 12 meses</t>
  </si>
  <si>
    <t xml:space="preserve">SECCION B: GESTANTES EN CONTROL CON EVALUACIÓN RIESGO BIOPSICOSOCIAL </t>
  </si>
  <si>
    <t>HIPERTENSIÓN ARTERIAL</t>
  </si>
  <si>
    <t>DISLIPIDEMIA</t>
  </si>
  <si>
    <t>CON VELOCIDAD DE FILTRACIÓN GLOMERULAR ESTIMADA (VFG), VIGENTE</t>
  </si>
  <si>
    <t>CON VELOCIDAD DE FILTRACIÓN GLOMERULAR ESTIMADA (VFGe) Y CON RAZON ALBÚMINA CREATININA (RAC) VIGENTE</t>
  </si>
  <si>
    <t>FUMADOR ACTUAL</t>
  </si>
  <si>
    <t>Con ayuda técnica de descarga</t>
  </si>
  <si>
    <t>CON VELOCIDAD DE FILTRACIÓN GLOMERULAR ESTIMADA (VFGe) Y CON RAZON ALBÚMINA CREATININA  (RAC) VIGENTE</t>
  </si>
  <si>
    <t>Fumador actual</t>
  </si>
  <si>
    <t>NOTA (*): La vigencia de la evaluación del pie diabético es de 12 meses.</t>
  </si>
  <si>
    <t>OBESIDAD: IMC igual o Mayor a 32KG/M2 &gt;65</t>
  </si>
  <si>
    <t>CON DIAGNÓSTICO ASOCIADO DE HIPERTENSIÓN ARTERIAL</t>
  </si>
  <si>
    <t>CON DIAGNÓSTICO DE ENFERMEDAD RENAL CRÓNICA</t>
  </si>
  <si>
    <t>DETECCIÓN Y PREVENCION DE LA PROGRESION DE LA ENFERMEDAD RENAL CRÓNICA (ERC)</t>
  </si>
  <si>
    <t>OBESIDAD: IMC igual o Mayor a 30KG/M2 &lt;65</t>
  </si>
  <si>
    <t xml:space="preserve">ANTECEDENTES DE ENFERMEDAD CEREBRO VASCULAR </t>
  </si>
  <si>
    <t xml:space="preserve">ETAPA G1 </t>
  </si>
  <si>
    <t xml:space="preserve">ETAPA G2 </t>
  </si>
  <si>
    <t>ETAPA G3a</t>
  </si>
  <si>
    <t xml:space="preserve">ETAPA G3b </t>
  </si>
  <si>
    <t xml:space="preserve">ETAPA G4  </t>
  </si>
  <si>
    <t>ETAPA G5</t>
  </si>
  <si>
    <t>DIABETES MELLITUS TIPO 2</t>
  </si>
  <si>
    <t>CON VELOCIDAD DE FILTRACION GLOMERULAR  ESTIMADA  (VFGe) VIGENTE</t>
  </si>
  <si>
    <t>6 a 6 años 11 meses</t>
  </si>
  <si>
    <t>7 a 7 años 11 meses</t>
  </si>
  <si>
    <t>8 a 8 años 11 meses</t>
  </si>
  <si>
    <t>9 a 9 años 11 meses</t>
  </si>
  <si>
    <t>NORMAL CON REZAGO</t>
  </si>
  <si>
    <t>Migrantes</t>
  </si>
  <si>
    <t>Niños, Niñas, Adolescentes y Jóvenes Mejor Niñez</t>
  </si>
  <si>
    <t>Cuidadoras/es sin examen preventivo, ingresado a programa de salud</t>
  </si>
  <si>
    <t>Cuidadoras/es en espera de apoyo monetario</t>
  </si>
  <si>
    <t>Total Cuidadoras/es con evaluacion anual de nivel de sobrecarga</t>
  </si>
  <si>
    <t>Total Cuidadoras/es mayores de 65 años</t>
  </si>
  <si>
    <t>PROTOCOLO HEARTS</t>
  </si>
  <si>
    <t>CURACIÓN AVANZADA EN ULCERA VENOSA</t>
  </si>
  <si>
    <t>100 y mas años</t>
  </si>
  <si>
    <t>80 a 84 años</t>
  </si>
  <si>
    <t>85 a 89 años</t>
  </si>
  <si>
    <t>90 a 94 años</t>
  </si>
  <si>
    <t>95 a 99 años</t>
  </si>
  <si>
    <t xml:space="preserve">TRASTORNO DE PÁNICO  </t>
  </si>
  <si>
    <t>TRASTORNO ADAPTATIVO</t>
  </si>
  <si>
    <t>NOMBRE ESTABLECIMIENTO/ESTRATEGIA</t>
  </si>
  <si>
    <t>BAJA COMPLEJIDAD</t>
  </si>
  <si>
    <t>MEDIANA COMPLEJIDAD</t>
  </si>
  <si>
    <t>ALTA COMPLEJIDAD</t>
  </si>
  <si>
    <t xml:space="preserve">CONSUMO PERJUDICIAL DE ALCOHOL </t>
  </si>
  <si>
    <t xml:space="preserve">CONSUMO DEPENDIENTE DEL ALCOHOL </t>
  </si>
  <si>
    <t>CONSUMO PERJUDICIAL DE DROGAS</t>
  </si>
  <si>
    <t xml:space="preserve">CONSUMO DEPENDIENTE DE DROGAS </t>
  </si>
  <si>
    <t xml:space="preserve">CONSUMO DE DROGAS Y ALCOHOL </t>
  </si>
  <si>
    <t>RIESGO SSR</t>
  </si>
  <si>
    <t>RIESGO SOCIAL</t>
  </si>
  <si>
    <t>MALNUTRICION POR DEFICIT</t>
  </si>
  <si>
    <t>MALNUTRICION POR EXCESO</t>
  </si>
  <si>
    <t>OTRO</t>
  </si>
  <si>
    <t>Total Cuidadoras/es capacitadas/os</t>
  </si>
  <si>
    <t>Niños, Niñas, Adolescentes y Jóvenes SENAME</t>
  </si>
  <si>
    <t>SECCIÓN B. PROGRAMA DE CANCER DE CUELLO UTERINO: PAP REALIZADOS E INFORMADOS SEGÚN RESULTADOS Y GRUPOS DE EDAD
(Examen realizados en la red pública)</t>
  </si>
  <si>
    <t>SECCIÓN B.1 PROGRAMA DE CANCER DE CUELLO UTERINO: PAP REALIZADOS E INFORMADOS SEGÚN RESULTADOS Y GRUPOS DE EDAD
(Examen realizados en extrasistema)</t>
  </si>
  <si>
    <t>SENAME</t>
  </si>
  <si>
    <t>Servicio de Protección Especializada</t>
  </si>
  <si>
    <t>REM-P13. NIÑOS, NIÑAS, ADOLESCENTES Y JÓVENES CON VULNERACIÓN DE DERECHOS Y/O INFRACCIÓN A LA LEY BAJO LA PROTECCIÓN DEL ESTADO EN ATENCIÓN</t>
  </si>
  <si>
    <t>SECCIÓN A: NIÑOS, NIÑAS, ADOLESCENTES Y JÓVENES CON VULNERACIÓN DE DERECHOS Y/O INFRACIÓN A LA LEY EN CONTROL DE SALUD EN APS AL CORTE</t>
  </si>
  <si>
    <t>NIVELES DE COMPLEJIDAD</t>
  </si>
  <si>
    <t>Mujeres que asisten a Talleres Educativos</t>
  </si>
  <si>
    <t>Terapia Dual</t>
  </si>
  <si>
    <t>SECCION H: POBLACIÓN SEGÚN DIAGNÓSTICO DE NIÑOS, NIÑAS Y ADOLESCENTES CON NECESIDADES ESPECIALES DE ATENCIÓN EN SALUD (NANEAS) (Incluida en sección A y A1)</t>
  </si>
  <si>
    <t>SECCION I: POBLACIÓN SEGÚN NIVEL DE COMPLEJIDAD DE NIÑOS, NIÑAS Y ADOLESCENTES CON NECESIDADES ESPECIALES DE ATENCIÓN EN SALUD (NANEAS) (Incluida en sección A y A1)</t>
  </si>
  <si>
    <t>CON DEMENCIA</t>
  </si>
  <si>
    <t>RETINOPATÍA DIABETICA</t>
  </si>
  <si>
    <t>Personas Mayores en ELEAM</t>
  </si>
  <si>
    <t>SECCIÓN B: VARIABLES DE SEGUIMIENTO A POBLACIÓN DEL SERVICIO DE PROTECCIÓN ESPECIALIZADA MEJOR NIÑEZ Y SENAME EN CONTROL DE SALUD EN APS AL CORTE</t>
  </si>
  <si>
    <t>INDICADOR ODONTOLÓGICO
Y
PARÁMETROS DE MEDICIÓN</t>
  </si>
  <si>
    <t>GRUPOS DE EDAD  Y SEXO</t>
  </si>
  <si>
    <t>Usuarios con Discapacidad</t>
  </si>
  <si>
    <t>Niños y Niñas Red Mejor Niñez</t>
  </si>
  <si>
    <t>Niños y Niñas Red SENAME</t>
  </si>
  <si>
    <t>&lt; 1 AÑO</t>
  </si>
  <si>
    <t>1 AÑO</t>
  </si>
  <si>
    <t>2 AÑOS</t>
  </si>
  <si>
    <t>3 AÑOS</t>
  </si>
  <si>
    <t>4 AÑOS</t>
  </si>
  <si>
    <t>5 AÑOS</t>
  </si>
  <si>
    <t>6 AÑOS</t>
  </si>
  <si>
    <t>7 AÑOS</t>
  </si>
  <si>
    <t>8 AÑOS</t>
  </si>
  <si>
    <t xml:space="preserve">9 AÑOS </t>
  </si>
  <si>
    <t>TOTAL DE NIÑOS(AS) EN CONTROL CON ENFOQUE DE RIESGO ODONTOLÓGICO</t>
  </si>
  <si>
    <t>EVALUACIÓN DE RIESGO SEGÚN PAUTA CERO</t>
  </si>
  <si>
    <t xml:space="preserve">ALTO RIESGO </t>
  </si>
  <si>
    <t xml:space="preserve">BAJO RIESGO </t>
  </si>
  <si>
    <t>EVALUACIÓN DE DAÑO POR CARIES SEGÚN ÍNDICE ceod O COPD</t>
  </si>
  <si>
    <t>1 a 2</t>
  </si>
  <si>
    <t>3 a 4</t>
  </si>
  <si>
    <t>5 a 6</t>
  </si>
  <si>
    <t>7 a 8</t>
  </si>
  <si>
    <t>9 o más</t>
  </si>
  <si>
    <t>INASISTENTES A CONTROL ODONTOLÓGICO</t>
  </si>
  <si>
    <t>SECCION J: POBLACIÓN EN CONTROL, SEGÚN RIESGO ODONTOLÓGICO Y DAÑO POR CARIES</t>
  </si>
  <si>
    <t>Síndrome de Down </t>
  </si>
  <si>
    <t>Prematuros</t>
  </si>
  <si>
    <t xml:space="preserve">Hipotiroidismo </t>
  </si>
  <si>
    <t>Diabetes tipo I </t>
  </si>
  <si>
    <t>Diabetes tipo II </t>
  </si>
  <si>
    <t xml:space="preserve">Otras Enfermedades endocrinológicas (no incluye Hipotiroidismo, ni Diabetes) </t>
  </si>
  <si>
    <t>Errores Innatos del Metabolismo</t>
  </si>
  <si>
    <t xml:space="preserve">Otros Trastornos del metabolismo </t>
  </si>
  <si>
    <t xml:space="preserve">Trastornos genéticos  </t>
  </si>
  <si>
    <t>Alergias alimentarias</t>
  </si>
  <si>
    <t xml:space="preserve">Enfermedades del sistema inmunitario (no incluye asma, ni alergias alimentarias) </t>
  </si>
  <si>
    <t xml:space="preserve">Fibrosis Quística </t>
  </si>
  <si>
    <t>Asma</t>
  </si>
  <si>
    <t xml:space="preserve">Otras Enfermedades respiratorias crónicas (no incluye Asma, ni Fibrosis Quística) </t>
  </si>
  <si>
    <t>Oxigenoterapia Ambulatoria </t>
  </si>
  <si>
    <t>Asistencia ventilatoria Invasiva y No invasiva </t>
  </si>
  <si>
    <t xml:space="preserve">Enfermedad renal crónica </t>
  </si>
  <si>
    <t>Hipertensión Arterial (En vez de Presión Arterial Elevada) </t>
  </si>
  <si>
    <t>Cardiopatía congénita</t>
  </si>
  <si>
    <t>Otras Enfermedades cardiovasculares crónicas (no incluye Hipertensión Arterial ni Cardiopatías Congénitas)</t>
  </si>
  <si>
    <t xml:space="preserve">Enfermedad celiaca </t>
  </si>
  <si>
    <t xml:space="preserve">Estrabismo </t>
  </si>
  <si>
    <t>Errores de refracción</t>
  </si>
  <si>
    <t>Enfermedades crónicas del oído </t>
  </si>
  <si>
    <t>Enfermedades crónicas de piel y mucosas </t>
  </si>
  <si>
    <t xml:space="preserve">Enfermedades hematológicas crónicas </t>
  </si>
  <si>
    <t>Trastorno del Espectro Autista </t>
  </si>
  <si>
    <t xml:space="preserve">Síndrome de Rett </t>
  </si>
  <si>
    <t xml:space="preserve">Parálisis Cerebral </t>
  </si>
  <si>
    <t xml:space="preserve">Epilepsia </t>
  </si>
  <si>
    <r>
      <t xml:space="preserve">Otros trastornos del </t>
    </r>
    <r>
      <rPr>
        <b/>
        <sz val="11"/>
        <rFont val="Calibri"/>
        <family val="2"/>
      </rPr>
      <t>Neurodesarrollo  </t>
    </r>
    <r>
      <rPr>
        <sz val="11"/>
        <rFont val="Calibri"/>
        <family val="2"/>
      </rPr>
      <t>( no incluye TEA)</t>
    </r>
  </si>
  <si>
    <t>Disrafias espinales</t>
  </si>
  <si>
    <t>Malformaciones congénitas y deformidades</t>
  </si>
  <si>
    <t>Escoliosis</t>
  </si>
  <si>
    <t>Displasia luxante de caderas</t>
  </si>
  <si>
    <t xml:space="preserve">Enfermedades musculoesqueléticas crónicas </t>
  </si>
  <si>
    <t xml:space="preserve">Neoplasias  </t>
  </si>
  <si>
    <t>Cuidados paliativos</t>
  </si>
  <si>
    <t xml:space="preserve">Hospitalización Domiciliaria  </t>
  </si>
  <si>
    <t>Gran Quemado</t>
  </si>
  <si>
    <t xml:space="preserve">Otras condiciones asociadas a NANEAS </t>
  </si>
  <si>
    <t>Enfermedades crónicas del sistema visual (no incluye estrabismo ni errores de refracción)</t>
  </si>
  <si>
    <t xml:space="preserve">Otros trastornos del Neurodesarrollo (no incluye TEA) </t>
  </si>
  <si>
    <t>Otras Enfermedades crónicas neurológicas (No incluye síndrome de Rett, Paráisis Cerebral, Epilepsia, TEA)</t>
  </si>
  <si>
    <t>Disrrafias espinales</t>
  </si>
  <si>
    <t xml:space="preserve">Versión 1.1: Junio 2023 </t>
  </si>
  <si>
    <t>Anillo Vaginal</t>
  </si>
  <si>
    <t>En APS</t>
  </si>
  <si>
    <t xml:space="preserve">En Extrasistema </t>
  </si>
  <si>
    <t>Mujeres con aplicación de terapia hormonal de la menopausia según MRS*</t>
  </si>
  <si>
    <t>&lt;11 semanas</t>
  </si>
  <si>
    <t>11- 13+6 semanas</t>
  </si>
  <si>
    <t xml:space="preserve"> Migrantes</t>
  </si>
  <si>
    <t>NIÑOS SIN EVALUACIÓN NUTRICIONAL POR CURSO DE VIDA (RECIÉN NACIDOS) O POR CONDICIÓN ESPECIAL DE SALUD</t>
  </si>
  <si>
    <t>25 - 35 meses</t>
  </si>
  <si>
    <t>36 - 59 meses</t>
  </si>
  <si>
    <t>0 - 11 meses</t>
  </si>
  <si>
    <t>12 - 24 meses</t>
  </si>
  <si>
    <t>60 meses - 9 años</t>
  </si>
  <si>
    <t>INSTITUCIONALIZADA</t>
  </si>
  <si>
    <t>Retardo Crecimiento Intrauterino (RCIU)</t>
  </si>
  <si>
    <t>DIAGNOSTICOS</t>
  </si>
  <si>
    <t xml:space="preserve">Hipertensión Arterial </t>
  </si>
  <si>
    <t>Enfermedades gastrointestinales crónicas (no incluye enfermedad celiaca)</t>
  </si>
  <si>
    <t>TOTAL POBLACIÓN NANEAS BAJO CONTROL</t>
  </si>
  <si>
    <t>CON HIPOGLICEMIAS RECURRENTES</t>
  </si>
  <si>
    <t>TRASTORNO DE PÁNICO</t>
  </si>
  <si>
    <t xml:space="preserve">TRANS </t>
  </si>
  <si>
    <t xml:space="preserve">Femenino </t>
  </si>
  <si>
    <t>VIOLENCIA</t>
  </si>
  <si>
    <t>RIESGO DESERCIÓN ESCOLAR</t>
  </si>
  <si>
    <t>RIESGO PSICOEMOCIONAL</t>
  </si>
  <si>
    <t>RIESGO OH/DROGAS</t>
  </si>
  <si>
    <t>ADOLESCENTE QUE PRESENTA VIOLENCIA DE PAREJA/POLOLO</t>
  </si>
  <si>
    <t>ADOLESCENTE QUE PRESENTA O HA SIDO VICTIMA DE VIOLENCIA SEXUAL</t>
  </si>
  <si>
    <t>REM-P12. PERSONAS CON TAMIZAJE PARA LA DETECCIÓN PRECOZ DE CÁNCER DE CUELLO UTERINO – 
MAMOGRAFIA - EXAMEN FISICO DE MAMA VIGENTES Y PRODUCCION DE PAP Y VPH (SEMESTRAL)</t>
  </si>
  <si>
    <t>Mujeres
con Tamizaje Vigente 
para la Detección Precoz de Cáncer de Cuello Uterino</t>
  </si>
  <si>
    <t>Trans Masculino
con Tamizaje Vigente 
para la Detección Precoz de Cáncer de Cuello Uterino</t>
  </si>
  <si>
    <t>TOTAL PERSONAS CON LESIÓN POR PRESIÓN*</t>
  </si>
  <si>
    <t>SECCION C: GESTANTES EN RIESGO PSICOSOCIAL CON VISITA DOMICILIARIA INTEGRAL REALIZADA EN EL SEMESTRE</t>
  </si>
  <si>
    <t>TOTAL GESTANTES BAJO CONTROL</t>
  </si>
  <si>
    <t>SECCIÓN J: POBLACIÓN EN CONTROL POR PATOLOGÍAS DE ALTO RIESGO OBSTÉTRICO</t>
  </si>
  <si>
    <t>Método de Regulación de Fertilidad más Preservativo</t>
  </si>
  <si>
    <t>MIGRANTES</t>
  </si>
  <si>
    <t>Segundo trimestre 22-24 semanas</t>
  </si>
  <si>
    <t>Tercer trimestre 30-34 semanas</t>
  </si>
  <si>
    <t>CON ERC ETAPA 3B O SUPERIOR Y EN TRATAMIENTO CON IECA O ARA II</t>
  </si>
  <si>
    <t>CON UN EXÁMEN DE COLESTEROL LDL VIGENTE</t>
  </si>
  <si>
    <t>ESQUIZOFRENIA</t>
  </si>
  <si>
    <t xml:space="preserve"> Pueblos Originarios</t>
  </si>
  <si>
    <t>Centros de Diagnóstico Terapeutico (CDT)</t>
  </si>
  <si>
    <t>ClÍnica Dental Móvil (CDM)</t>
  </si>
  <si>
    <t>Servicio de Atención Primaria de Urgencia de Alta Resolutividad (SAR)</t>
  </si>
  <si>
    <t>Laboratorio Clínico o Dental</t>
  </si>
  <si>
    <t>Centro de Rehabilitación (CR)</t>
  </si>
  <si>
    <t>Organizaciones sin fines de lucro y ONG (Delegado)</t>
  </si>
  <si>
    <t>SECCION A: POBLACIÓN EN CONTROL, SEGÚN ESTADO NUTRICIONAL PARA NIÑOS MENOR DE UN MES- 59 MESES</t>
  </si>
  <si>
    <t>SECCION A.1: POBLACIÓN EN CONTROL, SEGÚN ESTADO NUTRICIONAL PARA NIÑOS AS DE 60 MESES - 9 AÑOS 11 MESES</t>
  </si>
  <si>
    <t>AMBULATORIO / SANCIÓN MEDIO LIBRE</t>
  </si>
  <si>
    <t>SECCION A: PROGRAMA DE CANCER DE CUELLO UTERINO: POBLACIÓN CON TAMIZAJE VIGENTE 
PARA LA DETECCIÓN PRECOZ DEL CÁNCER DE CUELLO UTERINO</t>
  </si>
  <si>
    <t xml:space="preserve">SECCION C: PROGRAMA DE CANCER DE MAMA: MUJERES CON MAMOGRAFÍA VIGENTE EN LOS ULTIMOS 2 AÑOS. </t>
  </si>
  <si>
    <t>Mujeres con mamografia vigente  (Menor o igual a 2 años)</t>
  </si>
  <si>
    <t>RIESGO SUICIDA</t>
  </si>
  <si>
    <r>
      <t xml:space="preserve">Enfermedades crónicas gastrointestinales </t>
    </r>
    <r>
      <rPr>
        <sz val="11"/>
        <rFont val="Calibri"/>
        <family val="2"/>
      </rPr>
      <t>(no incluye enfermedad celiaca)</t>
    </r>
  </si>
  <si>
    <r>
      <t xml:space="preserve">Enfermedades crónicas del sistema visual </t>
    </r>
    <r>
      <rPr>
        <sz val="11"/>
        <rFont val="Calibri"/>
        <family val="2"/>
      </rPr>
      <t>(no incluye Estabismo ni Errores de Refracción)</t>
    </r>
  </si>
  <si>
    <r>
      <t xml:space="preserve">Otras Enfermedades crónicas neurológicas </t>
    </r>
    <r>
      <rPr>
        <sz val="11"/>
        <rFont val="Calibri"/>
        <family val="2"/>
      </rPr>
      <t>(No incluye síndrome de Rett, Parálisis Cerebral, Epiepsia, TEA)</t>
    </r>
  </si>
  <si>
    <t xml:space="preserve"> SÓLO PRESERVATIVO  MAC                                                                                                                                                                                                                               </t>
  </si>
  <si>
    <t>SECCION I: GESTANTES EN CONTROL CON TEST DE VIH/SIFILIS TOMADO (EN EL SEMESTRE, RED PÚBLICA O EXTRASISTEMA)</t>
  </si>
  <si>
    <t>GESTANTES EN CONTROL CON RESULTADO 1° TAMIZAJE SIFILIS</t>
  </si>
  <si>
    <t>GESTANTES EN CONTROL CON RESULTADO 2° VIH</t>
  </si>
  <si>
    <t>Gestantes con Tamizajes resultado pendiente</t>
  </si>
  <si>
    <t>GESTANTES EN CONTROL CON RESULTADO 1° VIH</t>
  </si>
  <si>
    <t xml:space="preserve">GESTANTES EN CONTROL CON RESULTADO TAMIZAJE SIFILIS 3° TRIMESTRE GESTACION </t>
  </si>
  <si>
    <t>SECCIÓN F.1: PROGRAMA DE CANCER DE CUELLO UTERINO: RESULTADOS DE  VPH, REALIZADOS EN EL EXTRASISTEMA SEGÚN  GRUPOS DE EDAD
(Exámenes realizados en extrasistema)</t>
  </si>
  <si>
    <t>Sífilis</t>
  </si>
  <si>
    <t>70 y más años</t>
  </si>
  <si>
    <t>GRUPOS DE EDAD (en meses) Y SEXO</t>
  </si>
  <si>
    <t>Jefe/a de Estadísticas</t>
  </si>
  <si>
    <t>Director/a Servicio de Salud o Director/a Establecimiento</t>
  </si>
  <si>
    <t>DEFICIT PONDERADO BAJO PESO</t>
  </si>
  <si>
    <t>PERSONAS EN ACTIVIDAD FÍSICA SALUD CARDIOVASCULAR</t>
  </si>
  <si>
    <t>Niños y niñas Mejor Niñez</t>
  </si>
  <si>
    <t>Trans</t>
  </si>
  <si>
    <t>Poblacion Trans</t>
  </si>
  <si>
    <t>Población Mejor Niñez</t>
  </si>
  <si>
    <t>Poblacion Mejor Niñez</t>
  </si>
  <si>
    <t>CON ÚLCERAS ACTIVAS DE PIE DIABÉTICO TRATADAS CON CURACIÓN</t>
  </si>
  <si>
    <t>4 y más Visitas</t>
  </si>
  <si>
    <t>TOTAL GESTANTES EN CONTROL &gt;34 SEM</t>
  </si>
  <si>
    <t xml:space="preserve"> Mujeres en control con enfermedad cardiovascular (DM-HTA)</t>
  </si>
  <si>
    <t>SERIE P</t>
  </si>
  <si>
    <t>Mejora en relación a año anterior</t>
  </si>
  <si>
    <t>SECCION E: POBLACIÓN ADOLESCENTE QUE RECIBE CONSEJERÍA</t>
  </si>
  <si>
    <t>SECCION D: POBLACIÓN EN CONTROL SALUD INTEGRAL DE ADOLESCENTES, SEGÚN AMBITOS GINECO-UROLOGICO/SEXUALIDAD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</si>
</sst>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[$€-2]* #,##0.00_-;\-[$€-2]* #,##0.00_-;_-[$€-2]* &quot;-&quot;??_-"/>
    <numFmt numFmtId="168" formatCode="&quot;$&quot;\ #,##0"/>
  </numFmts>
  <fonts count="4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color indexed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12"/>
      <name val="Verdana"/>
      <family val="2"/>
    </font>
    <font>
      <sz val="8"/>
      <name val="Arial"/>
      <family val="2"/>
    </font>
    <font>
      <sz val="14"/>
      <name val="Verdana"/>
      <family val="2"/>
    </font>
    <font>
      <sz val="8"/>
      <name val="Trebuchet MS"/>
      <family val="2"/>
    </font>
    <font>
      <sz val="12"/>
      <name val="Verdana"/>
      <family val="2"/>
    </font>
    <font>
      <sz val="11"/>
      <color indexed="8"/>
      <name val="Calibri"/>
      <family val="2"/>
    </font>
    <font>
      <b/>
      <sz val="14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60"/>
      <name val="Verdana"/>
      <family val="2"/>
    </font>
    <font>
      <b/>
      <sz val="18"/>
      <name val="Verdana"/>
      <family val="2"/>
    </font>
    <font>
      <b/>
      <sz val="10"/>
      <color indexed="10"/>
      <name val="Verdana"/>
      <family val="2"/>
    </font>
    <font>
      <sz val="8"/>
      <name val="Calibri"/>
      <family val="2"/>
    </font>
    <font>
      <u/>
      <sz val="8"/>
      <name val="Verdana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8"/>
      <color theme="6" tint="-0.249977111117893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8"/>
      <color rgb="FF00B050"/>
      <name val="Verdan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Verdana"/>
      <family val="2"/>
    </font>
    <font>
      <sz val="11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B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FF"/>
        <bgColor indexed="64"/>
      </patternFill>
    </fill>
  </fills>
  <borders count="2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rgb="FFFFFFFF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17" fillId="0" borderId="1" applyNumberFormat="0" applyBorder="0">
      <protection hidden="1"/>
    </xf>
    <xf numFmtId="0" fontId="17" fillId="0" borderId="1" applyNumberFormat="0" applyBorder="0">
      <protection hidden="1"/>
    </xf>
    <xf numFmtId="0" fontId="17" fillId="0" borderId="1" applyNumberFormat="0" applyBorder="0" applyAlignment="0">
      <protection hidden="1"/>
    </xf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" fillId="0" borderId="0" applyFon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 applyFon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3" applyNumberFormat="0" applyFont="0" applyAlignment="0" applyProtection="0"/>
    <xf numFmtId="0" fontId="8" fillId="5" borderId="3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3" borderId="190" applyNumberFormat="0">
      <protection locked="0"/>
    </xf>
    <xf numFmtId="0" fontId="8" fillId="13" borderId="190" applyNumberFormat="0">
      <protection locked="0"/>
    </xf>
    <xf numFmtId="0" fontId="8" fillId="13" borderId="207" applyBorder="0">
      <protection locked="0"/>
    </xf>
    <xf numFmtId="0" fontId="8" fillId="13" borderId="225" applyNumberFormat="0">
      <protection locked="0"/>
    </xf>
    <xf numFmtId="0" fontId="8" fillId="13" borderId="225" applyNumberFormat="0">
      <protection locked="0"/>
    </xf>
    <xf numFmtId="0" fontId="8" fillId="13" borderId="225" applyNumberFormat="0">
      <protection locked="0"/>
    </xf>
    <xf numFmtId="0" fontId="8" fillId="13" borderId="207" applyBorder="0">
      <protection locked="0"/>
    </xf>
    <xf numFmtId="0" fontId="8" fillId="13" borderId="207" applyBorder="0">
      <protection locked="0"/>
    </xf>
    <xf numFmtId="0" fontId="8" fillId="13" borderId="225" applyNumberFormat="0">
      <protection locked="0"/>
    </xf>
    <xf numFmtId="0" fontId="8" fillId="13" borderId="225" applyNumberFormat="0">
      <protection locked="0"/>
    </xf>
    <xf numFmtId="0" fontId="8" fillId="13" borderId="225" applyNumberFormat="0">
      <protection locked="0"/>
    </xf>
    <xf numFmtId="0" fontId="8" fillId="13" borderId="207" applyBorder="0">
      <protection locked="0"/>
    </xf>
    <xf numFmtId="0" fontId="8" fillId="13" borderId="225" applyNumberFormat="0">
      <protection locked="0"/>
    </xf>
    <xf numFmtId="0" fontId="17" fillId="0" borderId="207" applyNumberFormat="0" applyBorder="0">
      <protection hidden="1"/>
    </xf>
    <xf numFmtId="0" fontId="17" fillId="0" borderId="207" applyNumberFormat="0" applyBorder="0">
      <protection hidden="1"/>
    </xf>
    <xf numFmtId="0" fontId="17" fillId="0" borderId="207" applyNumberFormat="0" applyBorder="0" applyAlignment="0">
      <protection hidden="1"/>
    </xf>
    <xf numFmtId="0" fontId="8" fillId="5" borderId="226" applyNumberFormat="0" applyFont="0" applyAlignment="0" applyProtection="0"/>
    <xf numFmtId="0" fontId="8" fillId="5" borderId="226" applyNumberFormat="0" applyFont="0" applyAlignment="0" applyProtection="0"/>
    <xf numFmtId="0" fontId="8" fillId="13" borderId="227" applyNumberFormat="0">
      <protection locked="0"/>
    </xf>
    <xf numFmtId="0" fontId="8" fillId="13" borderId="227" applyNumberFormat="0">
      <protection locked="0"/>
    </xf>
  </cellStyleXfs>
  <cellXfs count="2435">
    <xf numFmtId="0" fontId="0" fillId="0" borderId="0" xfId="0"/>
    <xf numFmtId="0" fontId="5" fillId="0" borderId="0" xfId="124" applyFont="1" applyAlignment="1" applyProtection="1"/>
    <xf numFmtId="0" fontId="6" fillId="0" borderId="0" xfId="124" applyFont="1" applyAlignment="1" applyProtection="1"/>
    <xf numFmtId="0" fontId="3" fillId="14" borderId="5" xfId="124" applyFont="1" applyFill="1" applyBorder="1" applyAlignment="1" applyProtection="1">
      <alignment horizontal="center"/>
      <protection locked="0"/>
    </xf>
    <xf numFmtId="0" fontId="9" fillId="0" borderId="0" xfId="124" applyFont="1" applyBorder="1" applyAlignment="1" applyProtection="1">
      <alignment horizontal="left" vertical="center"/>
    </xf>
    <xf numFmtId="0" fontId="9" fillId="0" borderId="0" xfId="124" applyFont="1" applyAlignment="1" applyProtection="1">
      <alignment horizontal="left" vertical="center"/>
    </xf>
    <xf numFmtId="0" fontId="7" fillId="0" borderId="0" xfId="124" applyFont="1" applyBorder="1" applyAlignment="1" applyProtection="1">
      <alignment horizontal="center" vertical="center"/>
    </xf>
    <xf numFmtId="0" fontId="6" fillId="15" borderId="0" xfId="14" applyNumberFormat="1" applyFont="1" applyFill="1" applyBorder="1">
      <protection locked="0"/>
    </xf>
    <xf numFmtId="0" fontId="3" fillId="14" borderId="7" xfId="124" applyFont="1" applyFill="1" applyBorder="1" applyAlignment="1" applyProtection="1">
      <alignment horizontal="center"/>
      <protection locked="0"/>
    </xf>
    <xf numFmtId="0" fontId="3" fillId="0" borderId="9" xfId="124" applyFont="1" applyBorder="1" applyAlignment="1" applyProtection="1">
      <alignment horizontal="center"/>
    </xf>
    <xf numFmtId="0" fontId="3" fillId="0" borderId="0" xfId="124" applyFont="1" applyBorder="1" applyAlignment="1" applyProtection="1">
      <alignment horizontal="center"/>
    </xf>
    <xf numFmtId="0" fontId="10" fillId="0" borderId="0" xfId="124" applyFont="1" applyBorder="1" applyAlignment="1" applyProtection="1">
      <alignment horizontal="left" vertical="center"/>
    </xf>
    <xf numFmtId="0" fontId="10" fillId="0" borderId="0" xfId="124" applyFont="1" applyAlignment="1" applyProtection="1">
      <alignment horizontal="center" vertical="center"/>
    </xf>
    <xf numFmtId="0" fontId="7" fillId="0" borderId="0" xfId="124" applyFont="1" applyBorder="1" applyAlignment="1" applyProtection="1">
      <alignment horizontal="left" vertical="center"/>
    </xf>
    <xf numFmtId="0" fontId="3" fillId="14" borderId="10" xfId="124" applyFont="1" applyFill="1" applyBorder="1" applyAlignment="1" applyProtection="1">
      <alignment horizontal="center"/>
      <protection locked="0"/>
    </xf>
    <xf numFmtId="0" fontId="3" fillId="0" borderId="0" xfId="124" applyFont="1" applyAlignment="1" applyProtection="1">
      <alignment horizontal="center"/>
    </xf>
    <xf numFmtId="0" fontId="10" fillId="0" borderId="0" xfId="124" applyFont="1" applyAlignment="1" applyProtection="1">
      <alignment horizontal="left" vertical="center"/>
    </xf>
    <xf numFmtId="0" fontId="10" fillId="15" borderId="0" xfId="14" applyNumberFormat="1" applyFont="1" applyFill="1" applyBorder="1">
      <protection locked="0"/>
    </xf>
    <xf numFmtId="0" fontId="12" fillId="0" borderId="0" xfId="124" applyFont="1" applyAlignment="1" applyProtection="1">
      <alignment horizontal="left"/>
    </xf>
    <xf numFmtId="0" fontId="12" fillId="0" borderId="0" xfId="124" applyFont="1" applyAlignment="1" applyProtection="1"/>
    <xf numFmtId="0" fontId="7" fillId="0" borderId="1" xfId="0" applyFont="1" applyBorder="1" applyAlignment="1">
      <alignment wrapText="1"/>
    </xf>
    <xf numFmtId="0" fontId="12" fillId="15" borderId="1" xfId="14" applyNumberFormat="1" applyFont="1" applyFill="1" applyBorder="1" applyAlignment="1">
      <alignment horizontal="center"/>
      <protection locked="0"/>
    </xf>
    <xf numFmtId="1" fontId="6" fillId="0" borderId="0" xfId="124" applyNumberFormat="1" applyFont="1" applyAlignment="1" applyProtection="1">
      <alignment horizontal="right"/>
    </xf>
    <xf numFmtId="49" fontId="6" fillId="0" borderId="0" xfId="124" applyNumberFormat="1" applyFont="1" applyAlignment="1" applyProtection="1">
      <alignment horizontal="center"/>
    </xf>
    <xf numFmtId="0" fontId="6" fillId="14" borderId="0" xfId="124" applyFont="1" applyFill="1" applyAlignment="1" applyProtection="1"/>
    <xf numFmtId="0" fontId="7" fillId="0" borderId="11" xfId="0" applyFont="1" applyBorder="1"/>
    <xf numFmtId="0" fontId="8" fillId="0" borderId="0" xfId="0" applyFont="1"/>
    <xf numFmtId="0" fontId="8" fillId="0" borderId="4" xfId="0" applyFont="1" applyBorder="1"/>
    <xf numFmtId="0" fontId="6" fillId="0" borderId="0" xfId="124" applyFont="1" applyAlignment="1" applyProtection="1">
      <alignment horizontal="left"/>
    </xf>
    <xf numFmtId="0" fontId="5" fillId="0" borderId="0" xfId="124" applyFont="1" applyAlignment="1" applyProtection="1">
      <alignment horizontal="center"/>
    </xf>
    <xf numFmtId="0" fontId="6" fillId="0" borderId="0" xfId="124" applyFont="1" applyAlignment="1" applyProtection="1">
      <alignment horizontal="center"/>
    </xf>
    <xf numFmtId="0" fontId="6" fillId="14" borderId="0" xfId="0" applyFont="1" applyFill="1"/>
    <xf numFmtId="0" fontId="20" fillId="0" borderId="12" xfId="0" applyFont="1" applyBorder="1" applyAlignment="1" applyProtection="1">
      <alignment vertical="center"/>
      <protection hidden="1"/>
    </xf>
    <xf numFmtId="0" fontId="8" fillId="0" borderId="13" xfId="0" applyFont="1" applyBorder="1" applyProtection="1">
      <protection hidden="1"/>
    </xf>
    <xf numFmtId="0" fontId="8" fillId="0" borderId="14" xfId="0" applyFont="1" applyBorder="1" applyProtection="1">
      <protection hidden="1"/>
    </xf>
    <xf numFmtId="0" fontId="16" fillId="0" borderId="15" xfId="0" applyFont="1" applyBorder="1" applyProtection="1">
      <protection hidden="1"/>
    </xf>
    <xf numFmtId="0" fontId="8" fillId="0" borderId="0" xfId="0" applyFont="1" applyProtection="1">
      <protection hidden="1"/>
    </xf>
    <xf numFmtId="0" fontId="8" fillId="0" borderId="16" xfId="0" applyFont="1" applyBorder="1" applyProtection="1">
      <protection hidden="1"/>
    </xf>
    <xf numFmtId="0" fontId="16" fillId="0" borderId="17" xfId="0" applyFont="1" applyBorder="1" applyProtection="1">
      <protection hidden="1"/>
    </xf>
    <xf numFmtId="0" fontId="8" fillId="0" borderId="18" xfId="0" applyFont="1" applyBorder="1" applyProtection="1">
      <protection hidden="1"/>
    </xf>
    <xf numFmtId="0" fontId="8" fillId="0" borderId="19" xfId="0" applyFont="1" applyBorder="1" applyProtection="1"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1" fillId="0" borderId="1" xfId="0" applyFont="1" applyBorder="1" applyProtection="1">
      <protection hidden="1"/>
    </xf>
    <xf numFmtId="0" fontId="22" fillId="0" borderId="1" xfId="0" applyFont="1" applyBorder="1" applyProtection="1">
      <protection hidden="1"/>
    </xf>
    <xf numFmtId="0" fontId="2" fillId="0" borderId="1" xfId="0" applyFont="1" applyBorder="1" applyProtection="1">
      <protection locked="0"/>
    </xf>
    <xf numFmtId="0" fontId="23" fillId="0" borderId="1" xfId="0" applyFont="1" applyBorder="1" applyAlignment="1" applyProtection="1">
      <alignment horizontal="center"/>
      <protection hidden="1"/>
    </xf>
    <xf numFmtId="0" fontId="12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2" fillId="0" borderId="0" xfId="109" applyFont="1"/>
    <xf numFmtId="0" fontId="18" fillId="0" borderId="0" xfId="109" applyFont="1"/>
    <xf numFmtId="0" fontId="7" fillId="0" borderId="0" xfId="109" applyFont="1"/>
    <xf numFmtId="0" fontId="7" fillId="16" borderId="0" xfId="0" applyFont="1" applyFill="1" applyAlignment="1">
      <alignment horizontal="center" vertical="center" wrapText="1"/>
    </xf>
    <xf numFmtId="0" fontId="7" fillId="16" borderId="0" xfId="0" applyFont="1" applyFill="1" applyAlignment="1">
      <alignment vertical="center"/>
    </xf>
    <xf numFmtId="0" fontId="7" fillId="16" borderId="20" xfId="0" applyFont="1" applyFill="1" applyBorder="1" applyAlignment="1">
      <alignment horizontal="center" vertical="center" wrapText="1"/>
    </xf>
    <xf numFmtId="0" fontId="7" fillId="0" borderId="0" xfId="109" applyFont="1" applyAlignment="1">
      <alignment vertical="center"/>
    </xf>
    <xf numFmtId="0" fontId="6" fillId="16" borderId="0" xfId="0" applyFont="1" applyFill="1" applyAlignment="1">
      <alignment vertical="center" wrapText="1"/>
    </xf>
    <xf numFmtId="1" fontId="10" fillId="17" borderId="0" xfId="0" applyNumberFormat="1" applyFont="1" applyFill="1"/>
    <xf numFmtId="1" fontId="10" fillId="0" borderId="0" xfId="0" applyNumberFormat="1" applyFont="1"/>
    <xf numFmtId="1" fontId="10" fillId="17" borderId="0" xfId="0" applyNumberFormat="1" applyFont="1" applyFill="1" applyAlignment="1">
      <alignment horizontal="center"/>
    </xf>
    <xf numFmtId="1" fontId="6" fillId="0" borderId="0" xfId="0" applyNumberFormat="1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30" xfId="0" applyNumberFormat="1" applyFont="1" applyBorder="1" applyAlignment="1" applyProtection="1">
      <alignment horizontal="left" wrapText="1"/>
      <protection hidden="1"/>
    </xf>
    <xf numFmtId="1" fontId="6" fillId="0" borderId="35" xfId="0" applyNumberFormat="1" applyFont="1" applyBorder="1" applyAlignment="1" applyProtection="1">
      <alignment horizontal="left" wrapText="1"/>
      <protection hidden="1"/>
    </xf>
    <xf numFmtId="1" fontId="6" fillId="0" borderId="30" xfId="0" applyNumberFormat="1" applyFont="1" applyBorder="1" applyProtection="1">
      <protection hidden="1"/>
    </xf>
    <xf numFmtId="1" fontId="5" fillId="0" borderId="0" xfId="0" applyNumberFormat="1" applyFont="1" applyProtection="1">
      <protection hidden="1"/>
    </xf>
    <xf numFmtId="1" fontId="6" fillId="0" borderId="35" xfId="0" applyNumberFormat="1" applyFont="1" applyBorder="1" applyProtection="1">
      <protection hidden="1"/>
    </xf>
    <xf numFmtId="1" fontId="6" fillId="0" borderId="1" xfId="0" applyNumberFormat="1" applyFont="1" applyBorder="1" applyAlignment="1" applyProtection="1">
      <alignment horizontal="center"/>
      <protection hidden="1"/>
    </xf>
    <xf numFmtId="1" fontId="10" fillId="0" borderId="0" xfId="0" applyNumberFormat="1" applyFont="1" applyAlignment="1">
      <alignment horizontal="right"/>
    </xf>
    <xf numFmtId="1" fontId="6" fillId="0" borderId="66" xfId="0" applyNumberFormat="1" applyFont="1" applyBorder="1" applyProtection="1">
      <protection hidden="1"/>
    </xf>
    <xf numFmtId="1" fontId="6" fillId="0" borderId="30" xfId="0" applyNumberFormat="1" applyFont="1" applyBorder="1" applyAlignment="1" applyProtection="1">
      <alignment horizontal="left"/>
      <protection hidden="1"/>
    </xf>
    <xf numFmtId="1" fontId="6" fillId="0" borderId="35" xfId="0" applyNumberFormat="1" applyFont="1" applyBorder="1" applyAlignment="1" applyProtection="1">
      <alignment horizontal="left"/>
      <protection hidden="1"/>
    </xf>
    <xf numFmtId="1" fontId="6" fillId="0" borderId="45" xfId="0" applyNumberFormat="1" applyFont="1" applyBorder="1" applyAlignment="1" applyProtection="1">
      <alignment horizontal="left"/>
      <protection hidden="1"/>
    </xf>
    <xf numFmtId="1" fontId="6" fillId="0" borderId="72" xfId="0" applyNumberFormat="1" applyFont="1" applyBorder="1" applyAlignment="1" applyProtection="1">
      <alignment vertical="center" wrapText="1"/>
      <protection hidden="1"/>
    </xf>
    <xf numFmtId="1" fontId="6" fillId="0" borderId="73" xfId="0" applyNumberFormat="1" applyFont="1" applyBorder="1" applyAlignment="1" applyProtection="1">
      <alignment vertical="center" wrapText="1"/>
      <protection hidden="1"/>
    </xf>
    <xf numFmtId="1" fontId="6" fillId="0" borderId="66" xfId="0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1" fontId="6" fillId="0" borderId="10" xfId="0" applyNumberFormat="1" applyFont="1" applyBorder="1" applyAlignment="1" applyProtection="1">
      <alignment vertical="center" wrapText="1"/>
      <protection hidden="1"/>
    </xf>
    <xf numFmtId="1" fontId="9" fillId="0" borderId="0" xfId="0" applyNumberFormat="1" applyFont="1" applyProtection="1">
      <protection hidden="1"/>
    </xf>
    <xf numFmtId="1" fontId="6" fillId="0" borderId="7" xfId="0" applyNumberFormat="1" applyFont="1" applyBorder="1" applyAlignment="1" applyProtection="1">
      <alignment horizontal="center" vertical="center" wrapText="1"/>
      <protection hidden="1"/>
    </xf>
    <xf numFmtId="1" fontId="6" fillId="0" borderId="8" xfId="0" applyNumberFormat="1" applyFont="1" applyBorder="1" applyAlignment="1" applyProtection="1">
      <alignment horizontal="center" vertical="center" wrapText="1"/>
      <protection hidden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/>
    </xf>
    <xf numFmtId="1" fontId="6" fillId="0" borderId="66" xfId="0" applyNumberFormat="1" applyFont="1" applyBorder="1" applyAlignment="1">
      <alignment horizontal="center" vertical="center"/>
    </xf>
    <xf numFmtId="1" fontId="6" fillId="0" borderId="78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wrapText="1"/>
      <protection hidden="1"/>
    </xf>
    <xf numFmtId="1" fontId="6" fillId="0" borderId="72" xfId="0" applyNumberFormat="1" applyFont="1" applyBorder="1" applyAlignment="1">
      <alignment wrapText="1"/>
    </xf>
    <xf numFmtId="1" fontId="6" fillId="0" borderId="75" xfId="0" applyNumberFormat="1" applyFont="1" applyBorder="1" applyAlignment="1" applyProtection="1">
      <alignment wrapText="1"/>
      <protection hidden="1"/>
    </xf>
    <xf numFmtId="1" fontId="6" fillId="0" borderId="73" xfId="0" applyNumberFormat="1" applyFont="1" applyBorder="1" applyAlignment="1">
      <alignment wrapText="1"/>
    </xf>
    <xf numFmtId="1" fontId="6" fillId="0" borderId="77" xfId="0" applyNumberFormat="1" applyFont="1" applyBorder="1" applyAlignment="1">
      <alignment wrapText="1"/>
    </xf>
    <xf numFmtId="1" fontId="6" fillId="0" borderId="29" xfId="127" applyNumberFormat="1" applyFont="1" applyBorder="1" applyAlignment="1" applyProtection="1">
      <alignment horizontal="center" vertical="center" wrapText="1"/>
      <protection hidden="1"/>
    </xf>
    <xf numFmtId="1" fontId="6" fillId="0" borderId="7" xfId="125" applyNumberFormat="1" applyFont="1" applyBorder="1" applyAlignment="1">
      <alignment horizontal="center" vertical="center" wrapText="1"/>
    </xf>
    <xf numFmtId="1" fontId="6" fillId="0" borderId="5" xfId="125" applyNumberFormat="1" applyFont="1" applyBorder="1" applyAlignment="1">
      <alignment horizontal="center" vertical="center" wrapText="1"/>
    </xf>
    <xf numFmtId="1" fontId="6" fillId="0" borderId="73" xfId="125" applyNumberFormat="1" applyFont="1" applyBorder="1"/>
    <xf numFmtId="1" fontId="6" fillId="0" borderId="89" xfId="125" applyNumberFormat="1" applyFont="1" applyBorder="1"/>
    <xf numFmtId="1" fontId="6" fillId="0" borderId="45" xfId="125" applyNumberFormat="1" applyFont="1" applyBorder="1"/>
    <xf numFmtId="1" fontId="6" fillId="0" borderId="10" xfId="125" applyNumberFormat="1" applyFont="1" applyBorder="1"/>
    <xf numFmtId="1" fontId="6" fillId="0" borderId="1" xfId="125" applyNumberFormat="1" applyFont="1" applyBorder="1"/>
    <xf numFmtId="1" fontId="6" fillId="0" borderId="74" xfId="125" applyNumberFormat="1" applyFont="1" applyBorder="1"/>
    <xf numFmtId="1" fontId="6" fillId="0" borderId="94" xfId="125" applyNumberFormat="1" applyFont="1" applyBorder="1"/>
    <xf numFmtId="1" fontId="6" fillId="22" borderId="0" xfId="125" applyNumberFormat="1" applyFont="1" applyFill="1"/>
    <xf numFmtId="1" fontId="6" fillId="0" borderId="97" xfId="127" applyNumberFormat="1" applyFont="1" applyBorder="1" applyAlignment="1" applyProtection="1">
      <alignment horizontal="center" vertical="center" wrapText="1"/>
      <protection hidden="1"/>
    </xf>
    <xf numFmtId="1" fontId="6" fillId="0" borderId="83" xfId="125" applyNumberFormat="1" applyFont="1" applyBorder="1" applyAlignment="1">
      <alignment horizontal="center" vertical="center" wrapText="1"/>
    </xf>
    <xf numFmtId="1" fontId="6" fillId="0" borderId="27" xfId="125" applyNumberFormat="1" applyFont="1" applyBorder="1"/>
    <xf numFmtId="1" fontId="6" fillId="0" borderId="39" xfId="125" applyNumberFormat="1" applyFont="1" applyBorder="1"/>
    <xf numFmtId="1" fontId="6" fillId="0" borderId="44" xfId="125" applyNumberFormat="1" applyFont="1" applyBorder="1"/>
    <xf numFmtId="1" fontId="6" fillId="0" borderId="34" xfId="125" applyNumberFormat="1" applyFont="1" applyBorder="1"/>
    <xf numFmtId="1" fontId="6" fillId="17" borderId="0" xfId="0" applyNumberFormat="1" applyFont="1" applyFill="1" applyProtection="1">
      <protection hidden="1"/>
    </xf>
    <xf numFmtId="1" fontId="6" fillId="17" borderId="0" xfId="125" applyNumberFormat="1" applyFont="1" applyFill="1" applyAlignment="1">
      <alignment horizontal="center" vertical="center"/>
    </xf>
    <xf numFmtId="1" fontId="6" fillId="17" borderId="0" xfId="125" quotePrefix="1" applyNumberFormat="1" applyFont="1" applyFill="1" applyAlignment="1">
      <alignment horizontal="center" vertical="center"/>
    </xf>
    <xf numFmtId="1" fontId="6" fillId="0" borderId="30" xfId="0" quotePrefix="1" applyNumberFormat="1" applyFont="1" applyBorder="1" applyAlignment="1">
      <alignment horizontal="left" wrapText="1"/>
    </xf>
    <xf numFmtId="1" fontId="5" fillId="17" borderId="0" xfId="0" applyNumberFormat="1" applyFont="1" applyFill="1"/>
    <xf numFmtId="1" fontId="6" fillId="0" borderId="35" xfId="0" quotePrefix="1" applyNumberFormat="1" applyFont="1" applyBorder="1" applyAlignment="1">
      <alignment horizontal="left" wrapText="1"/>
    </xf>
    <xf numFmtId="1" fontId="6" fillId="0" borderId="66" xfId="0" quotePrefix="1" applyNumberFormat="1" applyFont="1" applyBorder="1" applyAlignment="1">
      <alignment horizontal="left" wrapText="1"/>
    </xf>
    <xf numFmtId="1" fontId="6" fillId="17" borderId="0" xfId="125" applyNumberFormat="1" applyFont="1" applyFill="1" applyAlignment="1" applyProtection="1">
      <alignment horizontal="right"/>
      <protection hidden="1"/>
    </xf>
    <xf numFmtId="1" fontId="6" fillId="0" borderId="30" xfId="125" applyNumberFormat="1" applyFont="1" applyBorder="1" applyAlignment="1">
      <alignment vertical="center"/>
    </xf>
    <xf numFmtId="1" fontId="6" fillId="0" borderId="35" xfId="125" applyNumberFormat="1" applyFont="1" applyBorder="1" applyAlignment="1">
      <alignment vertical="center"/>
    </xf>
    <xf numFmtId="1" fontId="6" fillId="0" borderId="45" xfId="125" applyNumberFormat="1" applyFont="1" applyBorder="1" applyAlignment="1">
      <alignment vertical="center"/>
    </xf>
    <xf numFmtId="1" fontId="6" fillId="0" borderId="1" xfId="125" applyNumberFormat="1" applyFont="1" applyBorder="1" applyAlignment="1">
      <alignment horizontal="center" vertical="center"/>
    </xf>
    <xf numFmtId="1" fontId="6" fillId="0" borderId="0" xfId="125" applyNumberFormat="1" applyFont="1" applyAlignment="1">
      <alignment horizontal="center" vertical="center" wrapText="1"/>
    </xf>
    <xf numFmtId="1" fontId="6" fillId="17" borderId="9" xfId="125" applyNumberFormat="1" applyFont="1" applyFill="1" applyBorder="1" applyAlignment="1">
      <alignment horizontal="center" vertical="center"/>
    </xf>
    <xf numFmtId="1" fontId="6" fillId="0" borderId="102" xfId="125" applyNumberFormat="1" applyFont="1" applyBorder="1" applyAlignment="1">
      <alignment horizontal="center" vertical="center" wrapText="1"/>
    </xf>
    <xf numFmtId="1" fontId="10" fillId="0" borderId="0" xfId="131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" fontId="10" fillId="0" borderId="0" xfId="126" applyNumberFormat="1" applyFont="1"/>
    <xf numFmtId="1" fontId="10" fillId="0" borderId="0" xfId="126" applyNumberFormat="1" applyFont="1" applyAlignment="1">
      <alignment vertical="center"/>
    </xf>
    <xf numFmtId="1" fontId="6" fillId="0" borderId="0" xfId="126" applyNumberFormat="1" applyFont="1"/>
    <xf numFmtId="1" fontId="6" fillId="0" borderId="7" xfId="127" applyNumberFormat="1" applyFont="1" applyBorder="1" applyAlignment="1" applyProtection="1">
      <alignment horizontal="center" vertical="center" wrapText="1"/>
      <protection hidden="1"/>
    </xf>
    <xf numFmtId="1" fontId="6" fillId="0" borderId="46" xfId="126" applyNumberFormat="1" applyFont="1" applyBorder="1" applyAlignment="1">
      <alignment horizontal="center" vertical="center"/>
    </xf>
    <xf numFmtId="1" fontId="6" fillId="0" borderId="102" xfId="126" applyNumberFormat="1" applyFont="1" applyBorder="1" applyAlignment="1">
      <alignment horizontal="center" vertical="center"/>
    </xf>
    <xf numFmtId="1" fontId="6" fillId="0" borderId="99" xfId="126" applyNumberFormat="1" applyFont="1" applyBorder="1" applyAlignment="1">
      <alignment horizontal="center" vertical="center"/>
    </xf>
    <xf numFmtId="1" fontId="6" fillId="0" borderId="99" xfId="126" applyNumberFormat="1" applyFont="1" applyBorder="1" applyAlignment="1" applyProtection="1">
      <alignment horizontal="center" vertical="center"/>
      <protection hidden="1"/>
    </xf>
    <xf numFmtId="1" fontId="6" fillId="0" borderId="102" xfId="126" applyNumberFormat="1" applyFont="1" applyBorder="1" applyAlignment="1" applyProtection="1">
      <alignment horizontal="center" vertical="center"/>
      <protection hidden="1"/>
    </xf>
    <xf numFmtId="1" fontId="6" fillId="0" borderId="7" xfId="109" applyNumberFormat="1" applyFont="1" applyBorder="1" applyAlignment="1">
      <alignment horizontal="center" vertical="center" wrapText="1"/>
    </xf>
    <xf numFmtId="1" fontId="6" fillId="0" borderId="5" xfId="109" applyNumberFormat="1" applyFont="1" applyBorder="1" applyAlignment="1">
      <alignment horizontal="center" vertical="center" wrapText="1"/>
    </xf>
    <xf numFmtId="1" fontId="6" fillId="0" borderId="23" xfId="109" applyNumberFormat="1" applyFont="1" applyBorder="1" applyAlignment="1">
      <alignment horizontal="center" vertical="center" wrapText="1"/>
    </xf>
    <xf numFmtId="1" fontId="6" fillId="0" borderId="34" xfId="125" applyNumberFormat="1" applyFont="1" applyBorder="1" applyAlignment="1">
      <alignment horizontal="left" vertical="center"/>
    </xf>
    <xf numFmtId="1" fontId="6" fillId="0" borderId="29" xfId="125" applyNumberFormat="1" applyFont="1" applyBorder="1" applyAlignment="1">
      <alignment horizontal="left" vertical="center"/>
    </xf>
    <xf numFmtId="1" fontId="6" fillId="0" borderId="27" xfId="127" applyNumberFormat="1" applyFont="1" applyBorder="1" applyAlignment="1">
      <alignment horizontal="left" vertical="center"/>
    </xf>
    <xf numFmtId="1" fontId="6" fillId="0" borderId="29" xfId="127" applyNumberFormat="1" applyFont="1" applyBorder="1" applyAlignment="1">
      <alignment horizontal="left" vertical="center" wrapText="1"/>
    </xf>
    <xf numFmtId="1" fontId="6" fillId="0" borderId="39" xfId="126" applyNumberFormat="1" applyFont="1" applyBorder="1" applyAlignment="1">
      <alignment vertical="center" wrapText="1"/>
    </xf>
    <xf numFmtId="1" fontId="6" fillId="0" borderId="0" xfId="126" applyNumberFormat="1" applyFont="1" applyAlignment="1" applyProtection="1">
      <alignment vertical="center"/>
      <protection hidden="1"/>
    </xf>
    <xf numFmtId="1" fontId="10" fillId="0" borderId="0" xfId="126" applyNumberFormat="1" applyFont="1" applyAlignment="1" applyProtection="1">
      <alignment vertical="center" wrapText="1"/>
      <protection hidden="1"/>
    </xf>
    <xf numFmtId="1" fontId="6" fillId="0" borderId="0" xfId="126" applyNumberFormat="1" applyFont="1" applyProtection="1">
      <protection hidden="1"/>
    </xf>
    <xf numFmtId="1" fontId="6" fillId="0" borderId="99" xfId="127" applyNumberFormat="1" applyFont="1" applyBorder="1" applyAlignment="1" applyProtection="1">
      <alignment horizontal="center" vertical="center" wrapText="1"/>
      <protection hidden="1"/>
    </xf>
    <xf numFmtId="1" fontId="6" fillId="0" borderId="7" xfId="126" applyNumberFormat="1" applyFont="1" applyBorder="1" applyAlignment="1">
      <alignment horizontal="center" vertical="center"/>
    </xf>
    <xf numFmtId="1" fontId="6" fillId="0" borderId="5" xfId="126" applyNumberFormat="1" applyFont="1" applyBorder="1" applyAlignment="1">
      <alignment horizontal="center" vertical="center"/>
    </xf>
    <xf numFmtId="1" fontId="6" fillId="0" borderId="7" xfId="126" applyNumberFormat="1" applyFont="1" applyBorder="1" applyAlignment="1" applyProtection="1">
      <alignment horizontal="center" vertical="center"/>
      <protection hidden="1"/>
    </xf>
    <xf numFmtId="1" fontId="6" fillId="0" borderId="5" xfId="126" applyNumberFormat="1" applyFont="1" applyBorder="1" applyAlignment="1" applyProtection="1">
      <alignment horizontal="center" vertical="center"/>
      <protection hidden="1"/>
    </xf>
    <xf numFmtId="1" fontId="6" fillId="0" borderId="120" xfId="125" applyNumberFormat="1" applyFont="1" applyBorder="1" applyAlignment="1">
      <alignment horizontal="left" vertical="center"/>
    </xf>
    <xf numFmtId="1" fontId="6" fillId="0" borderId="121" xfId="125" applyNumberFormat="1" applyFont="1" applyBorder="1" applyAlignment="1">
      <alignment horizontal="left" vertical="center"/>
    </xf>
    <xf numFmtId="1" fontId="6" fillId="0" borderId="30" xfId="127" applyNumberFormat="1" applyFont="1" applyBorder="1" applyAlignment="1">
      <alignment horizontal="left" vertical="center"/>
    </xf>
    <xf numFmtId="1" fontId="6" fillId="0" borderId="11" xfId="125" applyNumberFormat="1" applyFont="1" applyBorder="1" applyAlignment="1">
      <alignment horizontal="left" vertical="center"/>
    </xf>
    <xf numFmtId="1" fontId="10" fillId="0" borderId="0" xfId="132" applyNumberFormat="1" applyFont="1" applyAlignment="1">
      <alignment horizontal="left"/>
    </xf>
    <xf numFmtId="1" fontId="6" fillId="0" borderId="8" xfId="126" applyNumberFormat="1" applyFont="1" applyBorder="1" applyAlignment="1" applyProtection="1">
      <alignment horizontal="center" vertical="center"/>
      <protection hidden="1"/>
    </xf>
    <xf numFmtId="1" fontId="6" fillId="0" borderId="0" xfId="126" applyNumberFormat="1" applyFont="1" applyAlignment="1" applyProtection="1">
      <alignment horizontal="center" vertical="center"/>
      <protection hidden="1"/>
    </xf>
    <xf numFmtId="1" fontId="6" fillId="0" borderId="34" xfId="126" applyNumberFormat="1" applyFont="1" applyBorder="1" applyAlignment="1" applyProtection="1">
      <alignment vertical="center"/>
      <protection hidden="1"/>
    </xf>
    <xf numFmtId="1" fontId="6" fillId="0" borderId="39" xfId="126" applyNumberFormat="1" applyFont="1" applyBorder="1" applyAlignment="1" applyProtection="1">
      <alignment vertical="center"/>
      <protection hidden="1"/>
    </xf>
    <xf numFmtId="1" fontId="6" fillId="0" borderId="30" xfId="126" applyNumberFormat="1" applyFont="1" applyBorder="1" applyAlignment="1" applyProtection="1">
      <alignment vertical="center"/>
      <protection hidden="1"/>
    </xf>
    <xf numFmtId="1" fontId="6" fillId="0" borderId="35" xfId="126" applyNumberFormat="1" applyFont="1" applyBorder="1" applyAlignment="1" applyProtection="1">
      <alignment vertical="center"/>
      <protection hidden="1"/>
    </xf>
    <xf numFmtId="1" fontId="6" fillId="0" borderId="45" xfId="126" applyNumberFormat="1" applyFont="1" applyBorder="1" applyAlignment="1" applyProtection="1">
      <alignment vertical="center"/>
      <protection hidden="1"/>
    </xf>
    <xf numFmtId="1" fontId="6" fillId="0" borderId="77" xfId="126" applyNumberFormat="1" applyFont="1" applyBorder="1" applyAlignment="1" applyProtection="1">
      <alignment vertical="center"/>
      <protection hidden="1"/>
    </xf>
    <xf numFmtId="1" fontId="6" fillId="0" borderId="75" xfId="126" applyNumberFormat="1" applyFont="1" applyBorder="1" applyAlignment="1" applyProtection="1">
      <alignment vertical="center" wrapText="1"/>
      <protection hidden="1"/>
    </xf>
    <xf numFmtId="1" fontId="6" fillId="0" borderId="66" xfId="126" applyNumberFormat="1" applyFont="1" applyBorder="1" applyAlignment="1" applyProtection="1">
      <alignment vertical="center" wrapText="1"/>
      <protection hidden="1"/>
    </xf>
    <xf numFmtId="1" fontId="6" fillId="0" borderId="30" xfId="126" applyNumberFormat="1" applyFont="1" applyBorder="1" applyAlignment="1" applyProtection="1">
      <alignment vertical="center" wrapText="1"/>
      <protection hidden="1"/>
    </xf>
    <xf numFmtId="1" fontId="10" fillId="0" borderId="0" xfId="127" quotePrefix="1" applyNumberFormat="1" applyFont="1" applyAlignment="1" applyProtection="1">
      <alignment horizontal="left"/>
      <protection hidden="1"/>
    </xf>
    <xf numFmtId="1" fontId="6" fillId="0" borderId="0" xfId="127" applyNumberFormat="1" applyFont="1" applyProtection="1">
      <protection hidden="1"/>
    </xf>
    <xf numFmtId="1" fontId="6" fillId="0" borderId="78" xfId="127" applyNumberFormat="1" applyFont="1" applyBorder="1" applyAlignment="1" applyProtection="1">
      <alignment horizontal="center" vertical="center" wrapText="1"/>
      <protection hidden="1"/>
    </xf>
    <xf numFmtId="1" fontId="6" fillId="0" borderId="5" xfId="127" applyNumberFormat="1" applyFont="1" applyBorder="1" applyAlignment="1" applyProtection="1">
      <alignment horizontal="center" vertical="center" wrapText="1"/>
      <protection hidden="1"/>
    </xf>
    <xf numFmtId="1" fontId="6" fillId="0" borderId="0" xfId="14" applyNumberFormat="1" applyFont="1" applyFill="1" applyBorder="1" applyProtection="1"/>
    <xf numFmtId="1" fontId="6" fillId="0" borderId="8" xfId="127" applyNumberFormat="1" applyFont="1" applyBorder="1" applyAlignment="1" applyProtection="1">
      <alignment horizontal="center" vertical="center" wrapText="1"/>
      <protection hidden="1"/>
    </xf>
    <xf numFmtId="1" fontId="6" fillId="0" borderId="64" xfId="127" applyNumberFormat="1" applyFont="1" applyBorder="1" applyAlignment="1" applyProtection="1">
      <alignment horizontal="center" vertical="center" wrapText="1"/>
      <protection hidden="1"/>
    </xf>
    <xf numFmtId="1" fontId="6" fillId="0" borderId="8" xfId="127" applyNumberFormat="1" applyFont="1" applyBorder="1" applyAlignment="1" applyProtection="1">
      <alignment horizontal="center" vertical="center"/>
      <protection hidden="1"/>
    </xf>
    <xf numFmtId="1" fontId="6" fillId="0" borderId="5" xfId="127" applyNumberFormat="1" applyFont="1" applyBorder="1" applyAlignment="1" applyProtection="1">
      <alignment horizontal="center" vertical="center"/>
      <protection hidden="1"/>
    </xf>
    <xf numFmtId="1" fontId="6" fillId="0" borderId="78" xfId="109" applyNumberFormat="1" applyFont="1" applyBorder="1" applyAlignment="1">
      <alignment horizontal="center" vertical="center" wrapText="1"/>
    </xf>
    <xf numFmtId="1" fontId="6" fillId="0" borderId="80" xfId="127" applyNumberFormat="1" applyFont="1" applyBorder="1" applyAlignment="1" applyProtection="1">
      <alignment horizontal="center" vertical="center" wrapText="1"/>
      <protection hidden="1"/>
    </xf>
    <xf numFmtId="1" fontId="6" fillId="0" borderId="78" xfId="127" applyNumberFormat="1" applyFont="1" applyBorder="1" applyAlignment="1" applyProtection="1">
      <alignment horizontal="center" vertical="center"/>
      <protection hidden="1"/>
    </xf>
    <xf numFmtId="1" fontId="6" fillId="0" borderId="0" xfId="0" applyNumberFormat="1" applyFont="1"/>
    <xf numFmtId="1" fontId="6" fillId="0" borderId="7" xfId="126" applyNumberFormat="1" applyFont="1" applyBorder="1" applyAlignment="1" applyProtection="1">
      <alignment horizontal="center" vertical="center" wrapText="1"/>
      <protection hidden="1"/>
    </xf>
    <xf numFmtId="1" fontId="6" fillId="0" borderId="23" xfId="127" applyNumberFormat="1" applyFont="1" applyBorder="1" applyAlignment="1" applyProtection="1">
      <alignment horizontal="center" vertical="center" wrapText="1"/>
      <protection hidden="1"/>
    </xf>
    <xf numFmtId="1" fontId="6" fillId="17" borderId="0" xfId="0" applyNumberFormat="1" applyFont="1" applyFill="1"/>
    <xf numFmtId="1" fontId="6" fillId="0" borderId="30" xfId="129" applyNumberFormat="1" applyFont="1" applyBorder="1" applyAlignment="1" applyProtection="1">
      <alignment vertical="center" wrapText="1"/>
      <protection hidden="1"/>
    </xf>
    <xf numFmtId="1" fontId="6" fillId="0" borderId="66" xfId="129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wrapText="1"/>
      <protection hidden="1"/>
    </xf>
    <xf numFmtId="1" fontId="6" fillId="0" borderId="27" xfId="129" applyNumberFormat="1" applyFont="1" applyBorder="1" applyAlignment="1" applyProtection="1">
      <alignment vertical="center" wrapText="1"/>
      <protection hidden="1"/>
    </xf>
    <xf numFmtId="1" fontId="6" fillId="0" borderId="34" xfId="129" applyNumberFormat="1" applyFont="1" applyBorder="1" applyAlignment="1" applyProtection="1">
      <alignment vertical="center" wrapText="1"/>
      <protection hidden="1"/>
    </xf>
    <xf numFmtId="1" fontId="6" fillId="0" borderId="29" xfId="129" applyNumberFormat="1" applyFont="1" applyBorder="1" applyAlignment="1" applyProtection="1">
      <alignment vertical="center" wrapText="1"/>
      <protection hidden="1"/>
    </xf>
    <xf numFmtId="1" fontId="6" fillId="0" borderId="1" xfId="113" applyNumberFormat="1" applyFont="1" applyBorder="1" applyAlignment="1" applyProtection="1">
      <alignment horizontal="center" vertical="center" wrapText="1"/>
      <protection hidden="1"/>
    </xf>
    <xf numFmtId="1" fontId="6" fillId="0" borderId="1" xfId="113" applyNumberFormat="1" applyFont="1" applyBorder="1" applyAlignment="1" applyProtection="1">
      <alignment horizontal="left" vertical="center" wrapText="1"/>
      <protection hidden="1"/>
    </xf>
    <xf numFmtId="1" fontId="6" fillId="0" borderId="78" xfId="126" applyNumberFormat="1" applyFont="1" applyBorder="1" applyAlignment="1" applyProtection="1">
      <alignment horizontal="center" vertical="center" wrapText="1"/>
      <protection hidden="1"/>
    </xf>
    <xf numFmtId="1" fontId="6" fillId="0" borderId="99" xfId="126" applyNumberFormat="1" applyFont="1" applyBorder="1" applyAlignment="1" applyProtection="1">
      <alignment horizontal="center" vertical="center" wrapText="1"/>
      <protection hidden="1"/>
    </xf>
    <xf numFmtId="1" fontId="6" fillId="0" borderId="99" xfId="109" applyNumberFormat="1" applyFont="1" applyBorder="1" applyAlignment="1">
      <alignment horizontal="center" vertical="center" wrapText="1"/>
    </xf>
    <xf numFmtId="1" fontId="6" fillId="0" borderId="102" xfId="109" applyNumberFormat="1" applyFont="1" applyBorder="1" applyAlignment="1">
      <alignment horizontal="center" vertical="center" wrapText="1"/>
    </xf>
    <xf numFmtId="1" fontId="6" fillId="0" borderId="134" xfId="127" applyNumberFormat="1" applyFont="1" applyBorder="1" applyAlignment="1" applyProtection="1">
      <alignment horizontal="center" vertical="center" wrapText="1"/>
      <protection hidden="1"/>
    </xf>
    <xf numFmtId="1" fontId="10" fillId="22" borderId="0" xfId="131" applyNumberFormat="1" applyFont="1" applyFill="1" applyAlignment="1">
      <alignment horizontal="left"/>
    </xf>
    <xf numFmtId="1" fontId="14" fillId="22" borderId="0" xfId="126" applyNumberFormat="1" applyFont="1" applyFill="1" applyAlignment="1">
      <alignment vertical="center"/>
    </xf>
    <xf numFmtId="1" fontId="6" fillId="0" borderId="76" xfId="125" quotePrefix="1" applyNumberFormat="1" applyFont="1" applyBorder="1" applyAlignment="1">
      <alignment horizontal="left" wrapText="1"/>
    </xf>
    <xf numFmtId="1" fontId="6" fillId="0" borderId="45" xfId="125" quotePrefix="1" applyNumberFormat="1" applyFont="1" applyBorder="1" applyAlignment="1">
      <alignment wrapText="1"/>
    </xf>
    <xf numFmtId="1" fontId="6" fillId="0" borderId="66" xfId="125" quotePrefix="1" applyNumberFormat="1" applyFont="1" applyBorder="1" applyAlignment="1">
      <alignment wrapText="1"/>
    </xf>
    <xf numFmtId="1" fontId="6" fillId="0" borderId="11" xfId="125" quotePrefix="1" applyNumberFormat="1" applyFont="1" applyBorder="1"/>
    <xf numFmtId="1" fontId="6" fillId="0" borderId="76" xfId="125" quotePrefix="1" applyNumberFormat="1" applyFont="1" applyBorder="1" applyAlignment="1">
      <alignment wrapText="1"/>
    </xf>
    <xf numFmtId="1" fontId="6" fillId="0" borderId="1" xfId="125" applyNumberFormat="1" applyFont="1" applyBorder="1" applyAlignment="1">
      <alignment horizontal="left"/>
    </xf>
    <xf numFmtId="1" fontId="6" fillId="0" borderId="11" xfId="125" quotePrefix="1" applyNumberFormat="1" applyFont="1" applyBorder="1" applyAlignment="1">
      <alignment wrapText="1"/>
    </xf>
    <xf numFmtId="1" fontId="6" fillId="0" borderId="135" xfId="125" quotePrefix="1" applyNumberFormat="1" applyFont="1" applyBorder="1"/>
    <xf numFmtId="1" fontId="6" fillId="0" borderId="1" xfId="125" quotePrefix="1" applyNumberFormat="1" applyFont="1" applyBorder="1"/>
    <xf numFmtId="1" fontId="6" fillId="0" borderId="89" xfId="125" quotePrefix="1" applyNumberFormat="1" applyFont="1" applyBorder="1"/>
    <xf numFmtId="1" fontId="6" fillId="0" borderId="73" xfId="125" applyNumberFormat="1" applyFont="1" applyBorder="1" applyAlignment="1">
      <alignment wrapText="1"/>
    </xf>
    <xf numFmtId="1" fontId="6" fillId="0" borderId="74" xfId="125" applyNumberFormat="1" applyFont="1" applyBorder="1" applyAlignment="1">
      <alignment wrapText="1"/>
    </xf>
    <xf numFmtId="1" fontId="6" fillId="0" borderId="9" xfId="125" applyNumberFormat="1" applyFont="1" applyBorder="1" applyAlignment="1">
      <alignment wrapText="1"/>
    </xf>
    <xf numFmtId="1" fontId="6" fillId="0" borderId="5" xfId="126" applyNumberFormat="1" applyFont="1" applyBorder="1" applyAlignment="1" applyProtection="1">
      <alignment horizontal="center" vertical="center" wrapText="1"/>
      <protection hidden="1"/>
    </xf>
    <xf numFmtId="1" fontId="10" fillId="17" borderId="0" xfId="109" applyNumberFormat="1" applyFont="1" applyFill="1"/>
    <xf numFmtId="1" fontId="10" fillId="17" borderId="0" xfId="109" applyNumberFormat="1" applyFont="1" applyFill="1" applyAlignment="1">
      <alignment horizontal="center"/>
    </xf>
    <xf numFmtId="1" fontId="10" fillId="17" borderId="0" xfId="133" applyNumberFormat="1" applyFont="1" applyFill="1" applyAlignment="1">
      <alignment horizontal="left"/>
    </xf>
    <xf numFmtId="1" fontId="6" fillId="17" borderId="100" xfId="109" applyNumberFormat="1" applyFont="1" applyFill="1" applyBorder="1" applyAlignment="1">
      <alignment horizontal="center" vertical="center" wrapText="1"/>
    </xf>
    <xf numFmtId="1" fontId="6" fillId="17" borderId="102" xfId="109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80" xfId="0" applyNumberFormat="1" applyFont="1" applyBorder="1" applyAlignment="1">
      <alignment horizontal="center" vertical="center" wrapText="1"/>
    </xf>
    <xf numFmtId="1" fontId="6" fillId="17" borderId="1" xfId="109" applyNumberFormat="1" applyFont="1" applyFill="1" applyBorder="1" applyAlignment="1">
      <alignment vertical="center" wrapText="1"/>
    </xf>
    <xf numFmtId="1" fontId="6" fillId="0" borderId="0" xfId="130" applyNumberFormat="1" applyFont="1" applyBorder="1" applyAlignment="1" applyProtection="1">
      <protection hidden="1"/>
    </xf>
    <xf numFmtId="1" fontId="6" fillId="0" borderId="0" xfId="130" applyNumberFormat="1" applyFont="1" applyAlignment="1" applyProtection="1">
      <protection hidden="1"/>
    </xf>
    <xf numFmtId="1" fontId="6" fillId="17" borderId="0" xfId="130" applyNumberFormat="1" applyFont="1" applyFill="1" applyAlignment="1" applyProtection="1">
      <protection hidden="1"/>
    </xf>
    <xf numFmtId="1" fontId="10" fillId="0" borderId="0" xfId="130" applyNumberFormat="1" applyFont="1" applyAlignment="1" applyProtection="1">
      <alignment vertical="center"/>
    </xf>
    <xf numFmtId="1" fontId="10" fillId="0" borderId="0" xfId="130" applyNumberFormat="1" applyFont="1" applyAlignment="1" applyProtection="1">
      <alignment horizontal="center"/>
    </xf>
    <xf numFmtId="1" fontId="10" fillId="0" borderId="0" xfId="130" applyNumberFormat="1" applyFont="1" applyAlignment="1" applyProtection="1">
      <alignment horizontal="center"/>
      <protection hidden="1"/>
    </xf>
    <xf numFmtId="1" fontId="10" fillId="0" borderId="136" xfId="130" applyNumberFormat="1" applyFont="1" applyBorder="1" applyAlignment="1" applyProtection="1">
      <alignment horizontal="center" vertical="center" wrapText="1"/>
    </xf>
    <xf numFmtId="1" fontId="6" fillId="0" borderId="135" xfId="130" applyNumberFormat="1" applyFont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vertical="center" wrapText="1"/>
    </xf>
    <xf numFmtId="1" fontId="6" fillId="0" borderId="0" xfId="130" applyNumberFormat="1" applyFont="1" applyAlignment="1" applyProtection="1">
      <alignment horizontal="center" vertical="center"/>
      <protection hidden="1"/>
    </xf>
    <xf numFmtId="1" fontId="6" fillId="17" borderId="0" xfId="130" applyNumberFormat="1" applyFont="1" applyFill="1" applyAlignment="1" applyProtection="1">
      <alignment horizontal="center" vertical="center"/>
      <protection hidden="1"/>
    </xf>
    <xf numFmtId="1" fontId="6" fillId="0" borderId="35" xfId="130" applyNumberFormat="1" applyFont="1" applyBorder="1" applyAlignment="1" applyProtection="1"/>
    <xf numFmtId="1" fontId="6" fillId="0" borderId="10" xfId="130" applyNumberFormat="1" applyFont="1" applyBorder="1" applyAlignment="1" applyProtection="1"/>
    <xf numFmtId="1" fontId="6" fillId="0" borderId="1" xfId="130" applyNumberFormat="1" applyFont="1" applyBorder="1" applyAlignment="1" applyProtection="1">
      <alignment horizontal="right"/>
    </xf>
    <xf numFmtId="1" fontId="10" fillId="0" borderId="0" xfId="130" applyNumberFormat="1" applyFont="1" applyAlignment="1" applyProtection="1">
      <protection hidden="1"/>
    </xf>
    <xf numFmtId="1" fontId="10" fillId="0" borderId="0" xfId="130" applyNumberFormat="1" applyFont="1" applyAlignment="1" applyProtection="1"/>
    <xf numFmtId="1" fontId="6" fillId="0" borderId="30" xfId="130" applyNumberFormat="1" applyFont="1" applyBorder="1" applyAlignment="1" applyProtection="1"/>
    <xf numFmtId="1" fontId="6" fillId="0" borderId="66" xfId="130" applyNumberFormat="1" applyFont="1" applyBorder="1" applyAlignment="1" applyProtection="1"/>
    <xf numFmtId="1" fontId="10" fillId="0" borderId="0" xfId="130" applyNumberFormat="1" applyFont="1" applyBorder="1" applyAlignment="1" applyProtection="1">
      <alignment horizontal="right"/>
      <protection hidden="1"/>
    </xf>
    <xf numFmtId="1" fontId="6" fillId="17" borderId="0" xfId="130" applyNumberFormat="1" applyFont="1" applyFill="1" applyBorder="1" applyAlignment="1" applyProtection="1">
      <protection hidden="1"/>
    </xf>
    <xf numFmtId="1" fontId="6" fillId="0" borderId="11" xfId="130" applyNumberFormat="1" applyFont="1" applyBorder="1" applyAlignment="1" applyProtection="1"/>
    <xf numFmtId="1" fontId="10" fillId="0" borderId="0" xfId="130" applyNumberFormat="1" applyFont="1" applyBorder="1" applyAlignment="1" applyProtection="1">
      <alignment horizontal="left"/>
    </xf>
    <xf numFmtId="1" fontId="6" fillId="0" borderId="0" xfId="130" applyNumberFormat="1" applyFont="1" applyAlignment="1" applyProtection="1"/>
    <xf numFmtId="1" fontId="6" fillId="0" borderId="30" xfId="130" applyNumberFormat="1" applyFont="1" applyBorder="1" applyAlignment="1" applyProtection="1">
      <alignment wrapText="1"/>
    </xf>
    <xf numFmtId="1" fontId="6" fillId="0" borderId="35" xfId="130" quotePrefix="1" applyNumberFormat="1" applyFont="1" applyBorder="1" applyAlignment="1" applyProtection="1"/>
    <xf numFmtId="1" fontId="6" fillId="0" borderId="10" xfId="130" applyNumberFormat="1" applyFont="1" applyBorder="1" applyAlignment="1" applyProtection="1">
      <alignment vertical="center"/>
    </xf>
    <xf numFmtId="1" fontId="10" fillId="0" borderId="0" xfId="130" applyNumberFormat="1" applyFont="1" applyBorder="1" applyAlignment="1" applyProtection="1"/>
    <xf numFmtId="1" fontId="6" fillId="0" borderId="0" xfId="26" applyNumberFormat="1" applyFont="1" applyFill="1" applyBorder="1" applyProtection="1">
      <protection hidden="1"/>
    </xf>
    <xf numFmtId="1" fontId="10" fillId="0" borderId="6" xfId="130" applyNumberFormat="1" applyFont="1" applyBorder="1" applyAlignment="1" applyProtection="1">
      <alignment horizontal="left"/>
    </xf>
    <xf numFmtId="1" fontId="6" fillId="0" borderId="136" xfId="130" applyNumberFormat="1" applyFont="1" applyBorder="1" applyAlignment="1" applyProtection="1">
      <alignment horizontal="center" vertical="center" wrapText="1"/>
    </xf>
    <xf numFmtId="1" fontId="6" fillId="0" borderId="0" xfId="130" applyNumberFormat="1" applyFont="1" applyBorder="1" applyAlignment="1" applyProtection="1">
      <alignment vertical="center" wrapText="1"/>
    </xf>
    <xf numFmtId="1" fontId="6" fillId="0" borderId="0" xfId="130" applyNumberFormat="1" applyFont="1" applyBorder="1" applyAlignment="1" applyProtection="1"/>
    <xf numFmtId="1" fontId="6" fillId="0" borderId="0" xfId="130" applyNumberFormat="1" applyFont="1" applyBorder="1" applyAlignment="1" applyProtection="1">
      <alignment horizontal="center" vertical="center" wrapText="1"/>
    </xf>
    <xf numFmtId="1" fontId="6" fillId="22" borderId="73" xfId="126" applyNumberFormat="1" applyFont="1" applyFill="1" applyBorder="1" applyAlignment="1">
      <alignment horizontal="left" vertical="center" wrapText="1"/>
    </xf>
    <xf numFmtId="1" fontId="6" fillId="22" borderId="66" xfId="126" applyNumberFormat="1" applyFont="1" applyFill="1" applyBorder="1" applyAlignment="1" applyProtection="1">
      <alignment vertical="center"/>
      <protection hidden="1"/>
    </xf>
    <xf numFmtId="1" fontId="6" fillId="22" borderId="35" xfId="126" applyNumberFormat="1" applyFont="1" applyFill="1" applyBorder="1" applyAlignment="1" applyProtection="1">
      <alignment vertical="center" wrapText="1"/>
      <protection hidden="1"/>
    </xf>
    <xf numFmtId="1" fontId="22" fillId="0" borderId="1" xfId="0" applyNumberFormat="1" applyFont="1" applyBorder="1" applyProtection="1">
      <protection hidden="1"/>
    </xf>
    <xf numFmtId="1" fontId="6" fillId="15" borderId="7" xfId="73" applyNumberFormat="1" applyFont="1" applyFill="1" applyBorder="1" applyAlignment="1" applyProtection="1">
      <alignment horizontal="right"/>
      <protection locked="0"/>
    </xf>
    <xf numFmtId="1" fontId="6" fillId="15" borderId="5" xfId="73" applyNumberFormat="1" applyFont="1" applyFill="1" applyBorder="1" applyAlignment="1" applyProtection="1">
      <alignment horizontal="right"/>
      <protection locked="0"/>
    </xf>
    <xf numFmtId="1" fontId="6" fillId="15" borderId="91" xfId="73" applyNumberFormat="1" applyFont="1" applyFill="1" applyBorder="1" applyAlignment="1" applyProtection="1">
      <alignment horizontal="right"/>
      <protection locked="0"/>
    </xf>
    <xf numFmtId="1" fontId="6" fillId="15" borderId="92" xfId="73" applyNumberFormat="1" applyFont="1" applyFill="1" applyBorder="1" applyAlignment="1" applyProtection="1">
      <alignment horizontal="right"/>
      <protection locked="0"/>
    </xf>
    <xf numFmtId="1" fontId="6" fillId="15" borderId="70" xfId="73" applyNumberFormat="1" applyFont="1" applyFill="1" applyBorder="1" applyAlignment="1" applyProtection="1">
      <alignment horizontal="right"/>
      <protection locked="0"/>
    </xf>
    <xf numFmtId="1" fontId="6" fillId="15" borderId="90" xfId="73" applyNumberFormat="1" applyFont="1" applyFill="1" applyBorder="1" applyAlignment="1" applyProtection="1">
      <alignment horizontal="right"/>
      <protection locked="0"/>
    </xf>
    <xf numFmtId="1" fontId="6" fillId="22" borderId="75" xfId="125" applyNumberFormat="1" applyFont="1" applyFill="1" applyBorder="1" applyAlignment="1">
      <alignment horizontal="right"/>
    </xf>
    <xf numFmtId="1" fontId="6" fillId="22" borderId="45" xfId="125" applyNumberFormat="1" applyFont="1" applyFill="1" applyBorder="1" applyAlignment="1">
      <alignment horizontal="right"/>
    </xf>
    <xf numFmtId="1" fontId="6" fillId="22" borderId="1" xfId="125" applyNumberFormat="1" applyFont="1" applyFill="1" applyBorder="1" applyAlignment="1">
      <alignment horizontal="right"/>
    </xf>
    <xf numFmtId="1" fontId="6" fillId="15" borderId="142" xfId="73" applyNumberFormat="1" applyFont="1" applyFill="1" applyBorder="1" applyAlignment="1" applyProtection="1">
      <alignment horizontal="right"/>
      <protection locked="0"/>
    </xf>
    <xf numFmtId="1" fontId="6" fillId="22" borderId="35" xfId="125" applyNumberFormat="1" applyFont="1" applyFill="1" applyBorder="1" applyAlignment="1">
      <alignment horizontal="right"/>
    </xf>
    <xf numFmtId="1" fontId="6" fillId="22" borderId="76" xfId="125" applyNumberFormat="1" applyFont="1" applyFill="1" applyBorder="1" applyAlignment="1">
      <alignment horizontal="right" wrapText="1"/>
    </xf>
    <xf numFmtId="1" fontId="6" fillId="15" borderId="98" xfId="73" applyNumberFormat="1" applyFont="1" applyFill="1" applyBorder="1" applyAlignment="1" applyProtection="1">
      <alignment horizontal="right"/>
      <protection locked="0"/>
    </xf>
    <xf numFmtId="1" fontId="6" fillId="15" borderId="96" xfId="73" applyNumberFormat="1" applyFont="1" applyFill="1" applyBorder="1" applyAlignment="1" applyProtection="1">
      <alignment horizontal="right"/>
      <protection locked="0"/>
    </xf>
    <xf numFmtId="1" fontId="6" fillId="15" borderId="67" xfId="73" applyNumberFormat="1" applyFont="1" applyFill="1" applyBorder="1" applyAlignment="1" applyProtection="1">
      <alignment horizontal="right"/>
      <protection locked="0"/>
    </xf>
    <xf numFmtId="1" fontId="6" fillId="15" borderId="86" xfId="73" applyNumberFormat="1" applyFont="1" applyFill="1" applyBorder="1" applyAlignment="1" applyProtection="1">
      <alignment horizontal="right"/>
      <protection locked="0"/>
    </xf>
    <xf numFmtId="1" fontId="6" fillId="15" borderId="68" xfId="73" applyNumberFormat="1" applyFont="1" applyFill="1" applyBorder="1" applyAlignment="1" applyProtection="1">
      <alignment horizontal="right"/>
      <protection locked="0"/>
    </xf>
    <xf numFmtId="1" fontId="6" fillId="15" borderId="69" xfId="73" applyNumberFormat="1" applyFont="1" applyFill="1" applyBorder="1" applyAlignment="1" applyProtection="1">
      <alignment horizontal="right"/>
      <protection locked="0"/>
    </xf>
    <xf numFmtId="1" fontId="6" fillId="15" borderId="106" xfId="73" applyNumberFormat="1" applyFont="1" applyFill="1" applyBorder="1" applyAlignment="1" applyProtection="1">
      <alignment horizontal="right"/>
      <protection locked="0"/>
    </xf>
    <xf numFmtId="1" fontId="6" fillId="15" borderId="105" xfId="73" applyNumberFormat="1" applyFont="1" applyFill="1" applyBorder="1" applyAlignment="1" applyProtection="1">
      <alignment horizontal="right"/>
      <protection locked="0"/>
    </xf>
    <xf numFmtId="1" fontId="6" fillId="0" borderId="98" xfId="126" applyNumberFormat="1" applyFont="1" applyBorder="1" applyAlignment="1" applyProtection="1">
      <alignment horizontal="right" wrapText="1"/>
      <protection hidden="1"/>
    </xf>
    <xf numFmtId="1" fontId="6" fillId="0" borderId="97" xfId="126" applyNumberFormat="1" applyFont="1" applyBorder="1" applyAlignment="1" applyProtection="1">
      <alignment horizontal="right" wrapText="1"/>
      <protection hidden="1"/>
    </xf>
    <xf numFmtId="1" fontId="6" fillId="15" borderId="31" xfId="73" applyNumberFormat="1" applyFont="1" applyFill="1" applyBorder="1" applyAlignment="1" applyProtection="1">
      <alignment horizontal="right"/>
      <protection locked="0"/>
    </xf>
    <xf numFmtId="1" fontId="6" fillId="15" borderId="36" xfId="73" applyNumberFormat="1" applyFont="1" applyFill="1" applyBorder="1" applyAlignment="1" applyProtection="1">
      <alignment horizontal="right"/>
      <protection locked="0"/>
    </xf>
    <xf numFmtId="1" fontId="6" fillId="15" borderId="82" xfId="73" applyNumberFormat="1" applyFont="1" applyFill="1" applyBorder="1" applyAlignment="1" applyProtection="1">
      <alignment horizontal="right"/>
      <protection locked="0"/>
    </xf>
    <xf numFmtId="1" fontId="6" fillId="15" borderId="83" xfId="73" applyNumberFormat="1" applyFont="1" applyFill="1" applyBorder="1" applyAlignment="1" applyProtection="1">
      <alignment horizontal="right"/>
      <protection locked="0"/>
    </xf>
    <xf numFmtId="1" fontId="6" fillId="15" borderId="130" xfId="73" applyNumberFormat="1" applyFont="1" applyFill="1" applyBorder="1" applyAlignment="1" applyProtection="1">
      <alignment horizontal="right"/>
      <protection locked="0"/>
    </xf>
    <xf numFmtId="1" fontId="6" fillId="0" borderId="23" xfId="126" applyNumberFormat="1" applyFont="1" applyBorder="1" applyAlignment="1" applyProtection="1">
      <alignment horizontal="center" vertical="center" wrapText="1"/>
      <protection hidden="1"/>
    </xf>
    <xf numFmtId="1" fontId="6" fillId="15" borderId="118" xfId="73" applyNumberFormat="1" applyFont="1" applyFill="1" applyBorder="1" applyAlignment="1" applyProtection="1">
      <alignment horizontal="right"/>
      <protection locked="0"/>
    </xf>
    <xf numFmtId="1" fontId="6" fillId="15" borderId="145" xfId="73" applyNumberFormat="1" applyFont="1" applyFill="1" applyBorder="1" applyAlignment="1" applyProtection="1">
      <alignment horizontal="right"/>
      <protection locked="0"/>
    </xf>
    <xf numFmtId="1" fontId="6" fillId="15" borderId="129" xfId="73" applyNumberFormat="1" applyFont="1" applyFill="1" applyBorder="1" applyAlignment="1" applyProtection="1">
      <alignment horizontal="right"/>
      <protection locked="0"/>
    </xf>
    <xf numFmtId="1" fontId="6" fillId="15" borderId="132" xfId="73" applyNumberFormat="1" applyFont="1" applyFill="1" applyBorder="1" applyAlignment="1" applyProtection="1">
      <alignment horizontal="right"/>
      <protection locked="0"/>
    </xf>
    <xf numFmtId="1" fontId="6" fillId="15" borderId="6" xfId="73" applyNumberFormat="1" applyFont="1" applyFill="1" applyBorder="1" applyAlignment="1" applyProtection="1">
      <alignment horizontal="right"/>
      <protection locked="0"/>
    </xf>
    <xf numFmtId="1" fontId="6" fillId="15" borderId="104" xfId="73" applyNumberFormat="1" applyFont="1" applyFill="1" applyBorder="1" applyAlignment="1" applyProtection="1">
      <alignment horizontal="right"/>
      <protection locked="0"/>
    </xf>
    <xf numFmtId="1" fontId="6" fillId="15" borderId="137" xfId="73" applyNumberFormat="1" applyFont="1" applyFill="1" applyBorder="1" applyAlignment="1" applyProtection="1">
      <alignment horizontal="right"/>
      <protection locked="0"/>
    </xf>
    <xf numFmtId="1" fontId="6" fillId="0" borderId="11" xfId="0" applyNumberFormat="1" applyFont="1" applyBorder="1" applyAlignment="1">
      <alignment horizontal="center" wrapText="1"/>
    </xf>
    <xf numFmtId="1" fontId="6" fillId="0" borderId="7" xfId="113" applyNumberFormat="1" applyFont="1" applyBorder="1" applyAlignment="1" applyProtection="1">
      <alignment horizontal="right" wrapText="1"/>
      <protection hidden="1"/>
    </xf>
    <xf numFmtId="1" fontId="6" fillId="0" borderId="8" xfId="46" applyNumberFormat="1" applyFont="1" applyFill="1" applyBorder="1" applyAlignment="1" applyProtection="1">
      <alignment horizontal="right"/>
    </xf>
    <xf numFmtId="1" fontId="6" fillId="0" borderId="5" xfId="46" applyNumberFormat="1" applyFont="1" applyFill="1" applyBorder="1" applyAlignment="1" applyProtection="1">
      <alignment horizontal="right"/>
    </xf>
    <xf numFmtId="1" fontId="6" fillId="15" borderId="23" xfId="73" applyNumberFormat="1" applyFont="1" applyFill="1" applyBorder="1" applyAlignment="1" applyProtection="1">
      <alignment horizontal="right"/>
      <protection locked="0"/>
    </xf>
    <xf numFmtId="1" fontId="6" fillId="15" borderId="107" xfId="73" applyNumberFormat="1" applyFont="1" applyFill="1" applyBorder="1" applyAlignment="1" applyProtection="1">
      <alignment horizontal="right"/>
      <protection locked="0"/>
    </xf>
    <xf numFmtId="1" fontId="6" fillId="15" borderId="131" xfId="73" applyNumberFormat="1" applyFont="1" applyFill="1" applyBorder="1" applyAlignment="1" applyProtection="1">
      <alignment horizontal="right"/>
      <protection locked="0"/>
    </xf>
    <xf numFmtId="1" fontId="6" fillId="0" borderId="81" xfId="126" applyNumberFormat="1" applyFont="1" applyBorder="1" applyAlignment="1" applyProtection="1">
      <alignment horizontal="center" vertical="center" wrapText="1"/>
      <protection hidden="1"/>
    </xf>
    <xf numFmtId="1" fontId="6" fillId="15" borderId="80" xfId="73" applyNumberFormat="1" applyFont="1" applyFill="1" applyBorder="1" applyAlignment="1" applyProtection="1">
      <alignment horizontal="right"/>
      <protection locked="0"/>
    </xf>
    <xf numFmtId="1" fontId="6" fillId="15" borderId="37" xfId="73" applyNumberFormat="1" applyFont="1" applyFill="1" applyBorder="1" applyAlignment="1" applyProtection="1">
      <alignment horizontal="right"/>
      <protection locked="0"/>
    </xf>
    <xf numFmtId="1" fontId="6" fillId="15" borderId="147" xfId="73" applyNumberFormat="1" applyFont="1" applyFill="1" applyBorder="1" applyAlignment="1" applyProtection="1">
      <alignment horizontal="right"/>
      <protection locked="0"/>
    </xf>
    <xf numFmtId="1" fontId="6" fillId="25" borderId="36" xfId="73" applyNumberFormat="1" applyFont="1" applyFill="1" applyBorder="1" applyAlignment="1" applyProtection="1">
      <alignment horizontal="right"/>
    </xf>
    <xf numFmtId="1" fontId="6" fillId="25" borderId="69" xfId="73" applyNumberFormat="1" applyFont="1" applyFill="1" applyBorder="1" applyAlignment="1" applyProtection="1">
      <alignment horizontal="right"/>
    </xf>
    <xf numFmtId="1" fontId="6" fillId="25" borderId="37" xfId="73" applyNumberFormat="1" applyFont="1" applyFill="1" applyBorder="1" applyAlignment="1" applyProtection="1">
      <alignment horizontal="right"/>
    </xf>
    <xf numFmtId="1" fontId="6" fillId="22" borderId="0" xfId="0" applyNumberFormat="1" applyFont="1" applyFill="1"/>
    <xf numFmtId="1" fontId="6" fillId="0" borderId="1" xfId="130" applyNumberFormat="1" applyFont="1" applyBorder="1" applyAlignment="1" applyProtection="1">
      <alignment horizontal="center" vertical="center" wrapText="1"/>
    </xf>
    <xf numFmtId="1" fontId="6" fillId="23" borderId="0" xfId="130" applyNumberFormat="1" applyFont="1" applyFill="1" applyAlignment="1" applyProtection="1">
      <protection hidden="1"/>
    </xf>
    <xf numFmtId="1" fontId="6" fillId="15" borderId="47" xfId="73" applyNumberFormat="1" applyFont="1" applyFill="1" applyBorder="1" applyAlignment="1" applyProtection="1">
      <alignment horizontal="right"/>
      <protection locked="0"/>
    </xf>
    <xf numFmtId="1" fontId="6" fillId="0" borderId="147" xfId="125" applyNumberFormat="1" applyFont="1" applyBorder="1" applyAlignment="1">
      <alignment horizontal="center" vertical="center" wrapText="1"/>
    </xf>
    <xf numFmtId="1" fontId="6" fillId="0" borderId="84" xfId="125" applyNumberFormat="1" applyFont="1" applyBorder="1" applyAlignment="1">
      <alignment horizontal="center" vertical="center" wrapText="1"/>
    </xf>
    <xf numFmtId="1" fontId="6" fillId="17" borderId="30" xfId="0" applyNumberFormat="1" applyFont="1" applyFill="1" applyBorder="1" applyAlignment="1" applyProtection="1">
      <alignment vertical="center" wrapText="1"/>
      <protection hidden="1"/>
    </xf>
    <xf numFmtId="1" fontId="6" fillId="17" borderId="35" xfId="0" applyNumberFormat="1" applyFont="1" applyFill="1" applyBorder="1" applyAlignment="1" applyProtection="1">
      <alignment vertical="center" wrapText="1"/>
      <protection hidden="1"/>
    </xf>
    <xf numFmtId="1" fontId="30" fillId="0" borderId="9" xfId="0" applyNumberFormat="1" applyFont="1" applyBorder="1" applyAlignment="1" applyProtection="1">
      <alignment horizontal="left"/>
      <protection hidden="1"/>
    </xf>
    <xf numFmtId="1" fontId="30" fillId="0" borderId="0" xfId="0" quotePrefix="1" applyNumberFormat="1" applyFont="1" applyAlignment="1" applyProtection="1">
      <alignment horizontal="left"/>
      <protection hidden="1"/>
    </xf>
    <xf numFmtId="1" fontId="30" fillId="0" borderId="35" xfId="0" applyNumberFormat="1" applyFont="1" applyBorder="1" applyAlignment="1" applyProtection="1">
      <alignment horizontal="left" wrapText="1"/>
      <protection hidden="1"/>
    </xf>
    <xf numFmtId="1" fontId="30" fillId="0" borderId="7" xfId="0" applyNumberFormat="1" applyFont="1" applyBorder="1" applyAlignment="1">
      <alignment horizontal="center" vertical="center" wrapText="1"/>
    </xf>
    <xf numFmtId="1" fontId="30" fillId="0" borderId="8" xfId="0" quotePrefix="1" applyNumberFormat="1" applyFont="1" applyBorder="1" applyAlignment="1">
      <alignment horizontal="center" vertical="center"/>
    </xf>
    <xf numFmtId="1" fontId="30" fillId="0" borderId="8" xfId="0" applyNumberFormat="1" applyFont="1" applyBorder="1" applyAlignment="1">
      <alignment horizontal="center" vertical="center"/>
    </xf>
    <xf numFmtId="1" fontId="30" fillId="0" borderId="73" xfId="0" applyNumberFormat="1" applyFont="1" applyBorder="1" applyAlignment="1" applyProtection="1">
      <alignment horizontal="left"/>
      <protection hidden="1"/>
    </xf>
    <xf numFmtId="1" fontId="30" fillId="0" borderId="125" xfId="0" quotePrefix="1" applyNumberFormat="1" applyFont="1" applyBorder="1" applyAlignment="1" applyProtection="1">
      <alignment horizontal="left"/>
      <protection hidden="1"/>
    </xf>
    <xf numFmtId="1" fontId="6" fillId="0" borderId="81" xfId="0" applyNumberFormat="1" applyFont="1" applyBorder="1" applyAlignment="1">
      <alignment horizontal="center" vertical="center" wrapText="1"/>
    </xf>
    <xf numFmtId="1" fontId="10" fillId="21" borderId="0" xfId="0" applyNumberFormat="1" applyFont="1" applyFill="1"/>
    <xf numFmtId="1" fontId="10" fillId="22" borderId="0" xfId="0" applyNumberFormat="1" applyFont="1" applyFill="1"/>
    <xf numFmtId="1" fontId="6" fillId="22" borderId="0" xfId="0" applyNumberFormat="1" applyFont="1" applyFill="1" applyAlignment="1">
      <alignment horizontal="center" vertical="center"/>
    </xf>
    <xf numFmtId="1" fontId="6" fillId="22" borderId="0" xfId="0" applyNumberFormat="1" applyFont="1" applyFill="1" applyProtection="1">
      <protection hidden="1"/>
    </xf>
    <xf numFmtId="1" fontId="6" fillId="21" borderId="0" xfId="126" applyNumberFormat="1" applyFont="1" applyFill="1"/>
    <xf numFmtId="1" fontId="6" fillId="21" borderId="0" xfId="126" quotePrefix="1" applyNumberFormat="1" applyFont="1" applyFill="1" applyAlignment="1" applyProtection="1">
      <alignment horizontal="center" vertical="center"/>
      <protection hidden="1"/>
    </xf>
    <xf numFmtId="1" fontId="6" fillId="21" borderId="0" xfId="126" quotePrefix="1" applyNumberFormat="1" applyFont="1" applyFill="1" applyAlignment="1">
      <alignment horizontal="center" vertical="center"/>
    </xf>
    <xf numFmtId="1" fontId="6" fillId="21" borderId="0" xfId="126" applyNumberFormat="1" applyFont="1" applyFill="1" applyAlignment="1" applyProtection="1">
      <alignment horizontal="center" vertical="center"/>
      <protection hidden="1"/>
    </xf>
    <xf numFmtId="1" fontId="6" fillId="21" borderId="0" xfId="0" applyNumberFormat="1" applyFont="1" applyFill="1" applyProtection="1">
      <protection hidden="1"/>
    </xf>
    <xf numFmtId="1" fontId="6" fillId="21" borderId="0" xfId="130" applyNumberFormat="1" applyFont="1" applyFill="1" applyBorder="1" applyAlignment="1" applyProtection="1">
      <protection hidden="1"/>
    </xf>
    <xf numFmtId="1" fontId="6" fillId="21" borderId="0" xfId="130" applyNumberFormat="1" applyFont="1" applyFill="1" applyAlignment="1" applyProtection="1">
      <protection hidden="1"/>
    </xf>
    <xf numFmtId="1" fontId="6" fillId="21" borderId="0" xfId="130" applyNumberFormat="1" applyFont="1" applyFill="1" applyAlignment="1" applyProtection="1">
      <alignment horizontal="center" vertical="center"/>
      <protection hidden="1"/>
    </xf>
    <xf numFmtId="1" fontId="6" fillId="21" borderId="0" xfId="0" applyNumberFormat="1" applyFont="1" applyFill="1" applyAlignment="1" applyProtection="1">
      <alignment horizontal="center" vertical="center" wrapText="1"/>
      <protection hidden="1"/>
    </xf>
    <xf numFmtId="1" fontId="6" fillId="21" borderId="0" xfId="130" applyNumberFormat="1" applyFont="1" applyFill="1" applyAlignment="1" applyProtection="1"/>
    <xf numFmtId="1" fontId="6" fillId="21" borderId="0" xfId="0" applyNumberFormat="1" applyFont="1" applyFill="1" applyAlignment="1">
      <alignment horizontal="center" vertical="center" wrapText="1"/>
    </xf>
    <xf numFmtId="1" fontId="6" fillId="21" borderId="0" xfId="109" applyNumberFormat="1" applyFont="1" applyFill="1" applyAlignment="1">
      <alignment horizontal="center" vertical="center" wrapText="1"/>
    </xf>
    <xf numFmtId="1" fontId="6" fillId="0" borderId="0" xfId="0" applyNumberFormat="1" applyFont="1" applyAlignment="1">
      <alignment vertical="center" wrapText="1"/>
    </xf>
    <xf numFmtId="1" fontId="6" fillId="22" borderId="0" xfId="130" applyNumberFormat="1" applyFont="1" applyFill="1" applyAlignment="1" applyProtection="1">
      <protection hidden="1"/>
    </xf>
    <xf numFmtId="1" fontId="6" fillId="29" borderId="0" xfId="130" applyNumberFormat="1" applyFont="1" applyFill="1" applyAlignment="1" applyProtection="1">
      <alignment horizontal="center" vertical="center"/>
      <protection hidden="1"/>
    </xf>
    <xf numFmtId="1" fontId="6" fillId="29" borderId="0" xfId="130" applyNumberFormat="1" applyFont="1" applyFill="1" applyAlignment="1" applyProtection="1">
      <protection hidden="1"/>
    </xf>
    <xf numFmtId="1" fontId="6" fillId="29" borderId="0" xfId="0" applyNumberFormat="1" applyFont="1" applyFill="1" applyAlignment="1" applyProtection="1">
      <alignment horizontal="center" vertical="center" wrapText="1"/>
      <protection hidden="1"/>
    </xf>
    <xf numFmtId="1" fontId="6" fillId="29" borderId="0" xfId="130" applyNumberFormat="1" applyFont="1" applyFill="1" applyBorder="1" applyAlignment="1" applyProtection="1">
      <protection hidden="1"/>
    </xf>
    <xf numFmtId="1" fontId="6" fillId="29" borderId="0" xfId="0" applyNumberFormat="1" applyFont="1" applyFill="1" applyProtection="1">
      <protection hidden="1"/>
    </xf>
    <xf numFmtId="1" fontId="10" fillId="22" borderId="0" xfId="130" applyNumberFormat="1" applyFont="1" applyFill="1" applyAlignment="1" applyProtection="1">
      <alignment horizontal="center"/>
      <protection hidden="1"/>
    </xf>
    <xf numFmtId="1" fontId="6" fillId="22" borderId="0" xfId="130" applyNumberFormat="1" applyFont="1" applyFill="1" applyAlignment="1" applyProtection="1">
      <alignment horizontal="center" vertical="center"/>
      <protection hidden="1"/>
    </xf>
    <xf numFmtId="1" fontId="6" fillId="22" borderId="0" xfId="0" applyNumberFormat="1" applyFont="1" applyFill="1" applyAlignment="1" applyProtection="1">
      <alignment horizontal="center" vertical="center" wrapText="1"/>
      <protection hidden="1"/>
    </xf>
    <xf numFmtId="1" fontId="6" fillId="22" borderId="0" xfId="130" applyNumberFormat="1" applyFont="1" applyFill="1" applyBorder="1" applyAlignment="1" applyProtection="1">
      <protection hidden="1"/>
    </xf>
    <xf numFmtId="1" fontId="6" fillId="21" borderId="0" xfId="109" applyNumberFormat="1" applyFont="1" applyFill="1" applyAlignment="1">
      <alignment vertical="center" wrapText="1"/>
    </xf>
    <xf numFmtId="1" fontId="6" fillId="22" borderId="0" xfId="109" applyNumberFormat="1" applyFont="1" applyFill="1" applyAlignment="1">
      <alignment vertical="center" wrapText="1"/>
    </xf>
    <xf numFmtId="1" fontId="6" fillId="0" borderId="64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1" fontId="6" fillId="0" borderId="100" xfId="125" applyNumberFormat="1" applyFont="1" applyBorder="1" applyAlignment="1">
      <alignment horizontal="center" vertical="center" wrapText="1"/>
    </xf>
    <xf numFmtId="1" fontId="6" fillId="0" borderId="99" xfId="125" applyNumberFormat="1" applyFont="1" applyBorder="1" applyAlignment="1">
      <alignment horizontal="center" vertical="center" wrapText="1"/>
    </xf>
    <xf numFmtId="1" fontId="6" fillId="0" borderId="82" xfId="125" applyNumberFormat="1" applyFont="1" applyBorder="1" applyAlignment="1">
      <alignment horizontal="center" vertical="center" wrapText="1"/>
    </xf>
    <xf numFmtId="1" fontId="6" fillId="0" borderId="64" xfId="125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 applyProtection="1">
      <alignment horizontal="center" vertical="center" wrapText="1"/>
      <protection hidden="1"/>
    </xf>
    <xf numFmtId="1" fontId="6" fillId="17" borderId="11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64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 applyProtection="1">
      <alignment horizontal="center" vertical="center" wrapText="1"/>
      <protection hidden="1"/>
    </xf>
    <xf numFmtId="1" fontId="6" fillId="0" borderId="64" xfId="127" applyNumberFormat="1" applyFont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>
      <alignment horizontal="center" vertical="center"/>
    </xf>
    <xf numFmtId="1" fontId="6" fillId="0" borderId="75" xfId="129" applyNumberFormat="1" applyFont="1" applyBorder="1" applyAlignment="1" applyProtection="1">
      <alignment vertical="center" wrapText="1"/>
      <protection hidden="1"/>
    </xf>
    <xf numFmtId="1" fontId="6" fillId="0" borderId="35" xfId="129" applyNumberFormat="1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>
      <alignment horizontal="center" vertical="center" wrapText="1"/>
    </xf>
    <xf numFmtId="1" fontId="6" fillId="0" borderId="93" xfId="126" applyNumberFormat="1" applyFont="1" applyBorder="1" applyAlignment="1" applyProtection="1">
      <alignment horizontal="center" vertical="center" wrapText="1"/>
      <protection hidden="1"/>
    </xf>
    <xf numFmtId="1" fontId="6" fillId="0" borderId="63" xfId="126" applyNumberFormat="1" applyFont="1" applyBorder="1" applyAlignment="1" applyProtection="1">
      <alignment horizontal="center" vertical="center" wrapText="1"/>
      <protection hidden="1"/>
    </xf>
    <xf numFmtId="1" fontId="6" fillId="0" borderId="64" xfId="126" applyNumberFormat="1" applyFont="1" applyBorder="1" applyAlignment="1" applyProtection="1">
      <alignment horizontal="center" vertical="center" wrapText="1"/>
      <protection hidden="1"/>
    </xf>
    <xf numFmtId="1" fontId="6" fillId="22" borderId="0" xfId="109" applyNumberFormat="1" applyFont="1" applyFill="1" applyAlignment="1">
      <alignment horizontal="center" vertical="center" wrapText="1"/>
    </xf>
    <xf numFmtId="1" fontId="6" fillId="22" borderId="66" xfId="125" applyNumberFormat="1" applyFont="1" applyFill="1" applyBorder="1" applyAlignment="1">
      <alignment horizontal="right"/>
    </xf>
    <xf numFmtId="1" fontId="6" fillId="22" borderId="30" xfId="125" applyNumberFormat="1" applyFont="1" applyFill="1" applyBorder="1" applyAlignment="1">
      <alignment horizontal="right"/>
    </xf>
    <xf numFmtId="1" fontId="6" fillId="22" borderId="76" xfId="125" applyNumberFormat="1" applyFont="1" applyFill="1" applyBorder="1" applyAlignment="1">
      <alignment horizontal="right"/>
    </xf>
    <xf numFmtId="1" fontId="29" fillId="0" borderId="0" xfId="0" applyNumberFormat="1" applyFont="1"/>
    <xf numFmtId="1" fontId="31" fillId="0" borderId="0" xfId="0" applyNumberFormat="1" applyFont="1"/>
    <xf numFmtId="1" fontId="9" fillId="0" borderId="0" xfId="0" applyNumberFormat="1" applyFont="1"/>
    <xf numFmtId="1" fontId="9" fillId="0" borderId="9" xfId="0" applyNumberFormat="1" applyFont="1" applyBorder="1"/>
    <xf numFmtId="1" fontId="6" fillId="0" borderId="0" xfId="0" applyNumberFormat="1" applyFont="1" applyAlignment="1">
      <alignment horizontal="right"/>
    </xf>
    <xf numFmtId="1" fontId="6" fillId="27" borderId="0" xfId="0" applyNumberFormat="1" applyFont="1" applyFill="1"/>
    <xf numFmtId="1" fontId="29" fillId="21" borderId="0" xfId="0" applyNumberFormat="1" applyFont="1" applyFill="1"/>
    <xf numFmtId="1" fontId="6" fillId="0" borderId="81" xfId="0" applyNumberFormat="1" applyFont="1" applyBorder="1" applyAlignment="1">
      <alignment horizontal="center" vertical="center"/>
    </xf>
    <xf numFmtId="1" fontId="29" fillId="22" borderId="0" xfId="0" applyNumberFormat="1" applyFont="1" applyFill="1"/>
    <xf numFmtId="1" fontId="6" fillId="29" borderId="0" xfId="0" applyNumberFormat="1" applyFont="1" applyFill="1"/>
    <xf numFmtId="1" fontId="6" fillId="17" borderId="0" xfId="125" applyNumberFormat="1" applyFont="1" applyFill="1" applyAlignment="1">
      <alignment horizontal="right"/>
    </xf>
    <xf numFmtId="1" fontId="6" fillId="21" borderId="0" xfId="0" applyNumberFormat="1" applyFont="1" applyFill="1"/>
    <xf numFmtId="1" fontId="10" fillId="0" borderId="0" xfId="0" applyNumberFormat="1" applyFont="1" applyAlignment="1">
      <alignment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28" borderId="0" xfId="0" applyNumberFormat="1" applyFont="1" applyFill="1"/>
    <xf numFmtId="1" fontId="6" fillId="0" borderId="9" xfId="0" applyNumberFormat="1" applyFont="1" applyBorder="1" applyAlignment="1">
      <alignment vertical="center" wrapText="1"/>
    </xf>
    <xf numFmtId="1" fontId="6" fillId="21" borderId="0" xfId="0" applyNumberFormat="1" applyFont="1" applyFill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78" xfId="0" applyNumberFormat="1" applyFont="1" applyBorder="1" applyAlignment="1">
      <alignment horizontal="center" vertical="center"/>
    </xf>
    <xf numFmtId="1" fontId="6" fillId="0" borderId="30" xfId="0" applyNumberFormat="1" applyFont="1" applyBorder="1" applyAlignment="1">
      <alignment vertical="center" wrapText="1"/>
    </xf>
    <xf numFmtId="1" fontId="6" fillId="0" borderId="35" xfId="0" applyNumberFormat="1" applyFont="1" applyBorder="1" applyAlignment="1">
      <alignment vertical="center" wrapText="1"/>
    </xf>
    <xf numFmtId="1" fontId="6" fillId="22" borderId="0" xfId="46" applyNumberFormat="1" applyFont="1" applyFill="1" applyBorder="1" applyAlignment="1" applyProtection="1">
      <alignment horizontal="left"/>
    </xf>
    <xf numFmtId="1" fontId="6" fillId="0" borderId="46" xfId="0" applyNumberFormat="1" applyFont="1" applyBorder="1" applyAlignment="1">
      <alignment horizontal="center" vertical="center"/>
    </xf>
    <xf numFmtId="1" fontId="6" fillId="0" borderId="102" xfId="0" applyNumberFormat="1" applyFont="1" applyBorder="1" applyAlignment="1">
      <alignment horizontal="center" vertical="center"/>
    </xf>
    <xf numFmtId="1" fontId="6" fillId="0" borderId="99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left" vertical="center"/>
    </xf>
    <xf numFmtId="1" fontId="6" fillId="0" borderId="39" xfId="0" applyNumberFormat="1" applyFont="1" applyBorder="1" applyAlignment="1">
      <alignment vertical="center" wrapText="1"/>
    </xf>
    <xf numFmtId="1" fontId="6" fillId="0" borderId="11" xfId="0" applyNumberFormat="1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78" xfId="0" applyFont="1" applyBorder="1" applyAlignment="1">
      <alignment horizontal="center" vertical="center"/>
    </xf>
    <xf numFmtId="0" fontId="30" fillId="0" borderId="64" xfId="0" applyFont="1" applyBorder="1" applyAlignment="1">
      <alignment horizontal="center" vertical="center"/>
    </xf>
    <xf numFmtId="1" fontId="6" fillId="13" borderId="1" xfId="0" applyNumberFormat="1" applyFont="1" applyFill="1" applyBorder="1"/>
    <xf numFmtId="1" fontId="6" fillId="22" borderId="1" xfId="0" applyNumberFormat="1" applyFont="1" applyFill="1" applyBorder="1" applyAlignment="1">
      <alignment horizontal="center" wrapText="1"/>
    </xf>
    <xf numFmtId="1" fontId="6" fillId="22" borderId="62" xfId="0" applyNumberFormat="1" applyFont="1" applyFill="1" applyBorder="1" applyAlignment="1">
      <alignment horizontal="center" wrapText="1"/>
    </xf>
    <xf numFmtId="1" fontId="6" fillId="22" borderId="64" xfId="0" applyNumberFormat="1" applyFont="1" applyFill="1" applyBorder="1" applyAlignment="1">
      <alignment horizontal="center" wrapText="1"/>
    </xf>
    <xf numFmtId="1" fontId="6" fillId="22" borderId="34" xfId="0" applyNumberFormat="1" applyFont="1" applyFill="1" applyBorder="1" applyAlignment="1">
      <alignment horizontal="right" wrapText="1"/>
    </xf>
    <xf numFmtId="1" fontId="6" fillId="22" borderId="91" xfId="0" applyNumberFormat="1" applyFont="1" applyFill="1" applyBorder="1" applyAlignment="1">
      <alignment horizontal="right" wrapText="1"/>
    </xf>
    <xf numFmtId="1" fontId="6" fillId="22" borderId="75" xfId="0" applyNumberFormat="1" applyFont="1" applyFill="1" applyBorder="1" applyAlignment="1">
      <alignment horizontal="right" wrapText="1"/>
    </xf>
    <xf numFmtId="1" fontId="6" fillId="22" borderId="39" xfId="0" applyNumberFormat="1" applyFont="1" applyFill="1" applyBorder="1" applyAlignment="1">
      <alignment horizontal="right" wrapText="1"/>
    </xf>
    <xf numFmtId="1" fontId="6" fillId="22" borderId="68" xfId="0" applyNumberFormat="1" applyFont="1" applyFill="1" applyBorder="1" applyAlignment="1">
      <alignment horizontal="right" wrapText="1"/>
    </xf>
    <xf numFmtId="1" fontId="6" fillId="22" borderId="35" xfId="0" applyNumberFormat="1" applyFont="1" applyFill="1" applyBorder="1" applyAlignment="1">
      <alignment horizontal="right" wrapText="1"/>
    </xf>
    <xf numFmtId="1" fontId="6" fillId="22" borderId="58" xfId="0" applyNumberFormat="1" applyFont="1" applyFill="1" applyBorder="1" applyAlignment="1">
      <alignment horizontal="right" wrapText="1"/>
    </xf>
    <xf numFmtId="1" fontId="6" fillId="22" borderId="39" xfId="0" applyNumberFormat="1" applyFont="1" applyFill="1" applyBorder="1" applyAlignment="1">
      <alignment horizontal="right"/>
    </xf>
    <xf numFmtId="1" fontId="6" fillId="22" borderId="124" xfId="0" applyNumberFormat="1" applyFont="1" applyFill="1" applyBorder="1" applyAlignment="1">
      <alignment horizontal="right" wrapText="1"/>
    </xf>
    <xf numFmtId="1" fontId="6" fillId="22" borderId="106" xfId="0" applyNumberFormat="1" applyFont="1" applyFill="1" applyBorder="1" applyAlignment="1">
      <alignment horizontal="right" wrapText="1"/>
    </xf>
    <xf numFmtId="1" fontId="6" fillId="22" borderId="66" xfId="0" applyNumberFormat="1" applyFont="1" applyFill="1" applyBorder="1" applyAlignment="1">
      <alignment horizontal="right" wrapText="1"/>
    </xf>
    <xf numFmtId="1" fontId="10" fillId="22" borderId="0" xfId="0" applyNumberFormat="1" applyFont="1" applyFill="1" applyAlignment="1">
      <alignment horizontal="center" vertical="center" wrapText="1"/>
    </xf>
    <xf numFmtId="1" fontId="6" fillId="22" borderId="35" xfId="0" applyNumberFormat="1" applyFont="1" applyFill="1" applyBorder="1" applyAlignment="1">
      <alignment horizontal="right"/>
    </xf>
    <xf numFmtId="1" fontId="6" fillId="22" borderId="68" xfId="0" applyNumberFormat="1" applyFont="1" applyFill="1" applyBorder="1" applyAlignment="1">
      <alignment horizontal="right"/>
    </xf>
    <xf numFmtId="1" fontId="6" fillId="22" borderId="11" xfId="0" applyNumberFormat="1" applyFont="1" applyFill="1" applyBorder="1" applyAlignment="1">
      <alignment horizontal="right" wrapText="1"/>
    </xf>
    <xf numFmtId="1" fontId="6" fillId="22" borderId="82" xfId="0" applyNumberFormat="1" applyFont="1" applyFill="1" applyBorder="1" applyAlignment="1">
      <alignment horizontal="right" wrapText="1"/>
    </xf>
    <xf numFmtId="1" fontId="6" fillId="22" borderId="29" xfId="0" applyNumberFormat="1" applyFont="1" applyFill="1" applyBorder="1" applyAlignment="1">
      <alignment horizontal="right" wrapText="1"/>
    </xf>
    <xf numFmtId="1" fontId="10" fillId="22" borderId="0" xfId="0" applyNumberFormat="1" applyFont="1" applyFill="1" applyAlignment="1">
      <alignment horizontal="center" wrapText="1"/>
    </xf>
    <xf numFmtId="1" fontId="6" fillId="22" borderId="30" xfId="0" applyNumberFormat="1" applyFont="1" applyFill="1" applyBorder="1" applyAlignment="1">
      <alignment wrapText="1"/>
    </xf>
    <xf numFmtId="1" fontId="30" fillId="22" borderId="0" xfId="0" applyNumberFormat="1" applyFont="1" applyFill="1"/>
    <xf numFmtId="1" fontId="6" fillId="22" borderId="76" xfId="0" applyNumberFormat="1" applyFont="1" applyFill="1" applyBorder="1" applyAlignment="1">
      <alignment wrapText="1"/>
    </xf>
    <xf numFmtId="1" fontId="6" fillId="22" borderId="11" xfId="0" applyNumberFormat="1" applyFont="1" applyFill="1" applyBorder="1" applyAlignment="1">
      <alignment wrapText="1"/>
    </xf>
    <xf numFmtId="1" fontId="6" fillId="22" borderId="75" xfId="0" applyNumberFormat="1" applyFont="1" applyFill="1" applyBorder="1" applyAlignment="1">
      <alignment wrapText="1"/>
    </xf>
    <xf numFmtId="1" fontId="30" fillId="29" borderId="0" xfId="0" applyNumberFormat="1" applyFont="1" applyFill="1"/>
    <xf numFmtId="1" fontId="9" fillId="0" borderId="0" xfId="0" applyNumberFormat="1" applyFont="1" applyAlignment="1">
      <alignment horizontal="right"/>
    </xf>
    <xf numFmtId="1" fontId="10" fillId="0" borderId="0" xfId="0" applyNumberFormat="1" applyFont="1" applyAlignment="1" applyProtection="1">
      <alignment vertical="center" wrapText="1"/>
      <protection hidden="1"/>
    </xf>
    <xf numFmtId="1" fontId="32" fillId="0" borderId="6" xfId="0" applyNumberFormat="1" applyFont="1" applyBorder="1" applyProtection="1">
      <protection hidden="1"/>
    </xf>
    <xf numFmtId="1" fontId="10" fillId="0" borderId="6" xfId="0" applyNumberFormat="1" applyFont="1" applyBorder="1" applyProtection="1">
      <protection hidden="1"/>
    </xf>
    <xf numFmtId="1" fontId="6" fillId="21" borderId="0" xfId="0" applyNumberFormat="1" applyFont="1" applyFill="1" applyAlignment="1">
      <alignment horizontal="center" vertical="center"/>
    </xf>
    <xf numFmtId="1" fontId="6" fillId="29" borderId="0" xfId="0" applyNumberFormat="1" applyFont="1" applyFill="1" applyAlignment="1">
      <alignment horizontal="center" vertical="center" wrapText="1"/>
    </xf>
    <xf numFmtId="1" fontId="6" fillId="28" borderId="4" xfId="0" applyNumberFormat="1" applyFont="1" applyFill="1" applyBorder="1"/>
    <xf numFmtId="1" fontId="6" fillId="28" borderId="49" xfId="0" applyNumberFormat="1" applyFont="1" applyFill="1" applyBorder="1"/>
    <xf numFmtId="1" fontId="6" fillId="28" borderId="97" xfId="0" applyNumberFormat="1" applyFont="1" applyFill="1" applyBorder="1"/>
    <xf numFmtId="1" fontId="6" fillId="28" borderId="6" xfId="0" applyNumberFormat="1" applyFont="1" applyFill="1" applyBorder="1"/>
    <xf numFmtId="1" fontId="6" fillId="28" borderId="29" xfId="0" applyNumberFormat="1" applyFont="1" applyFill="1" applyBorder="1"/>
    <xf numFmtId="1" fontId="34" fillId="28" borderId="0" xfId="0" applyNumberFormat="1" applyFont="1" applyFill="1"/>
    <xf numFmtId="1" fontId="10" fillId="0" borderId="0" xfId="0" applyNumberFormat="1" applyFont="1" applyProtection="1">
      <protection hidden="1"/>
    </xf>
    <xf numFmtId="1" fontId="10" fillId="0" borderId="4" xfId="0" applyNumberFormat="1" applyFont="1" applyBorder="1" applyProtection="1">
      <protection hidden="1"/>
    </xf>
    <xf numFmtId="1" fontId="14" fillId="0" borderId="65" xfId="0" applyNumberFormat="1" applyFont="1" applyBorder="1" applyProtection="1">
      <protection hidden="1"/>
    </xf>
    <xf numFmtId="1" fontId="14" fillId="0" borderId="71" xfId="0" applyNumberFormat="1" applyFont="1" applyBorder="1" applyProtection="1">
      <protection hidden="1"/>
    </xf>
    <xf numFmtId="1" fontId="33" fillId="0" borderId="6" xfId="0" applyNumberFormat="1" applyFont="1" applyBorder="1" applyProtection="1">
      <protection hidden="1"/>
    </xf>
    <xf numFmtId="1" fontId="14" fillId="0" borderId="79" xfId="0" applyNumberFormat="1" applyFont="1" applyBorder="1" applyProtection="1">
      <protection hidden="1"/>
    </xf>
    <xf numFmtId="1" fontId="10" fillId="17" borderId="0" xfId="125" applyNumberFormat="1" applyFont="1" applyFill="1" applyAlignment="1">
      <alignment vertical="center" wrapText="1"/>
    </xf>
    <xf numFmtId="1" fontId="10" fillId="21" borderId="0" xfId="125" applyNumberFormat="1" applyFont="1" applyFill="1" applyAlignment="1">
      <alignment vertical="center" wrapText="1"/>
    </xf>
    <xf numFmtId="1" fontId="10" fillId="17" borderId="0" xfId="125" quotePrefix="1" applyNumberFormat="1" applyFont="1" applyFill="1"/>
    <xf numFmtId="1" fontId="10" fillId="17" borderId="0" xfId="0" applyNumberFormat="1" applyFont="1" applyFill="1" applyAlignment="1">
      <alignment vertical="center"/>
    </xf>
    <xf numFmtId="1" fontId="6" fillId="21" borderId="0" xfId="125" quotePrefix="1" applyNumberFormat="1" applyFont="1" applyFill="1" applyAlignment="1">
      <alignment vertical="center" wrapText="1"/>
    </xf>
    <xf numFmtId="1" fontId="6" fillId="21" borderId="0" xfId="125" quotePrefix="1" applyNumberFormat="1" applyFont="1" applyFill="1" applyAlignment="1">
      <alignment horizontal="center" vertical="center" wrapText="1"/>
    </xf>
    <xf numFmtId="1" fontId="6" fillId="21" borderId="0" xfId="125" applyNumberFormat="1" applyFont="1" applyFill="1" applyAlignment="1">
      <alignment vertical="center" wrapText="1"/>
    </xf>
    <xf numFmtId="1" fontId="6" fillId="21" borderId="0" xfId="125" applyNumberFormat="1" applyFont="1" applyFill="1" applyAlignment="1">
      <alignment horizontal="center" vertical="center" wrapText="1"/>
    </xf>
    <xf numFmtId="1" fontId="6" fillId="21" borderId="0" xfId="125" applyNumberFormat="1" applyFont="1" applyFill="1"/>
    <xf numFmtId="1" fontId="10" fillId="17" borderId="6" xfId="125" quotePrefix="1" applyNumberFormat="1" applyFont="1" applyFill="1" applyBorder="1"/>
    <xf numFmtId="1" fontId="10" fillId="0" borderId="4" xfId="125" quotePrefix="1" applyNumberFormat="1" applyFont="1" applyBorder="1"/>
    <xf numFmtId="1" fontId="10" fillId="0" borderId="0" xfId="125" quotePrefix="1" applyNumberFormat="1" applyFont="1"/>
    <xf numFmtId="1" fontId="6" fillId="29" borderId="0" xfId="125" applyNumberFormat="1" applyFont="1" applyFill="1" applyAlignment="1">
      <alignment horizontal="center" vertical="center" wrapText="1"/>
    </xf>
    <xf numFmtId="1" fontId="10" fillId="0" borderId="6" xfId="125" quotePrefix="1" applyNumberFormat="1" applyFont="1" applyBorder="1"/>
    <xf numFmtId="1" fontId="14" fillId="17" borderId="0" xfId="125" quotePrefix="1" applyNumberFormat="1" applyFont="1" applyFill="1"/>
    <xf numFmtId="1" fontId="14" fillId="17" borderId="6" xfId="125" quotePrefix="1" applyNumberFormat="1" applyFont="1" applyFill="1" applyBorder="1"/>
    <xf numFmtId="1" fontId="14" fillId="0" borderId="4" xfId="125" quotePrefix="1" applyNumberFormat="1" applyFont="1" applyBorder="1"/>
    <xf numFmtId="1" fontId="14" fillId="0" borderId="6" xfId="125" quotePrefix="1" applyNumberFormat="1" applyFont="1" applyBorder="1"/>
    <xf numFmtId="1" fontId="10" fillId="0" borderId="6" xfId="126" applyNumberFormat="1" applyFont="1" applyBorder="1"/>
    <xf numFmtId="1" fontId="14" fillId="0" borderId="6" xfId="126" applyNumberFormat="1" applyFont="1" applyBorder="1"/>
    <xf numFmtId="1" fontId="10" fillId="0" borderId="0" xfId="126" applyNumberFormat="1" applyFont="1" applyProtection="1">
      <protection hidden="1"/>
    </xf>
    <xf numFmtId="1" fontId="6" fillId="0" borderId="0" xfId="0" applyNumberFormat="1" applyFont="1" applyAlignment="1">
      <alignment vertical="center"/>
    </xf>
    <xf numFmtId="1" fontId="6" fillId="0" borderId="6" xfId="126" applyNumberFormat="1" applyFont="1" applyBorder="1" applyAlignment="1" applyProtection="1">
      <alignment horizontal="right" vertical="center"/>
      <protection hidden="1"/>
    </xf>
    <xf numFmtId="1" fontId="10" fillId="0" borderId="6" xfId="126" applyNumberFormat="1" applyFont="1" applyBorder="1" applyProtection="1">
      <protection hidden="1"/>
    </xf>
    <xf numFmtId="1" fontId="6" fillId="29" borderId="0" xfId="126" quotePrefix="1" applyNumberFormat="1" applyFont="1" applyFill="1" applyAlignment="1" applyProtection="1">
      <alignment horizontal="center" vertical="center"/>
      <protection hidden="1"/>
    </xf>
    <xf numFmtId="1" fontId="6" fillId="29" borderId="0" xfId="126" quotePrefix="1" applyNumberFormat="1" applyFont="1" applyFill="1" applyAlignment="1">
      <alignment horizontal="center" vertical="center"/>
    </xf>
    <xf numFmtId="1" fontId="6" fillId="29" borderId="0" xfId="109" applyNumberFormat="1" applyFont="1" applyFill="1" applyAlignment="1">
      <alignment horizontal="center" vertical="center" wrapText="1"/>
    </xf>
    <xf numFmtId="1" fontId="6" fillId="29" borderId="0" xfId="126" applyNumberFormat="1" applyFont="1" applyFill="1" applyAlignment="1" applyProtection="1">
      <alignment horizontal="center" vertical="center"/>
      <protection hidden="1"/>
    </xf>
    <xf numFmtId="1" fontId="6" fillId="28" borderId="0" xfId="0" quotePrefix="1" applyNumberFormat="1" applyFont="1" applyFill="1"/>
    <xf numFmtId="1" fontId="14" fillId="0" borderId="0" xfId="126" applyNumberFormat="1" applyFont="1" applyProtection="1">
      <protection hidden="1"/>
    </xf>
    <xf numFmtId="1" fontId="10" fillId="0" borderId="0" xfId="127" applyNumberFormat="1" applyFont="1" applyAlignment="1" applyProtection="1">
      <alignment vertical="center" wrapText="1"/>
      <protection hidden="1"/>
    </xf>
    <xf numFmtId="1" fontId="10" fillId="0" borderId="6" xfId="127" applyNumberFormat="1" applyFont="1" applyBorder="1" applyProtection="1">
      <protection hidden="1"/>
    </xf>
    <xf numFmtId="1" fontId="10" fillId="0" borderId="93" xfId="127" applyNumberFormat="1" applyFont="1" applyBorder="1" applyProtection="1">
      <protection hidden="1"/>
    </xf>
    <xf numFmtId="1" fontId="14" fillId="0" borderId="6" xfId="127" applyNumberFormat="1" applyFont="1" applyBorder="1" applyProtection="1">
      <protection hidden="1"/>
    </xf>
    <xf numFmtId="1" fontId="10" fillId="0" borderId="0" xfId="126" applyNumberFormat="1" applyFont="1" applyAlignment="1" applyProtection="1">
      <alignment horizontal="center" vertical="center"/>
      <protection hidden="1"/>
    </xf>
    <xf numFmtId="1" fontId="6" fillId="21" borderId="0" xfId="126" applyNumberFormat="1" applyFont="1" applyFill="1" applyProtection="1">
      <protection hidden="1"/>
    </xf>
    <xf numFmtId="1" fontId="6" fillId="29" borderId="0" xfId="126" applyNumberFormat="1" applyFont="1" applyFill="1" applyProtection="1">
      <protection hidden="1"/>
    </xf>
    <xf numFmtId="1" fontId="6" fillId="22" borderId="49" xfId="0" applyNumberFormat="1" applyFont="1" applyFill="1" applyBorder="1" applyAlignment="1">
      <alignment horizontal="center" vertical="center"/>
    </xf>
    <xf numFmtId="1" fontId="14" fillId="0" borderId="6" xfId="126" applyNumberFormat="1" applyFont="1" applyBorder="1" applyProtection="1">
      <protection hidden="1"/>
    </xf>
    <xf numFmtId="1" fontId="10" fillId="0" borderId="6" xfId="0" applyNumberFormat="1" applyFont="1" applyBorder="1"/>
    <xf numFmtId="1" fontId="10" fillId="22" borderId="6" xfId="0" applyNumberFormat="1" applyFont="1" applyFill="1" applyBorder="1"/>
    <xf numFmtId="1" fontId="14" fillId="0" borderId="6" xfId="0" applyNumberFormat="1" applyFont="1" applyBorder="1"/>
    <xf numFmtId="1" fontId="14" fillId="22" borderId="6" xfId="0" applyNumberFormat="1" applyFont="1" applyFill="1" applyBorder="1"/>
    <xf numFmtId="1" fontId="10" fillId="22" borderId="0" xfId="126" applyNumberFormat="1" applyFont="1" applyFill="1" applyAlignment="1">
      <alignment vertical="center"/>
    </xf>
    <xf numFmtId="1" fontId="6" fillId="17" borderId="0" xfId="109" applyNumberFormat="1" applyFont="1" applyFill="1"/>
    <xf numFmtId="1" fontId="10" fillId="17" borderId="79" xfId="109" applyNumberFormat="1" applyFont="1" applyFill="1" applyBorder="1"/>
    <xf numFmtId="1" fontId="6" fillId="27" borderId="0" xfId="0" applyNumberFormat="1" applyFont="1" applyFill="1" applyProtection="1">
      <protection hidden="1"/>
    </xf>
    <xf numFmtId="1" fontId="6" fillId="28" borderId="0" xfId="0" applyNumberFormat="1" applyFont="1" applyFill="1" applyProtection="1">
      <protection hidden="1"/>
    </xf>
    <xf numFmtId="1" fontId="14" fillId="17" borderId="0" xfId="127" applyNumberFormat="1" applyFont="1" applyFill="1" applyAlignment="1" applyProtection="1">
      <alignment horizontal="left"/>
      <protection hidden="1"/>
    </xf>
    <xf numFmtId="1" fontId="10" fillId="0" borderId="0" xfId="130" applyNumberFormat="1" applyFont="1" applyBorder="1" applyAlignment="1" applyProtection="1">
      <alignment horizontal="center" vertical="center"/>
      <protection hidden="1"/>
    </xf>
    <xf numFmtId="1" fontId="10" fillId="22" borderId="0" xfId="130" applyNumberFormat="1" applyFont="1" applyFill="1" applyBorder="1" applyAlignment="1" applyProtection="1">
      <alignment horizontal="center" vertical="center"/>
      <protection hidden="1"/>
    </xf>
    <xf numFmtId="1" fontId="10" fillId="21" borderId="0" xfId="130" applyNumberFormat="1" applyFont="1" applyFill="1" applyBorder="1" applyAlignment="1" applyProtection="1">
      <alignment horizontal="center" vertical="center"/>
      <protection hidden="1"/>
    </xf>
    <xf numFmtId="1" fontId="10" fillId="0" borderId="0" xfId="130" applyNumberFormat="1" applyFont="1" applyBorder="1" applyAlignment="1" applyProtection="1">
      <alignment wrapText="1"/>
    </xf>
    <xf numFmtId="1" fontId="10" fillId="22" borderId="0" xfId="130" applyNumberFormat="1" applyFont="1" applyFill="1" applyBorder="1" applyAlignment="1" applyProtection="1">
      <alignment wrapText="1"/>
    </xf>
    <xf numFmtId="1" fontId="10" fillId="21" borderId="0" xfId="130" applyNumberFormat="1" applyFont="1" applyFill="1" applyBorder="1" applyAlignment="1" applyProtection="1">
      <alignment wrapText="1"/>
    </xf>
    <xf numFmtId="1" fontId="10" fillId="29" borderId="0" xfId="130" applyNumberFormat="1" applyFont="1" applyFill="1" applyBorder="1" applyAlignment="1" applyProtection="1">
      <alignment wrapText="1"/>
    </xf>
    <xf numFmtId="1" fontId="14" fillId="0" borderId="0" xfId="130" applyNumberFormat="1" applyFont="1" applyAlignment="1" applyProtection="1"/>
    <xf numFmtId="1" fontId="14" fillId="0" borderId="6" xfId="130" applyNumberFormat="1" applyFont="1" applyBorder="1" applyAlignment="1" applyProtection="1">
      <alignment horizontal="left"/>
    </xf>
    <xf numFmtId="1" fontId="6" fillId="0" borderId="1" xfId="126" applyNumberFormat="1" applyFont="1" applyBorder="1" applyAlignment="1" applyProtection="1">
      <alignment horizontal="right" wrapText="1"/>
      <protection hidden="1"/>
    </xf>
    <xf numFmtId="1" fontId="6" fillId="0" borderId="7" xfId="126" applyNumberFormat="1" applyFont="1" applyBorder="1" applyAlignment="1" applyProtection="1">
      <alignment horizontal="right" wrapText="1"/>
      <protection hidden="1"/>
    </xf>
    <xf numFmtId="1" fontId="6" fillId="0" borderId="64" xfId="126" applyNumberFormat="1" applyFont="1" applyBorder="1" applyAlignment="1" applyProtection="1">
      <alignment horizontal="right" wrapText="1"/>
      <protection hidden="1"/>
    </xf>
    <xf numFmtId="1" fontId="6" fillId="0" borderId="62" xfId="126" applyNumberFormat="1" applyFont="1" applyBorder="1" applyAlignment="1" applyProtection="1">
      <alignment horizontal="right" wrapText="1"/>
      <protection hidden="1"/>
    </xf>
    <xf numFmtId="1" fontId="6" fillId="0" borderId="75" xfId="126" applyNumberFormat="1" applyFont="1" applyBorder="1" applyAlignment="1" applyProtection="1">
      <alignment horizontal="right" wrapText="1"/>
      <protection hidden="1"/>
    </xf>
    <xf numFmtId="1" fontId="6" fillId="0" borderId="91" xfId="126" applyNumberFormat="1" applyFont="1" applyBorder="1" applyAlignment="1" applyProtection="1">
      <alignment horizontal="right" wrapText="1"/>
      <protection hidden="1"/>
    </xf>
    <xf numFmtId="1" fontId="6" fillId="0" borderId="34" xfId="126" applyNumberFormat="1" applyFont="1" applyBorder="1" applyAlignment="1" applyProtection="1">
      <alignment horizontal="right" wrapText="1"/>
      <protection hidden="1"/>
    </xf>
    <xf numFmtId="1" fontId="6" fillId="0" borderId="55" xfId="126" applyNumberFormat="1" applyFont="1" applyBorder="1" applyAlignment="1" applyProtection="1">
      <alignment horizontal="right" wrapText="1"/>
      <protection hidden="1"/>
    </xf>
    <xf numFmtId="1" fontId="6" fillId="0" borderId="27" xfId="126" applyNumberFormat="1" applyFont="1" applyBorder="1" applyAlignment="1" applyProtection="1">
      <alignment horizontal="right" wrapText="1"/>
      <protection hidden="1"/>
    </xf>
    <xf numFmtId="1" fontId="6" fillId="0" borderId="35" xfId="126" applyNumberFormat="1" applyFont="1" applyBorder="1" applyAlignment="1" applyProtection="1">
      <alignment horizontal="right" wrapText="1"/>
      <protection hidden="1"/>
    </xf>
    <xf numFmtId="1" fontId="6" fillId="0" borderId="68" xfId="126" applyNumberFormat="1" applyFont="1" applyBorder="1" applyAlignment="1" applyProtection="1">
      <alignment horizontal="right" wrapText="1"/>
      <protection hidden="1"/>
    </xf>
    <xf numFmtId="1" fontId="6" fillId="0" borderId="58" xfId="126" applyNumberFormat="1" applyFont="1" applyBorder="1" applyAlignment="1" applyProtection="1">
      <alignment horizontal="right" wrapText="1"/>
      <protection hidden="1"/>
    </xf>
    <xf numFmtId="1" fontId="6" fillId="0" borderId="39" xfId="126" applyNumberFormat="1" applyFont="1" applyBorder="1" applyAlignment="1" applyProtection="1">
      <alignment horizontal="right" wrapText="1"/>
      <protection hidden="1"/>
    </xf>
    <xf numFmtId="1" fontId="6" fillId="0" borderId="66" xfId="126" applyNumberFormat="1" applyFont="1" applyBorder="1" applyAlignment="1" applyProtection="1">
      <alignment horizontal="right" wrapText="1"/>
      <protection hidden="1"/>
    </xf>
    <xf numFmtId="1" fontId="6" fillId="0" borderId="106" xfId="126" applyNumberFormat="1" applyFont="1" applyBorder="1" applyAlignment="1" applyProtection="1">
      <alignment horizontal="right" wrapText="1"/>
      <protection hidden="1"/>
    </xf>
    <xf numFmtId="1" fontId="6" fillId="0" borderId="124" xfId="126" applyNumberFormat="1" applyFont="1" applyBorder="1" applyAlignment="1" applyProtection="1">
      <alignment horizontal="right" wrapText="1"/>
      <protection hidden="1"/>
    </xf>
    <xf numFmtId="1" fontId="6" fillId="0" borderId="101" xfId="126" applyNumberFormat="1" applyFont="1" applyBorder="1" applyAlignment="1" applyProtection="1">
      <alignment horizontal="right" wrapText="1"/>
      <protection hidden="1"/>
    </xf>
    <xf numFmtId="1" fontId="6" fillId="0" borderId="11" xfId="126" applyNumberFormat="1" applyFont="1" applyBorder="1" applyAlignment="1" applyProtection="1">
      <alignment horizontal="right" wrapText="1"/>
      <protection hidden="1"/>
    </xf>
    <xf numFmtId="1" fontId="6" fillId="0" borderId="82" xfId="126" applyNumberFormat="1" applyFont="1" applyBorder="1" applyAlignment="1" applyProtection="1">
      <alignment horizontal="right" wrapText="1"/>
      <protection hidden="1"/>
    </xf>
    <xf numFmtId="1" fontId="6" fillId="0" borderId="29" xfId="126" applyNumberFormat="1" applyFont="1" applyBorder="1" applyAlignment="1" applyProtection="1">
      <alignment horizontal="right" wrapText="1"/>
      <protection hidden="1"/>
    </xf>
    <xf numFmtId="1" fontId="6" fillId="0" borderId="6" xfId="126" applyNumberFormat="1" applyFont="1" applyBorder="1" applyAlignment="1" applyProtection="1">
      <alignment horizontal="right" wrapText="1"/>
      <protection hidden="1"/>
    </xf>
    <xf numFmtId="1" fontId="6" fillId="0" borderId="146" xfId="126" applyNumberFormat="1" applyFont="1" applyBorder="1" applyAlignment="1" applyProtection="1">
      <alignment horizontal="right" wrapText="1"/>
      <protection hidden="1"/>
    </xf>
    <xf numFmtId="1" fontId="6" fillId="0" borderId="83" xfId="126" applyNumberFormat="1" applyFont="1" applyBorder="1" applyAlignment="1" applyProtection="1">
      <alignment horizontal="right" wrapText="1"/>
      <protection hidden="1"/>
    </xf>
    <xf numFmtId="1" fontId="6" fillId="0" borderId="144" xfId="126" applyNumberFormat="1" applyFont="1" applyBorder="1" applyAlignment="1" applyProtection="1">
      <alignment horizontal="right" wrapText="1"/>
      <protection hidden="1"/>
    </xf>
    <xf numFmtId="1" fontId="6" fillId="0" borderId="45" xfId="126" applyNumberFormat="1" applyFont="1" applyBorder="1" applyAlignment="1" applyProtection="1">
      <alignment horizontal="right" wrapText="1"/>
      <protection hidden="1"/>
    </xf>
    <xf numFmtId="1" fontId="6" fillId="0" borderId="70" xfId="126" applyNumberFormat="1" applyFont="1" applyBorder="1" applyAlignment="1" applyProtection="1">
      <alignment horizontal="right" wrapText="1"/>
      <protection hidden="1"/>
    </xf>
    <xf numFmtId="1" fontId="6" fillId="0" borderId="61" xfId="126" applyNumberFormat="1" applyFont="1" applyBorder="1" applyAlignment="1" applyProtection="1">
      <alignment horizontal="right" wrapText="1"/>
      <protection hidden="1"/>
    </xf>
    <xf numFmtId="1" fontId="6" fillId="0" borderId="44" xfId="126" applyNumberFormat="1" applyFont="1" applyBorder="1" applyAlignment="1" applyProtection="1">
      <alignment horizontal="right" wrapText="1"/>
      <protection hidden="1"/>
    </xf>
    <xf numFmtId="1" fontId="6" fillId="0" borderId="93" xfId="126" applyNumberFormat="1" applyFont="1" applyBorder="1" applyAlignment="1" applyProtection="1">
      <alignment horizontal="right" wrapText="1"/>
      <protection hidden="1"/>
    </xf>
    <xf numFmtId="1" fontId="6" fillId="0" borderId="63" xfId="126" applyNumberFormat="1" applyFont="1" applyBorder="1" applyAlignment="1" applyProtection="1">
      <alignment horizontal="right" wrapText="1"/>
      <protection hidden="1"/>
    </xf>
    <xf numFmtId="1" fontId="6" fillId="0" borderId="5" xfId="126" applyNumberFormat="1" applyFont="1" applyBorder="1" applyAlignment="1" applyProtection="1">
      <alignment horizontal="right" wrapText="1"/>
      <protection hidden="1"/>
    </xf>
    <xf numFmtId="1" fontId="6" fillId="0" borderId="80" xfId="126" applyNumberFormat="1" applyFont="1" applyBorder="1" applyAlignment="1" applyProtection="1">
      <alignment horizontal="right" wrapText="1"/>
      <protection hidden="1"/>
    </xf>
    <xf numFmtId="1" fontId="6" fillId="0" borderId="78" xfId="126" applyNumberFormat="1" applyFont="1" applyBorder="1" applyAlignment="1" applyProtection="1">
      <alignment horizontal="right" wrapText="1"/>
      <protection hidden="1"/>
    </xf>
    <xf numFmtId="1" fontId="6" fillId="0" borderId="30" xfId="0" applyNumberFormat="1" applyFont="1" applyBorder="1" applyAlignment="1">
      <alignment horizontal="right"/>
    </xf>
    <xf numFmtId="1" fontId="6" fillId="15" borderId="67" xfId="0" applyNumberFormat="1" applyFont="1" applyFill="1" applyBorder="1" applyAlignment="1" applyProtection="1">
      <alignment horizontal="right"/>
      <protection locked="0"/>
    </xf>
    <xf numFmtId="1" fontId="6" fillId="15" borderId="24" xfId="0" applyNumberFormat="1" applyFont="1" applyFill="1" applyBorder="1" applyAlignment="1" applyProtection="1">
      <alignment horizontal="right"/>
      <protection locked="0"/>
    </xf>
    <xf numFmtId="1" fontId="6" fillId="15" borderId="25" xfId="0" applyNumberFormat="1" applyFont="1" applyFill="1" applyBorder="1" applyAlignment="1" applyProtection="1">
      <alignment horizontal="right"/>
      <protection locked="0"/>
    </xf>
    <xf numFmtId="1" fontId="6" fillId="15" borderId="56" xfId="0" applyNumberFormat="1" applyFont="1" applyFill="1" applyBorder="1" applyAlignment="1" applyProtection="1">
      <alignment horizontal="right"/>
      <protection locked="0"/>
    </xf>
    <xf numFmtId="1" fontId="6" fillId="15" borderId="27" xfId="0" applyNumberFormat="1" applyFont="1" applyFill="1" applyBorder="1" applyAlignment="1" applyProtection="1">
      <alignment horizontal="right"/>
      <protection locked="0"/>
    </xf>
    <xf numFmtId="1" fontId="6" fillId="0" borderId="11" xfId="0" applyNumberFormat="1" applyFont="1" applyBorder="1" applyAlignment="1">
      <alignment horizontal="right"/>
    </xf>
    <xf numFmtId="1" fontId="6" fillId="15" borderId="85" xfId="0" applyNumberFormat="1" applyFont="1" applyFill="1" applyBorder="1" applyAlignment="1" applyProtection="1">
      <alignment horizontal="right"/>
      <protection locked="0"/>
    </xf>
    <xf numFmtId="1" fontId="6" fillId="15" borderId="104" xfId="0" applyNumberFormat="1" applyFont="1" applyFill="1" applyBorder="1" applyAlignment="1" applyProtection="1">
      <alignment horizontal="right"/>
      <protection locked="0"/>
    </xf>
    <xf numFmtId="1" fontId="6" fillId="15" borderId="123" xfId="0" applyNumberFormat="1" applyFont="1" applyFill="1" applyBorder="1" applyAlignment="1" applyProtection="1">
      <alignment horizontal="right"/>
      <protection locked="0"/>
    </xf>
    <xf numFmtId="1" fontId="6" fillId="15" borderId="127" xfId="0" applyNumberFormat="1" applyFont="1" applyFill="1" applyBorder="1" applyAlignment="1" applyProtection="1">
      <alignment horizontal="right"/>
      <protection locked="0"/>
    </xf>
    <xf numFmtId="1" fontId="6" fillId="20" borderId="141" xfId="0" applyNumberFormat="1" applyFont="1" applyFill="1" applyBorder="1" applyAlignment="1">
      <alignment horizontal="right"/>
    </xf>
    <xf numFmtId="1" fontId="6" fillId="15" borderId="29" xfId="0" applyNumberFormat="1" applyFont="1" applyFill="1" applyBorder="1" applyAlignment="1" applyProtection="1">
      <alignment horizontal="right"/>
      <protection locked="0"/>
    </xf>
    <xf numFmtId="1" fontId="6" fillId="0" borderId="75" xfId="0" applyNumberFormat="1" applyFont="1" applyBorder="1" applyAlignment="1">
      <alignment horizontal="right"/>
    </xf>
    <xf numFmtId="1" fontId="6" fillId="15" borderId="31" xfId="0" applyNumberFormat="1" applyFont="1" applyFill="1" applyBorder="1" applyAlignment="1" applyProtection="1">
      <alignment horizontal="right"/>
      <protection locked="0"/>
    </xf>
    <xf numFmtId="1" fontId="6" fillId="15" borderId="32" xfId="0" applyNumberFormat="1" applyFont="1" applyFill="1" applyBorder="1" applyAlignment="1" applyProtection="1">
      <alignment horizontal="right"/>
      <protection locked="0"/>
    </xf>
    <xf numFmtId="1" fontId="6" fillId="15" borderId="34" xfId="0" applyNumberFormat="1" applyFont="1" applyFill="1" applyBorder="1" applyAlignment="1" applyProtection="1">
      <alignment horizontal="right"/>
      <protection locked="0"/>
    </xf>
    <xf numFmtId="1" fontId="6" fillId="15" borderId="36" xfId="0" applyNumberFormat="1" applyFont="1" applyFill="1" applyBorder="1" applyAlignment="1" applyProtection="1">
      <alignment horizontal="right"/>
      <protection locked="0"/>
    </xf>
    <xf numFmtId="1" fontId="6" fillId="15" borderId="21" xfId="0" applyNumberFormat="1" applyFont="1" applyFill="1" applyBorder="1" applyAlignment="1" applyProtection="1">
      <alignment horizontal="right"/>
      <protection locked="0"/>
    </xf>
    <xf numFmtId="1" fontId="6" fillId="15" borderId="59" xfId="0" applyNumberFormat="1" applyFont="1" applyFill="1" applyBorder="1" applyAlignment="1" applyProtection="1">
      <alignment horizontal="right"/>
      <protection locked="0"/>
    </xf>
    <xf numFmtId="1" fontId="6" fillId="15" borderId="39" xfId="0" applyNumberFormat="1" applyFont="1" applyFill="1" applyBorder="1" applyAlignment="1" applyProtection="1">
      <alignment horizontal="right"/>
      <protection locked="0"/>
    </xf>
    <xf numFmtId="1" fontId="6" fillId="15" borderId="40" xfId="0" applyNumberFormat="1" applyFont="1" applyFill="1" applyBorder="1" applyAlignment="1" applyProtection="1">
      <alignment horizontal="right"/>
      <protection locked="0"/>
    </xf>
    <xf numFmtId="1" fontId="6" fillId="15" borderId="41" xfId="0" applyNumberFormat="1" applyFont="1" applyFill="1" applyBorder="1" applyAlignment="1" applyProtection="1">
      <alignment horizontal="right"/>
      <protection locked="0"/>
    </xf>
    <xf numFmtId="1" fontId="6" fillId="15" borderId="44" xfId="0" applyNumberFormat="1" applyFont="1" applyFill="1" applyBorder="1" applyAlignment="1" applyProtection="1">
      <alignment horizontal="right"/>
      <protection locked="0"/>
    </xf>
    <xf numFmtId="1" fontId="6" fillId="15" borderId="124" xfId="0" applyNumberFormat="1" applyFont="1" applyFill="1" applyBorder="1" applyAlignment="1" applyProtection="1">
      <alignment horizontal="right"/>
      <protection locked="0"/>
    </xf>
    <xf numFmtId="1" fontId="6" fillId="0" borderId="76" xfId="0" applyNumberFormat="1" applyFont="1" applyBorder="1" applyAlignment="1">
      <alignment horizontal="right"/>
    </xf>
    <xf numFmtId="1" fontId="6" fillId="15" borderId="117" xfId="0" applyNumberFormat="1" applyFont="1" applyFill="1" applyBorder="1" applyAlignment="1" applyProtection="1">
      <alignment horizontal="right"/>
      <protection locked="0"/>
    </xf>
    <xf numFmtId="1" fontId="6" fillId="15" borderId="128" xfId="0" applyNumberFormat="1" applyFont="1" applyFill="1" applyBorder="1" applyAlignment="1" applyProtection="1">
      <alignment horizontal="right"/>
      <protection locked="0"/>
    </xf>
    <xf numFmtId="1" fontId="6" fillId="15" borderId="97" xfId="0" applyNumberFormat="1" applyFont="1" applyFill="1" applyBorder="1" applyAlignment="1" applyProtection="1">
      <alignment horizontal="right"/>
      <protection locked="0"/>
    </xf>
    <xf numFmtId="1" fontId="6" fillId="15" borderId="91" xfId="0" applyNumberFormat="1" applyFont="1" applyFill="1" applyBorder="1" applyAlignment="1" applyProtection="1">
      <alignment horizontal="right"/>
      <protection locked="0"/>
    </xf>
    <xf numFmtId="1" fontId="6" fillId="0" borderId="45" xfId="0" applyNumberFormat="1" applyFont="1" applyBorder="1" applyAlignment="1">
      <alignment horizontal="right"/>
    </xf>
    <xf numFmtId="1" fontId="6" fillId="15" borderId="106" xfId="0" applyNumberFormat="1" applyFont="1" applyFill="1" applyBorder="1" applyAlignment="1" applyProtection="1">
      <alignment horizontal="right"/>
      <protection locked="0"/>
    </xf>
    <xf numFmtId="1" fontId="6" fillId="0" borderId="135" xfId="0" applyNumberFormat="1" applyFont="1" applyBorder="1" applyAlignment="1">
      <alignment horizontal="right"/>
    </xf>
    <xf numFmtId="1" fontId="6" fillId="0" borderId="46" xfId="0" applyNumberFormat="1" applyFont="1" applyBorder="1" applyAlignment="1">
      <alignment horizontal="right"/>
    </xf>
    <xf numFmtId="1" fontId="6" fillId="0" borderId="157" xfId="0" applyNumberFormat="1" applyFont="1" applyBorder="1" applyAlignment="1">
      <alignment horizontal="right"/>
    </xf>
    <xf numFmtId="1" fontId="6" fillId="15" borderId="51" xfId="0" applyNumberFormat="1" applyFont="1" applyFill="1" applyBorder="1" applyAlignment="1" applyProtection="1">
      <alignment horizontal="right"/>
      <protection locked="0"/>
    </xf>
    <xf numFmtId="1" fontId="6" fillId="15" borderId="52" xfId="0" applyNumberFormat="1" applyFont="1" applyFill="1" applyBorder="1" applyAlignment="1" applyProtection="1">
      <alignment horizontal="right"/>
      <protection locked="0"/>
    </xf>
    <xf numFmtId="1" fontId="6" fillId="15" borderId="54" xfId="0" applyNumberFormat="1" applyFont="1" applyFill="1" applyBorder="1" applyAlignment="1" applyProtection="1">
      <alignment horizontal="right"/>
      <protection locked="0"/>
    </xf>
    <xf numFmtId="1" fontId="6" fillId="15" borderId="55" xfId="0" applyNumberFormat="1" applyFont="1" applyFill="1" applyBorder="1" applyAlignment="1" applyProtection="1">
      <alignment horizontal="right"/>
      <protection locked="0"/>
    </xf>
    <xf numFmtId="1" fontId="6" fillId="15" borderId="57" xfId="0" applyNumberFormat="1" applyFont="1" applyFill="1" applyBorder="1" applyAlignment="1" applyProtection="1">
      <alignment horizontal="right"/>
      <protection locked="0"/>
    </xf>
    <xf numFmtId="1" fontId="6" fillId="15" borderId="58" xfId="0" applyNumberFormat="1" applyFont="1" applyFill="1" applyBorder="1" applyAlignment="1" applyProtection="1">
      <alignment horizontal="right"/>
      <protection locked="0"/>
    </xf>
    <xf numFmtId="1" fontId="6" fillId="15" borderId="60" xfId="0" applyNumberFormat="1" applyFont="1" applyFill="1" applyBorder="1" applyAlignment="1" applyProtection="1">
      <alignment horizontal="right"/>
      <protection locked="0"/>
    </xf>
    <xf numFmtId="1" fontId="6" fillId="15" borderId="61" xfId="0" applyNumberFormat="1" applyFont="1" applyFill="1" applyBorder="1" applyAlignment="1" applyProtection="1">
      <alignment horizontal="right"/>
      <protection locked="0"/>
    </xf>
    <xf numFmtId="1" fontId="6" fillId="0" borderId="62" xfId="0" applyNumberFormat="1" applyFont="1" applyBorder="1" applyAlignment="1">
      <alignment horizontal="right"/>
    </xf>
    <xf numFmtId="1" fontId="6" fillId="0" borderId="64" xfId="0" applyNumberFormat="1" applyFont="1" applyBorder="1" applyAlignment="1">
      <alignment horizontal="right"/>
    </xf>
    <xf numFmtId="1" fontId="6" fillId="15" borderId="30" xfId="0" applyNumberFormat="1" applyFont="1" applyFill="1" applyBorder="1" applyAlignment="1" applyProtection="1">
      <alignment horizontal="right"/>
      <protection locked="0"/>
    </xf>
    <xf numFmtId="1" fontId="6" fillId="15" borderId="35" xfId="0" applyNumberFormat="1" applyFont="1" applyFill="1" applyBorder="1" applyAlignment="1" applyProtection="1">
      <alignment horizontal="right"/>
      <protection locked="0"/>
    </xf>
    <xf numFmtId="1" fontId="6" fillId="0" borderId="35" xfId="0" applyNumberFormat="1" applyFont="1" applyBorder="1" applyAlignment="1">
      <alignment horizontal="right"/>
    </xf>
    <xf numFmtId="1" fontId="6" fillId="15" borderId="66" xfId="0" applyNumberFormat="1" applyFont="1" applyFill="1" applyBorder="1" applyAlignment="1" applyProtection="1">
      <alignment horizontal="right"/>
      <protection locked="0"/>
    </xf>
    <xf numFmtId="1" fontId="6" fillId="0" borderId="1" xfId="0" applyNumberFormat="1" applyFont="1" applyBorder="1" applyAlignment="1">
      <alignment horizontal="right"/>
    </xf>
    <xf numFmtId="1" fontId="6" fillId="17" borderId="30" xfId="0" applyNumberFormat="1" applyFont="1" applyFill="1" applyBorder="1" applyAlignment="1">
      <alignment horizontal="right"/>
    </xf>
    <xf numFmtId="1" fontId="6" fillId="17" borderId="35" xfId="0" applyNumberFormat="1" applyFont="1" applyFill="1" applyBorder="1" applyAlignment="1">
      <alignment horizontal="right"/>
    </xf>
    <xf numFmtId="1" fontId="6" fillId="17" borderId="45" xfId="0" applyNumberFormat="1" applyFont="1" applyFill="1" applyBorder="1" applyAlignment="1">
      <alignment horizontal="right"/>
    </xf>
    <xf numFmtId="1" fontId="6" fillId="15" borderId="45" xfId="0" applyNumberFormat="1" applyFont="1" applyFill="1" applyBorder="1" applyAlignment="1" applyProtection="1">
      <alignment horizontal="right"/>
      <protection locked="0"/>
    </xf>
    <xf numFmtId="1" fontId="6" fillId="17" borderId="1" xfId="0" applyNumberFormat="1" applyFont="1" applyFill="1" applyBorder="1" applyAlignment="1">
      <alignment horizontal="right"/>
    </xf>
    <xf numFmtId="1" fontId="6" fillId="15" borderId="1" xfId="0" applyNumberFormat="1" applyFont="1" applyFill="1" applyBorder="1" applyAlignment="1" applyProtection="1">
      <alignment horizontal="right"/>
      <protection locked="0"/>
    </xf>
    <xf numFmtId="1" fontId="30" fillId="0" borderId="30" xfId="0" applyNumberFormat="1" applyFont="1" applyBorder="1" applyAlignment="1">
      <alignment horizontal="right"/>
    </xf>
    <xf numFmtId="1" fontId="30" fillId="15" borderId="67" xfId="0" applyNumberFormat="1" applyFont="1" applyFill="1" applyBorder="1" applyAlignment="1" applyProtection="1">
      <alignment horizontal="right"/>
      <protection locked="0"/>
    </xf>
    <xf numFmtId="1" fontId="30" fillId="15" borderId="24" xfId="0" applyNumberFormat="1" applyFont="1" applyFill="1" applyBorder="1" applyAlignment="1" applyProtection="1">
      <alignment horizontal="right"/>
      <protection locked="0"/>
    </xf>
    <xf numFmtId="1" fontId="30" fillId="15" borderId="27" xfId="0" applyNumberFormat="1" applyFont="1" applyFill="1" applyBorder="1" applyAlignment="1" applyProtection="1">
      <alignment horizontal="right"/>
      <protection locked="0"/>
    </xf>
    <xf numFmtId="1" fontId="30" fillId="0" borderId="35" xfId="0" applyNumberFormat="1" applyFont="1" applyBorder="1" applyAlignment="1">
      <alignment horizontal="right"/>
    </xf>
    <xf numFmtId="1" fontId="30" fillId="15" borderId="36" xfId="0" applyNumberFormat="1" applyFont="1" applyFill="1" applyBorder="1" applyAlignment="1" applyProtection="1">
      <alignment horizontal="right"/>
      <protection locked="0"/>
    </xf>
    <xf numFmtId="1" fontId="30" fillId="15" borderId="21" xfId="0" applyNumberFormat="1" applyFont="1" applyFill="1" applyBorder="1" applyAlignment="1" applyProtection="1">
      <alignment horizontal="right"/>
      <protection locked="0"/>
    </xf>
    <xf numFmtId="1" fontId="30" fillId="15" borderId="39" xfId="0" applyNumberFormat="1" applyFont="1" applyFill="1" applyBorder="1" applyAlignment="1" applyProtection="1">
      <alignment horizontal="right"/>
      <protection locked="0"/>
    </xf>
    <xf numFmtId="1" fontId="30" fillId="0" borderId="75" xfId="0" applyNumberFormat="1" applyFont="1" applyBorder="1" applyAlignment="1">
      <alignment horizontal="right"/>
    </xf>
    <xf numFmtId="1" fontId="30" fillId="15" borderId="31" xfId="0" applyNumberFormat="1" applyFont="1" applyFill="1" applyBorder="1" applyAlignment="1" applyProtection="1">
      <alignment horizontal="right"/>
      <protection locked="0"/>
    </xf>
    <xf numFmtId="1" fontId="30" fillId="15" borderId="34" xfId="0" applyNumberFormat="1" applyFont="1" applyFill="1" applyBorder="1" applyAlignment="1" applyProtection="1">
      <alignment horizontal="right"/>
      <protection locked="0"/>
    </xf>
    <xf numFmtId="1" fontId="30" fillId="0" borderId="66" xfId="0" applyNumberFormat="1" applyFont="1" applyBorder="1" applyAlignment="1">
      <alignment horizontal="right"/>
    </xf>
    <xf numFmtId="1" fontId="6" fillId="0" borderId="85" xfId="0" applyNumberFormat="1" applyFont="1" applyBorder="1" applyAlignment="1">
      <alignment horizontal="right"/>
    </xf>
    <xf numFmtId="1" fontId="6" fillId="0" borderId="85" xfId="0" applyNumberFormat="1" applyFont="1" applyBorder="1" applyAlignment="1">
      <alignment horizontal="right" wrapText="1"/>
    </xf>
    <xf numFmtId="1" fontId="6" fillId="0" borderId="11" xfId="0" applyNumberFormat="1" applyFont="1" applyBorder="1" applyAlignment="1">
      <alignment horizontal="right" wrapText="1"/>
    </xf>
    <xf numFmtId="1" fontId="6" fillId="15" borderId="86" xfId="0" applyNumberFormat="1" applyFont="1" applyFill="1" applyBorder="1" applyAlignment="1" applyProtection="1">
      <alignment horizontal="right"/>
      <protection locked="0"/>
    </xf>
    <xf numFmtId="1" fontId="6" fillId="15" borderId="68" xfId="0" applyNumberFormat="1" applyFont="1" applyFill="1" applyBorder="1" applyAlignment="1" applyProtection="1">
      <alignment horizontal="right"/>
      <protection locked="0"/>
    </xf>
    <xf numFmtId="1" fontId="6" fillId="15" borderId="69" xfId="0" applyNumberFormat="1" applyFont="1" applyFill="1" applyBorder="1" applyAlignment="1" applyProtection="1">
      <alignment horizontal="right"/>
      <protection locked="0"/>
    </xf>
    <xf numFmtId="1" fontId="6" fillId="15" borderId="105" xfId="0" applyNumberFormat="1" applyFont="1" applyFill="1" applyBorder="1" applyAlignment="1" applyProtection="1">
      <alignment horizontal="right"/>
      <protection locked="0"/>
    </xf>
    <xf numFmtId="1" fontId="6" fillId="0" borderId="29" xfId="125" applyNumberFormat="1" applyFont="1" applyBorder="1" applyAlignment="1">
      <alignment horizontal="right" wrapText="1"/>
    </xf>
    <xf numFmtId="1" fontId="6" fillId="0" borderId="11" xfId="125" applyNumberFormat="1" applyFont="1" applyBorder="1" applyAlignment="1">
      <alignment horizontal="right"/>
    </xf>
    <xf numFmtId="1" fontId="6" fillId="15" borderId="82" xfId="125" applyNumberFormat="1" applyFont="1" applyFill="1" applyBorder="1" applyAlignment="1" applyProtection="1">
      <alignment horizontal="right"/>
      <protection locked="0"/>
    </xf>
    <xf numFmtId="1" fontId="6" fillId="15" borderId="83" xfId="125" applyNumberFormat="1" applyFont="1" applyFill="1" applyBorder="1" applyAlignment="1" applyProtection="1">
      <alignment horizontal="right"/>
      <protection locked="0"/>
    </xf>
    <xf numFmtId="1" fontId="6" fillId="15" borderId="132" xfId="125" applyNumberFormat="1" applyFont="1" applyFill="1" applyBorder="1" applyAlignment="1" applyProtection="1">
      <alignment horizontal="right"/>
      <protection locked="0"/>
    </xf>
    <xf numFmtId="1" fontId="6" fillId="15" borderId="7" xfId="125" applyNumberFormat="1" applyFont="1" applyFill="1" applyBorder="1" applyAlignment="1" applyProtection="1">
      <alignment horizontal="right"/>
      <protection locked="0"/>
    </xf>
    <xf numFmtId="1" fontId="6" fillId="15" borderId="5" xfId="125" applyNumberFormat="1" applyFont="1" applyFill="1" applyBorder="1" applyAlignment="1" applyProtection="1">
      <alignment horizontal="right"/>
      <protection locked="0"/>
    </xf>
    <xf numFmtId="1" fontId="6" fillId="15" borderId="85" xfId="125" applyNumberFormat="1" applyFont="1" applyFill="1" applyBorder="1" applyAlignment="1" applyProtection="1">
      <alignment horizontal="right"/>
      <protection locked="0"/>
    </xf>
    <xf numFmtId="1" fontId="6" fillId="15" borderId="23" xfId="125" applyNumberFormat="1" applyFont="1" applyFill="1" applyBorder="1" applyAlignment="1" applyProtection="1">
      <alignment horizontal="right"/>
      <protection locked="0"/>
    </xf>
    <xf numFmtId="1" fontId="6" fillId="15" borderId="81" xfId="125" applyNumberFormat="1" applyFont="1" applyFill="1" applyBorder="1" applyAlignment="1" applyProtection="1">
      <alignment horizontal="right"/>
      <protection locked="0"/>
    </xf>
    <xf numFmtId="1" fontId="6" fillId="0" borderId="30" xfId="125" applyNumberFormat="1" applyFont="1" applyBorder="1" applyAlignment="1">
      <alignment horizontal="right"/>
    </xf>
    <xf numFmtId="1" fontId="6" fillId="15" borderId="67" xfId="125" applyNumberFormat="1" applyFont="1" applyFill="1" applyBorder="1" applyAlignment="1" applyProtection="1">
      <alignment horizontal="right"/>
      <protection locked="0"/>
    </xf>
    <xf numFmtId="1" fontId="6" fillId="15" borderId="86" xfId="125" applyNumberFormat="1" applyFont="1" applyFill="1" applyBorder="1" applyAlignment="1" applyProtection="1">
      <alignment horizontal="right"/>
      <protection locked="0"/>
    </xf>
    <xf numFmtId="1" fontId="6" fillId="15" borderId="129" xfId="125" applyNumberFormat="1" applyFont="1" applyFill="1" applyBorder="1" applyAlignment="1" applyProtection="1">
      <alignment horizontal="right"/>
      <protection locked="0"/>
    </xf>
    <xf numFmtId="1" fontId="6" fillId="15" borderId="24" xfId="125" applyNumberFormat="1" applyFont="1" applyFill="1" applyBorder="1" applyAlignment="1" applyProtection="1">
      <alignment horizontal="right"/>
      <protection locked="0"/>
    </xf>
    <xf numFmtId="1" fontId="6" fillId="15" borderId="103" xfId="125" applyNumberFormat="1" applyFont="1" applyFill="1" applyBorder="1" applyAlignment="1" applyProtection="1">
      <alignment horizontal="right"/>
      <protection locked="0"/>
    </xf>
    <xf numFmtId="1" fontId="6" fillId="0" borderId="45" xfId="125" applyNumberFormat="1" applyFont="1" applyBorder="1" applyAlignment="1">
      <alignment horizontal="right"/>
    </xf>
    <xf numFmtId="1" fontId="6" fillId="15" borderId="106" xfId="125" applyNumberFormat="1" applyFont="1" applyFill="1" applyBorder="1" applyAlignment="1" applyProtection="1">
      <alignment horizontal="right"/>
      <protection locked="0"/>
    </xf>
    <xf numFmtId="1" fontId="6" fillId="15" borderId="105" xfId="125" applyNumberFormat="1" applyFont="1" applyFill="1" applyBorder="1" applyAlignment="1" applyProtection="1">
      <alignment horizontal="right"/>
      <protection locked="0"/>
    </xf>
    <xf numFmtId="1" fontId="6" fillId="15" borderId="118" xfId="125" applyNumberFormat="1" applyFont="1" applyFill="1" applyBorder="1" applyAlignment="1" applyProtection="1">
      <alignment horizontal="right"/>
      <protection locked="0"/>
    </xf>
    <xf numFmtId="1" fontId="6" fillId="15" borderId="104" xfId="125" applyNumberFormat="1" applyFont="1" applyFill="1" applyBorder="1" applyAlignment="1" applyProtection="1">
      <alignment horizontal="right"/>
      <protection locked="0"/>
    </xf>
    <xf numFmtId="1" fontId="6" fillId="15" borderId="133" xfId="125" applyNumberFormat="1" applyFont="1" applyFill="1" applyBorder="1" applyAlignment="1" applyProtection="1">
      <alignment horizontal="right"/>
      <protection locked="0"/>
    </xf>
    <xf numFmtId="1" fontId="6" fillId="15" borderId="137" xfId="125" applyNumberFormat="1" applyFont="1" applyFill="1" applyBorder="1" applyAlignment="1" applyProtection="1">
      <alignment horizontal="right"/>
      <protection locked="0"/>
    </xf>
    <xf numFmtId="1" fontId="6" fillId="0" borderId="1" xfId="125" applyNumberFormat="1" applyFont="1" applyBorder="1" applyAlignment="1">
      <alignment horizontal="right"/>
    </xf>
    <xf numFmtId="1" fontId="6" fillId="0" borderId="7" xfId="125" applyNumberFormat="1" applyFont="1" applyBorder="1" applyAlignment="1">
      <alignment horizontal="right"/>
    </xf>
    <xf numFmtId="1" fontId="6" fillId="0" borderId="5" xfId="125" applyNumberFormat="1" applyFont="1" applyBorder="1" applyAlignment="1">
      <alignment horizontal="right"/>
    </xf>
    <xf numFmtId="1" fontId="6" fillId="0" borderId="23" xfId="125" applyNumberFormat="1" applyFont="1" applyBorder="1" applyAlignment="1">
      <alignment horizontal="right"/>
    </xf>
    <xf numFmtId="1" fontId="6" fillId="0" borderId="78" xfId="125" applyNumberFormat="1" applyFont="1" applyBorder="1" applyAlignment="1">
      <alignment horizontal="right"/>
    </xf>
    <xf numFmtId="1" fontId="6" fillId="0" borderId="81" xfId="125" applyNumberFormat="1" applyFont="1" applyBorder="1" applyAlignment="1">
      <alignment horizontal="right"/>
    </xf>
    <xf numFmtId="1" fontId="6" fillId="15" borderId="120" xfId="125" applyNumberFormat="1" applyFont="1" applyFill="1" applyBorder="1" applyAlignment="1" applyProtection="1">
      <alignment horizontal="right"/>
      <protection locked="0"/>
    </xf>
    <xf numFmtId="1" fontId="6" fillId="0" borderId="76" xfId="125" applyNumberFormat="1" applyFont="1" applyBorder="1" applyAlignment="1">
      <alignment horizontal="right"/>
    </xf>
    <xf numFmtId="1" fontId="6" fillId="15" borderId="126" xfId="125" applyNumberFormat="1" applyFont="1" applyFill="1" applyBorder="1" applyAlignment="1" applyProtection="1">
      <alignment horizontal="right"/>
      <protection locked="0"/>
    </xf>
    <xf numFmtId="1" fontId="6" fillId="0" borderId="75" xfId="125" applyNumberFormat="1" applyFont="1" applyBorder="1" applyAlignment="1">
      <alignment horizontal="right"/>
    </xf>
    <xf numFmtId="1" fontId="6" fillId="0" borderId="64" xfId="125" applyNumberFormat="1" applyFont="1" applyBorder="1" applyAlignment="1">
      <alignment horizontal="right"/>
    </xf>
    <xf numFmtId="1" fontId="6" fillId="0" borderId="72" xfId="125" applyNumberFormat="1" applyFont="1" applyBorder="1" applyAlignment="1">
      <alignment horizontal="right"/>
    </xf>
    <xf numFmtId="1" fontId="6" fillId="0" borderId="9" xfId="125" applyNumberFormat="1" applyFont="1" applyBorder="1" applyAlignment="1">
      <alignment horizontal="right"/>
    </xf>
    <xf numFmtId="1" fontId="6" fillId="0" borderId="10" xfId="125" applyNumberFormat="1" applyFont="1" applyBorder="1" applyAlignment="1">
      <alignment horizontal="right"/>
    </xf>
    <xf numFmtId="1" fontId="6" fillId="22" borderId="7" xfId="125" applyNumberFormat="1" applyFont="1" applyFill="1" applyBorder="1" applyAlignment="1">
      <alignment horizontal="right"/>
    </xf>
    <xf numFmtId="1" fontId="6" fillId="22" borderId="64" xfId="125" applyNumberFormat="1" applyFont="1" applyFill="1" applyBorder="1" applyAlignment="1">
      <alignment horizontal="right"/>
    </xf>
    <xf numFmtId="1" fontId="6" fillId="22" borderId="23" xfId="125" applyNumberFormat="1" applyFont="1" applyFill="1" applyBorder="1" applyAlignment="1">
      <alignment horizontal="right"/>
    </xf>
    <xf numFmtId="1" fontId="6" fillId="22" borderId="5" xfId="125" applyNumberFormat="1" applyFont="1" applyFill="1" applyBorder="1" applyAlignment="1">
      <alignment horizontal="right"/>
    </xf>
    <xf numFmtId="1" fontId="6" fillId="22" borderId="78" xfId="125" applyNumberFormat="1" applyFont="1" applyFill="1" applyBorder="1" applyAlignment="1">
      <alignment horizontal="right"/>
    </xf>
    <xf numFmtId="1" fontId="6" fillId="22" borderId="93" xfId="125" applyNumberFormat="1" applyFont="1" applyFill="1" applyBorder="1" applyAlignment="1">
      <alignment horizontal="right"/>
    </xf>
    <xf numFmtId="1" fontId="6" fillId="22" borderId="81" xfId="125" applyNumberFormat="1" applyFont="1" applyFill="1" applyBorder="1" applyAlignment="1">
      <alignment horizontal="right"/>
    </xf>
    <xf numFmtId="1" fontId="6" fillId="15" borderId="91" xfId="125" applyNumberFormat="1" applyFont="1" applyFill="1" applyBorder="1" applyAlignment="1" applyProtection="1">
      <alignment horizontal="right"/>
      <protection locked="0"/>
    </xf>
    <xf numFmtId="1" fontId="6" fillId="15" borderId="31" xfId="125" applyNumberFormat="1" applyFont="1" applyFill="1" applyBorder="1" applyAlignment="1" applyProtection="1">
      <alignment horizontal="right"/>
      <protection locked="0"/>
    </xf>
    <xf numFmtId="1" fontId="6" fillId="15" borderId="130" xfId="125" applyNumberFormat="1" applyFont="1" applyFill="1" applyBorder="1" applyAlignment="1" applyProtection="1">
      <alignment horizontal="right"/>
      <protection locked="0"/>
    </xf>
    <xf numFmtId="1" fontId="6" fillId="15" borderId="92" xfId="125" applyNumberFormat="1" applyFont="1" applyFill="1" applyBorder="1" applyAlignment="1" applyProtection="1">
      <alignment horizontal="right"/>
      <protection locked="0"/>
    </xf>
    <xf numFmtId="1" fontId="6" fillId="15" borderId="121" xfId="125" applyNumberFormat="1" applyFont="1" applyFill="1" applyBorder="1" applyAlignment="1" applyProtection="1">
      <alignment horizontal="right"/>
      <protection locked="0"/>
    </xf>
    <xf numFmtId="1" fontId="6" fillId="15" borderId="139" xfId="125" applyNumberFormat="1" applyFont="1" applyFill="1" applyBorder="1" applyAlignment="1" applyProtection="1">
      <alignment horizontal="right"/>
      <protection locked="0"/>
    </xf>
    <xf numFmtId="1" fontId="6" fillId="15" borderId="142" xfId="125" applyNumberFormat="1" applyFont="1" applyFill="1" applyBorder="1" applyAlignment="1" applyProtection="1">
      <alignment horizontal="right"/>
      <protection locked="0"/>
    </xf>
    <xf numFmtId="1" fontId="6" fillId="0" borderId="94" xfId="125" applyNumberFormat="1" applyFont="1" applyBorder="1" applyAlignment="1">
      <alignment horizontal="right"/>
    </xf>
    <xf numFmtId="1" fontId="6" fillId="15" borderId="78" xfId="125" applyNumberFormat="1" applyFont="1" applyFill="1" applyBorder="1" applyAlignment="1" applyProtection="1">
      <alignment horizontal="right"/>
      <protection locked="0"/>
    </xf>
    <xf numFmtId="1" fontId="6" fillId="15" borderId="84" xfId="125" applyNumberFormat="1" applyFont="1" applyFill="1" applyBorder="1" applyAlignment="1" applyProtection="1">
      <alignment horizontal="right"/>
      <protection locked="0"/>
    </xf>
    <xf numFmtId="1" fontId="6" fillId="0" borderId="74" xfId="125" applyNumberFormat="1" applyFont="1" applyBorder="1" applyAlignment="1">
      <alignment horizontal="right"/>
    </xf>
    <xf numFmtId="1" fontId="6" fillId="0" borderId="73" xfId="125" applyNumberFormat="1" applyFont="1" applyBorder="1" applyAlignment="1">
      <alignment horizontal="right"/>
    </xf>
    <xf numFmtId="1" fontId="6" fillId="0" borderId="35" xfId="125" applyNumberFormat="1" applyFont="1" applyBorder="1" applyAlignment="1">
      <alignment horizontal="right"/>
    </xf>
    <xf numFmtId="1" fontId="6" fillId="15" borderId="68" xfId="125" applyNumberFormat="1" applyFont="1" applyFill="1" applyBorder="1" applyAlignment="1" applyProtection="1">
      <alignment horizontal="right"/>
      <protection locked="0"/>
    </xf>
    <xf numFmtId="1" fontId="6" fillId="15" borderId="69" xfId="125" applyNumberFormat="1" applyFont="1" applyFill="1" applyBorder="1" applyAlignment="1" applyProtection="1">
      <alignment horizontal="right"/>
      <protection locked="0"/>
    </xf>
    <xf numFmtId="1" fontId="6" fillId="15" borderId="107" xfId="125" applyNumberFormat="1" applyFont="1" applyFill="1" applyBorder="1" applyAlignment="1" applyProtection="1">
      <alignment horizontal="right"/>
      <protection locked="0"/>
    </xf>
    <xf numFmtId="1" fontId="6" fillId="15" borderId="36" xfId="125" applyNumberFormat="1" applyFont="1" applyFill="1" applyBorder="1" applyAlignment="1" applyProtection="1">
      <alignment horizontal="right"/>
      <protection locked="0"/>
    </xf>
    <xf numFmtId="1" fontId="6" fillId="15" borderId="95" xfId="125" applyNumberFormat="1" applyFont="1" applyFill="1" applyBorder="1" applyAlignment="1" applyProtection="1">
      <alignment horizontal="right"/>
      <protection locked="0"/>
    </xf>
    <xf numFmtId="1" fontId="6" fillId="0" borderId="89" xfId="125" applyNumberFormat="1" applyFont="1" applyBorder="1" applyAlignment="1">
      <alignment horizontal="right"/>
    </xf>
    <xf numFmtId="1" fontId="6" fillId="15" borderId="88" xfId="125" applyNumberFormat="1" applyFont="1" applyFill="1" applyBorder="1" applyAlignment="1" applyProtection="1">
      <alignment horizontal="right"/>
      <protection locked="0"/>
    </xf>
    <xf numFmtId="1" fontId="6" fillId="15" borderId="96" xfId="125" applyNumberFormat="1" applyFont="1" applyFill="1" applyBorder="1" applyAlignment="1" applyProtection="1">
      <alignment horizontal="right"/>
      <protection locked="0"/>
    </xf>
    <xf numFmtId="1" fontId="6" fillId="0" borderId="1" xfId="125" applyNumberFormat="1" applyFont="1" applyBorder="1" applyAlignment="1">
      <alignment horizontal="right" wrapText="1"/>
    </xf>
    <xf numFmtId="1" fontId="6" fillId="0" borderId="93" xfId="125" applyNumberFormat="1" applyFont="1" applyBorder="1" applyAlignment="1">
      <alignment horizontal="right"/>
    </xf>
    <xf numFmtId="1" fontId="6" fillId="0" borderId="82" xfId="125" applyNumberFormat="1" applyFont="1" applyBorder="1" applyAlignment="1">
      <alignment horizontal="right" wrapText="1"/>
    </xf>
    <xf numFmtId="1" fontId="6" fillId="0" borderId="64" xfId="125" applyNumberFormat="1" applyFont="1" applyBorder="1" applyAlignment="1">
      <alignment horizontal="right" wrapText="1"/>
    </xf>
    <xf numFmtId="1" fontId="6" fillId="0" borderId="67" xfId="125" applyNumberFormat="1" applyFont="1" applyBorder="1" applyAlignment="1">
      <alignment horizontal="right"/>
    </xf>
    <xf numFmtId="1" fontId="6" fillId="0" borderId="27" xfId="125" applyNumberFormat="1" applyFont="1" applyBorder="1" applyAlignment="1">
      <alignment horizontal="right"/>
    </xf>
    <xf numFmtId="1" fontId="6" fillId="0" borderId="68" xfId="125" applyNumberFormat="1" applyFont="1" applyBorder="1" applyAlignment="1">
      <alignment horizontal="right"/>
    </xf>
    <xf numFmtId="1" fontId="6" fillId="0" borderId="39" xfId="125" applyNumberFormat="1" applyFont="1" applyBorder="1" applyAlignment="1">
      <alignment horizontal="right"/>
    </xf>
    <xf numFmtId="1" fontId="6" fillId="0" borderId="70" xfId="125" applyNumberFormat="1" applyFont="1" applyBorder="1" applyAlignment="1">
      <alignment horizontal="right"/>
    </xf>
    <xf numFmtId="1" fontId="6" fillId="0" borderId="44" xfId="125" applyNumberFormat="1" applyFont="1" applyBorder="1" applyAlignment="1">
      <alignment horizontal="right"/>
    </xf>
    <xf numFmtId="1" fontId="6" fillId="0" borderId="91" xfId="125" applyNumberFormat="1" applyFont="1" applyBorder="1" applyAlignment="1">
      <alignment horizontal="right"/>
    </xf>
    <xf numFmtId="1" fontId="6" fillId="0" borderId="34" xfId="125" applyNumberFormat="1" applyFont="1" applyBorder="1" applyAlignment="1">
      <alignment horizontal="right"/>
    </xf>
    <xf numFmtId="1" fontId="6" fillId="0" borderId="29" xfId="125" applyNumberFormat="1" applyFont="1" applyBorder="1" applyAlignment="1">
      <alignment horizontal="right"/>
    </xf>
    <xf numFmtId="1" fontId="6" fillId="0" borderId="7" xfId="125" applyNumberFormat="1" applyFont="1" applyBorder="1" applyAlignment="1">
      <alignment horizontal="right" wrapText="1"/>
    </xf>
    <xf numFmtId="1" fontId="6" fillId="0" borderId="66" xfId="0" applyNumberFormat="1" applyFont="1" applyBorder="1" applyAlignment="1">
      <alignment horizontal="right"/>
    </xf>
    <xf numFmtId="1" fontId="6" fillId="15" borderId="70" xfId="0" applyNumberFormat="1" applyFont="1" applyFill="1" applyBorder="1" applyAlignment="1" applyProtection="1">
      <alignment horizontal="right"/>
      <protection locked="0"/>
    </xf>
    <xf numFmtId="1" fontId="6" fillId="15" borderId="90" xfId="0" applyNumberFormat="1" applyFont="1" applyFill="1" applyBorder="1" applyAlignment="1" applyProtection="1">
      <alignment horizontal="right"/>
      <protection locked="0"/>
    </xf>
    <xf numFmtId="1" fontId="6" fillId="15" borderId="25" xfId="125" applyNumberFormat="1" applyFont="1" applyFill="1" applyBorder="1" applyAlignment="1" applyProtection="1">
      <alignment horizontal="right"/>
      <protection locked="0"/>
    </xf>
    <xf numFmtId="1" fontId="6" fillId="15" borderId="21" xfId="125" applyNumberFormat="1" applyFont="1" applyFill="1" applyBorder="1" applyAlignment="1" applyProtection="1">
      <alignment horizontal="right"/>
      <protection locked="0"/>
    </xf>
    <xf numFmtId="1" fontId="6" fillId="15" borderId="58" xfId="125" applyNumberFormat="1" applyFont="1" applyFill="1" applyBorder="1" applyAlignment="1" applyProtection="1">
      <alignment horizontal="right"/>
      <protection locked="0"/>
    </xf>
    <xf numFmtId="1" fontId="6" fillId="0" borderId="66" xfId="125" applyNumberFormat="1" applyFont="1" applyBorder="1" applyAlignment="1">
      <alignment horizontal="right"/>
    </xf>
    <xf numFmtId="1" fontId="6" fillId="15" borderId="123" xfId="125" applyNumberFormat="1" applyFont="1" applyFill="1" applyBorder="1" applyAlignment="1" applyProtection="1">
      <alignment horizontal="right"/>
      <protection locked="0"/>
    </xf>
    <xf numFmtId="1" fontId="6" fillId="15" borderId="101" xfId="125" applyNumberFormat="1" applyFont="1" applyFill="1" applyBorder="1" applyAlignment="1" applyProtection="1">
      <alignment horizontal="right"/>
      <protection locked="0"/>
    </xf>
    <xf numFmtId="1" fontId="6" fillId="0" borderId="8" xfId="125" applyNumberFormat="1" applyFont="1" applyBorder="1" applyAlignment="1">
      <alignment horizontal="right"/>
    </xf>
    <xf numFmtId="1" fontId="6" fillId="0" borderId="62" xfId="125" applyNumberFormat="1" applyFont="1" applyBorder="1" applyAlignment="1">
      <alignment horizontal="right"/>
    </xf>
    <xf numFmtId="1" fontId="6" fillId="15" borderId="30" xfId="125" applyNumberFormat="1" applyFont="1" applyFill="1" applyBorder="1" applyAlignment="1" applyProtection="1">
      <alignment horizontal="right"/>
      <protection locked="0"/>
    </xf>
    <xf numFmtId="1" fontId="6" fillId="15" borderId="66" xfId="125" applyNumberFormat="1" applyFont="1" applyFill="1" applyBorder="1" applyAlignment="1" applyProtection="1">
      <alignment horizontal="right"/>
      <protection locked="0"/>
    </xf>
    <xf numFmtId="1" fontId="6" fillId="0" borderId="67" xfId="126" applyNumberFormat="1" applyFont="1" applyBorder="1" applyAlignment="1">
      <alignment horizontal="right"/>
    </xf>
    <xf numFmtId="1" fontId="6" fillId="0" borderId="25" xfId="126" applyNumberFormat="1" applyFont="1" applyBorder="1" applyAlignment="1">
      <alignment horizontal="right"/>
    </xf>
    <xf numFmtId="1" fontId="6" fillId="0" borderId="68" xfId="126" applyNumberFormat="1" applyFont="1" applyBorder="1" applyAlignment="1">
      <alignment horizontal="right"/>
    </xf>
    <xf numFmtId="1" fontId="6" fillId="0" borderId="21" xfId="126" applyNumberFormat="1" applyFont="1" applyBorder="1" applyAlignment="1">
      <alignment horizontal="right"/>
    </xf>
    <xf numFmtId="1" fontId="6" fillId="0" borderId="69" xfId="126" applyNumberFormat="1" applyFont="1" applyBorder="1" applyAlignment="1">
      <alignment horizontal="right"/>
    </xf>
    <xf numFmtId="1" fontId="6" fillId="0" borderId="106" xfId="126" applyNumberFormat="1" applyFont="1" applyBorder="1" applyAlignment="1">
      <alignment horizontal="right"/>
    </xf>
    <xf numFmtId="1" fontId="6" fillId="0" borderId="123" xfId="126" applyNumberFormat="1" applyFont="1" applyBorder="1" applyAlignment="1">
      <alignment horizontal="right"/>
    </xf>
    <xf numFmtId="1" fontId="6" fillId="0" borderId="105" xfId="126" applyNumberFormat="1" applyFont="1" applyBorder="1" applyAlignment="1">
      <alignment horizontal="right"/>
    </xf>
    <xf numFmtId="1" fontId="6" fillId="0" borderId="91" xfId="126" applyNumberFormat="1" applyFont="1" applyBorder="1" applyAlignment="1">
      <alignment horizontal="right"/>
    </xf>
    <xf numFmtId="1" fontId="6" fillId="0" borderId="31" xfId="126" applyNumberFormat="1" applyFont="1" applyBorder="1" applyAlignment="1">
      <alignment horizontal="right"/>
    </xf>
    <xf numFmtId="1" fontId="6" fillId="0" borderId="92" xfId="126" applyNumberFormat="1" applyFont="1" applyBorder="1" applyAlignment="1">
      <alignment horizontal="right"/>
    </xf>
    <xf numFmtId="1" fontId="6" fillId="0" borderId="98" xfId="126" applyNumberFormat="1" applyFont="1" applyBorder="1" applyAlignment="1">
      <alignment horizontal="right"/>
    </xf>
    <xf numFmtId="1" fontId="6" fillId="0" borderId="117" xfId="126" applyNumberFormat="1" applyFont="1" applyBorder="1" applyAlignment="1">
      <alignment horizontal="right"/>
    </xf>
    <xf numFmtId="1" fontId="6" fillId="0" borderId="96" xfId="126" applyNumberFormat="1" applyFont="1" applyBorder="1" applyAlignment="1">
      <alignment horizontal="right"/>
    </xf>
    <xf numFmtId="1" fontId="6" fillId="0" borderId="104" xfId="126" applyNumberFormat="1" applyFont="1" applyBorder="1" applyAlignment="1">
      <alignment horizontal="right"/>
    </xf>
    <xf numFmtId="1" fontId="6" fillId="0" borderId="24" xfId="126" applyNumberFormat="1" applyFont="1" applyBorder="1" applyAlignment="1">
      <alignment horizontal="right"/>
    </xf>
    <xf numFmtId="1" fontId="6" fillId="0" borderId="86" xfId="126" applyNumberFormat="1" applyFont="1" applyBorder="1" applyAlignment="1">
      <alignment horizontal="right"/>
    </xf>
    <xf numFmtId="1" fontId="6" fillId="24" borderId="67" xfId="126" applyNumberFormat="1" applyFont="1" applyFill="1" applyBorder="1" applyAlignment="1" applyProtection="1">
      <alignment horizontal="right"/>
      <protection locked="0"/>
    </xf>
    <xf numFmtId="1" fontId="6" fillId="24" borderId="86" xfId="126" applyNumberFormat="1" applyFont="1" applyFill="1" applyBorder="1" applyAlignment="1" applyProtection="1">
      <alignment horizontal="right"/>
      <protection locked="0"/>
    </xf>
    <xf numFmtId="1" fontId="6" fillId="24" borderId="26" xfId="126" applyNumberFormat="1" applyFont="1" applyFill="1" applyBorder="1" applyAlignment="1" applyProtection="1">
      <alignment horizontal="right"/>
      <protection locked="0"/>
    </xf>
    <xf numFmtId="1" fontId="6" fillId="0" borderId="36" xfId="126" applyNumberFormat="1" applyFont="1" applyBorder="1" applyAlignment="1">
      <alignment horizontal="right"/>
    </xf>
    <xf numFmtId="1" fontId="6" fillId="24" borderId="68" xfId="126" applyNumberFormat="1" applyFont="1" applyFill="1" applyBorder="1" applyAlignment="1" applyProtection="1">
      <alignment horizontal="right"/>
      <protection locked="0"/>
    </xf>
    <xf numFmtId="1" fontId="6" fillId="24" borderId="69" xfId="126" applyNumberFormat="1" applyFont="1" applyFill="1" applyBorder="1" applyAlignment="1" applyProtection="1">
      <alignment horizontal="right"/>
      <protection locked="0"/>
    </xf>
    <xf numFmtId="1" fontId="6" fillId="24" borderId="38" xfId="126" applyNumberFormat="1" applyFont="1" applyFill="1" applyBorder="1" applyAlignment="1" applyProtection="1">
      <alignment horizontal="right"/>
      <protection locked="0"/>
    </xf>
    <xf numFmtId="1" fontId="6" fillId="0" borderId="40" xfId="126" applyNumberFormat="1" applyFont="1" applyBorder="1" applyAlignment="1">
      <alignment horizontal="right"/>
    </xf>
    <xf numFmtId="1" fontId="6" fillId="0" borderId="90" xfId="126" applyNumberFormat="1" applyFont="1" applyBorder="1" applyAlignment="1">
      <alignment horizontal="right"/>
    </xf>
    <xf numFmtId="1" fontId="6" fillId="24" borderId="106" xfId="126" applyNumberFormat="1" applyFont="1" applyFill="1" applyBorder="1" applyAlignment="1" applyProtection="1">
      <alignment horizontal="right"/>
      <protection locked="0"/>
    </xf>
    <xf numFmtId="1" fontId="6" fillId="24" borderId="105" xfId="126" applyNumberFormat="1" applyFont="1" applyFill="1" applyBorder="1" applyAlignment="1" applyProtection="1">
      <alignment horizontal="right"/>
      <protection locked="0"/>
    </xf>
    <xf numFmtId="1" fontId="6" fillId="24" borderId="43" xfId="126" applyNumberFormat="1" applyFont="1" applyFill="1" applyBorder="1" applyAlignment="1" applyProtection="1">
      <alignment horizontal="right"/>
      <protection locked="0"/>
    </xf>
    <xf numFmtId="1" fontId="6" fillId="24" borderId="87" xfId="126" applyNumberFormat="1" applyFont="1" applyFill="1" applyBorder="1" applyAlignment="1" applyProtection="1">
      <alignment horizontal="right"/>
      <protection locked="0"/>
    </xf>
    <xf numFmtId="1" fontId="6" fillId="24" borderId="37" xfId="126" applyNumberFormat="1" applyFont="1" applyFill="1" applyBorder="1" applyAlignment="1" applyProtection="1">
      <alignment horizontal="right"/>
      <protection locked="0"/>
    </xf>
    <xf numFmtId="1" fontId="6" fillId="0" borderId="82" xfId="126" applyNumberFormat="1" applyFont="1" applyBorder="1" applyAlignment="1">
      <alignment horizontal="right"/>
    </xf>
    <xf numFmtId="1" fontId="6" fillId="24" borderId="70" xfId="126" applyNumberFormat="1" applyFont="1" applyFill="1" applyBorder="1" applyAlignment="1" applyProtection="1">
      <alignment horizontal="right"/>
      <protection locked="0"/>
    </xf>
    <xf numFmtId="1" fontId="6" fillId="24" borderId="90" xfId="126" applyNumberFormat="1" applyFont="1" applyFill="1" applyBorder="1" applyAlignment="1" applyProtection="1">
      <alignment horizontal="right"/>
      <protection locked="0"/>
    </xf>
    <xf numFmtId="1" fontId="6" fillId="24" borderId="42" xfId="126" applyNumberFormat="1" applyFont="1" applyFill="1" applyBorder="1" applyAlignment="1" applyProtection="1">
      <alignment horizontal="right"/>
      <protection locked="0"/>
    </xf>
    <xf numFmtId="1" fontId="6" fillId="24" borderId="149" xfId="126" applyNumberFormat="1" applyFont="1" applyFill="1" applyBorder="1" applyAlignment="1" applyProtection="1">
      <alignment horizontal="right"/>
      <protection locked="0"/>
    </xf>
    <xf numFmtId="1" fontId="6" fillId="24" borderId="103" xfId="126" applyNumberFormat="1" applyFont="1" applyFill="1" applyBorder="1" applyAlignment="1" applyProtection="1">
      <alignment horizontal="right"/>
      <protection locked="0"/>
    </xf>
    <xf numFmtId="1" fontId="6" fillId="24" borderId="82" xfId="126" applyNumberFormat="1" applyFont="1" applyFill="1" applyBorder="1" applyAlignment="1" applyProtection="1">
      <alignment horizontal="right"/>
      <protection locked="0"/>
    </xf>
    <xf numFmtId="1" fontId="6" fillId="24" borderId="83" xfId="126" applyNumberFormat="1" applyFont="1" applyFill="1" applyBorder="1" applyAlignment="1" applyProtection="1">
      <alignment horizontal="right"/>
      <protection locked="0"/>
    </xf>
    <xf numFmtId="1" fontId="6" fillId="24" borderId="147" xfId="126" applyNumberFormat="1" applyFont="1" applyFill="1" applyBorder="1" applyAlignment="1" applyProtection="1">
      <alignment horizontal="right"/>
      <protection locked="0"/>
    </xf>
    <xf numFmtId="1" fontId="6" fillId="24" borderId="133" xfId="126" applyNumberFormat="1" applyFont="1" applyFill="1" applyBorder="1" applyAlignment="1" applyProtection="1">
      <alignment horizontal="right"/>
      <protection locked="0"/>
    </xf>
    <xf numFmtId="1" fontId="6" fillId="24" borderId="91" xfId="126" applyNumberFormat="1" applyFont="1" applyFill="1" applyBorder="1" applyAlignment="1" applyProtection="1">
      <alignment horizontal="right"/>
      <protection locked="0"/>
    </xf>
    <xf numFmtId="1" fontId="6" fillId="24" borderId="92" xfId="126" applyNumberFormat="1" applyFont="1" applyFill="1" applyBorder="1" applyAlignment="1" applyProtection="1">
      <alignment horizontal="right"/>
      <protection locked="0"/>
    </xf>
    <xf numFmtId="1" fontId="6" fillId="24" borderId="142" xfId="126" applyNumberFormat="1" applyFont="1" applyFill="1" applyBorder="1" applyAlignment="1" applyProtection="1">
      <alignment horizontal="right"/>
      <protection locked="0"/>
    </xf>
    <xf numFmtId="1" fontId="6" fillId="20" borderId="33" xfId="126" applyNumberFormat="1" applyFont="1" applyFill="1" applyBorder="1" applyAlignment="1">
      <alignment horizontal="right"/>
    </xf>
    <xf numFmtId="1" fontId="6" fillId="20" borderId="38" xfId="126" applyNumberFormat="1" applyFont="1" applyFill="1" applyBorder="1" applyAlignment="1">
      <alignment horizontal="right"/>
    </xf>
    <xf numFmtId="1" fontId="6" fillId="0" borderId="109" xfId="126" applyNumberFormat="1" applyFont="1" applyBorder="1" applyAlignment="1">
      <alignment horizontal="right"/>
    </xf>
    <xf numFmtId="1" fontId="6" fillId="0" borderId="110" xfId="126" applyNumberFormat="1" applyFont="1" applyBorder="1" applyAlignment="1">
      <alignment horizontal="right"/>
    </xf>
    <xf numFmtId="1" fontId="6" fillId="0" borderId="111" xfId="126" applyNumberFormat="1" applyFont="1" applyBorder="1" applyAlignment="1">
      <alignment horizontal="right"/>
    </xf>
    <xf numFmtId="1" fontId="6" fillId="20" borderId="154" xfId="126" applyNumberFormat="1" applyFont="1" applyFill="1" applyBorder="1" applyAlignment="1">
      <alignment horizontal="right"/>
    </xf>
    <xf numFmtId="1" fontId="6" fillId="0" borderId="113" xfId="126" applyNumberFormat="1" applyFont="1" applyBorder="1" applyAlignment="1">
      <alignment horizontal="right"/>
    </xf>
    <xf numFmtId="1" fontId="6" fillId="0" borderId="114" xfId="126" applyNumberFormat="1" applyFont="1" applyBorder="1" applyAlignment="1">
      <alignment horizontal="right"/>
    </xf>
    <xf numFmtId="1" fontId="6" fillId="0" borderId="112" xfId="126" applyNumberFormat="1" applyFont="1" applyBorder="1" applyAlignment="1">
      <alignment horizontal="right"/>
    </xf>
    <xf numFmtId="1" fontId="6" fillId="24" borderId="113" xfId="126" applyNumberFormat="1" applyFont="1" applyFill="1" applyBorder="1" applyAlignment="1" applyProtection="1">
      <alignment horizontal="right"/>
      <protection locked="0"/>
    </xf>
    <xf numFmtId="1" fontId="6" fillId="24" borderId="112" xfId="126" applyNumberFormat="1" applyFont="1" applyFill="1" applyBorder="1" applyAlignment="1" applyProtection="1">
      <alignment horizontal="right"/>
      <protection locked="0"/>
    </xf>
    <xf numFmtId="1" fontId="6" fillId="24" borderId="155" xfId="126" applyNumberFormat="1" applyFont="1" applyFill="1" applyBorder="1" applyAlignment="1" applyProtection="1">
      <alignment horizontal="right"/>
      <protection locked="0"/>
    </xf>
    <xf numFmtId="1" fontId="6" fillId="20" borderId="115" xfId="126" applyNumberFormat="1" applyFont="1" applyFill="1" applyBorder="1" applyAlignment="1">
      <alignment horizontal="right"/>
    </xf>
    <xf numFmtId="1" fontId="6" fillId="24" borderId="137" xfId="126" applyNumberFormat="1" applyFont="1" applyFill="1" applyBorder="1" applyAlignment="1" applyProtection="1">
      <alignment horizontal="right"/>
      <protection locked="0"/>
    </xf>
    <xf numFmtId="1" fontId="6" fillId="0" borderId="7" xfId="126" applyNumberFormat="1" applyFont="1" applyBorder="1" applyAlignment="1">
      <alignment horizontal="right"/>
    </xf>
    <xf numFmtId="1" fontId="6" fillId="0" borderId="78" xfId="126" applyNumberFormat="1" applyFont="1" applyBorder="1" applyAlignment="1">
      <alignment horizontal="right"/>
    </xf>
    <xf numFmtId="1" fontId="6" fillId="0" borderId="5" xfId="126" applyNumberFormat="1" applyFont="1" applyBorder="1" applyAlignment="1">
      <alignment horizontal="right"/>
    </xf>
    <xf numFmtId="1" fontId="6" fillId="24" borderId="34" xfId="126" applyNumberFormat="1" applyFont="1" applyFill="1" applyBorder="1" applyAlignment="1" applyProtection="1">
      <alignment horizontal="right"/>
      <protection locked="0"/>
    </xf>
    <xf numFmtId="1" fontId="6" fillId="20" borderId="67" xfId="126" applyNumberFormat="1" applyFont="1" applyFill="1" applyBorder="1" applyAlignment="1">
      <alignment horizontal="right"/>
    </xf>
    <xf numFmtId="1" fontId="6" fillId="20" borderId="86" xfId="126" applyNumberFormat="1" applyFont="1" applyFill="1" applyBorder="1" applyAlignment="1">
      <alignment horizontal="right"/>
    </xf>
    <xf numFmtId="1" fontId="6" fillId="20" borderId="27" xfId="126" applyNumberFormat="1" applyFont="1" applyFill="1" applyBorder="1" applyAlignment="1">
      <alignment horizontal="right"/>
    </xf>
    <xf numFmtId="1" fontId="6" fillId="20" borderId="68" xfId="126" applyNumberFormat="1" applyFont="1" applyFill="1" applyBorder="1" applyAlignment="1">
      <alignment horizontal="right"/>
    </xf>
    <xf numFmtId="1" fontId="6" fillId="20" borderId="69" xfId="126" applyNumberFormat="1" applyFont="1" applyFill="1" applyBorder="1" applyAlignment="1">
      <alignment horizontal="right"/>
    </xf>
    <xf numFmtId="1" fontId="6" fillId="20" borderId="39" xfId="126" applyNumberFormat="1" applyFont="1" applyFill="1" applyBorder="1" applyAlignment="1">
      <alignment horizontal="right"/>
    </xf>
    <xf numFmtId="1" fontId="6" fillId="20" borderId="106" xfId="126" applyNumberFormat="1" applyFont="1" applyFill="1" applyBorder="1" applyAlignment="1">
      <alignment horizontal="right"/>
    </xf>
    <xf numFmtId="1" fontId="6" fillId="20" borderId="105" xfId="126" applyNumberFormat="1" applyFont="1" applyFill="1" applyBorder="1" applyAlignment="1">
      <alignment horizontal="right"/>
    </xf>
    <xf numFmtId="1" fontId="6" fillId="20" borderId="124" xfId="126" applyNumberFormat="1" applyFont="1" applyFill="1" applyBorder="1" applyAlignment="1">
      <alignment horizontal="right"/>
    </xf>
    <xf numFmtId="1" fontId="6" fillId="24" borderId="124" xfId="126" applyNumberFormat="1" applyFont="1" applyFill="1" applyBorder="1" applyAlignment="1" applyProtection="1">
      <alignment horizontal="right"/>
      <protection locked="0"/>
    </xf>
    <xf numFmtId="1" fontId="6" fillId="0" borderId="8" xfId="126" applyNumberFormat="1" applyFont="1" applyBorder="1" applyAlignment="1">
      <alignment horizontal="right"/>
    </xf>
    <xf numFmtId="1" fontId="6" fillId="0" borderId="64" xfId="126" applyNumberFormat="1" applyFont="1" applyBorder="1" applyAlignment="1">
      <alignment horizontal="right"/>
    </xf>
    <xf numFmtId="1" fontId="6" fillId="0" borderId="93" xfId="126" applyNumberFormat="1" applyFont="1" applyBorder="1" applyAlignment="1">
      <alignment horizontal="right"/>
    </xf>
    <xf numFmtId="1" fontId="6" fillId="0" borderId="32" xfId="126" applyNumberFormat="1" applyFont="1" applyBorder="1" applyAlignment="1">
      <alignment horizontal="right"/>
    </xf>
    <xf numFmtId="1" fontId="6" fillId="0" borderId="34" xfId="126" applyNumberFormat="1" applyFont="1" applyBorder="1" applyAlignment="1">
      <alignment horizontal="right"/>
    </xf>
    <xf numFmtId="1" fontId="6" fillId="0" borderId="39" xfId="126" applyNumberFormat="1" applyFont="1" applyBorder="1" applyAlignment="1">
      <alignment horizontal="right"/>
    </xf>
    <xf numFmtId="1" fontId="6" fillId="24" borderId="95" xfId="126" applyNumberFormat="1" applyFont="1" applyFill="1" applyBorder="1" applyAlignment="1" applyProtection="1">
      <alignment horizontal="right"/>
      <protection locked="0"/>
    </xf>
    <xf numFmtId="1" fontId="6" fillId="0" borderId="124" xfId="126" applyNumberFormat="1" applyFont="1" applyBorder="1" applyAlignment="1">
      <alignment horizontal="right"/>
    </xf>
    <xf numFmtId="1" fontId="6" fillId="0" borderId="120" xfId="126" applyNumberFormat="1" applyFont="1" applyBorder="1" applyAlignment="1">
      <alignment horizontal="right"/>
    </xf>
    <xf numFmtId="1" fontId="6" fillId="0" borderId="125" xfId="126" applyNumberFormat="1" applyFont="1" applyBorder="1" applyAlignment="1">
      <alignment horizontal="right"/>
    </xf>
    <xf numFmtId="1" fontId="6" fillId="24" borderId="140" xfId="126" applyNumberFormat="1" applyFont="1" applyFill="1" applyBorder="1" applyAlignment="1" applyProtection="1">
      <alignment horizontal="right"/>
      <protection locked="0"/>
    </xf>
    <xf numFmtId="1" fontId="6" fillId="24" borderId="98" xfId="126" applyNumberFormat="1" applyFont="1" applyFill="1" applyBorder="1" applyAlignment="1" applyProtection="1">
      <alignment horizontal="right"/>
      <protection locked="0"/>
    </xf>
    <xf numFmtId="1" fontId="6" fillId="24" borderId="96" xfId="126" applyNumberFormat="1" applyFont="1" applyFill="1" applyBorder="1" applyAlignment="1" applyProtection="1">
      <alignment horizontal="right"/>
      <protection locked="0"/>
    </xf>
    <xf numFmtId="1" fontId="6" fillId="24" borderId="143" xfId="126" applyNumberFormat="1" applyFont="1" applyFill="1" applyBorder="1" applyAlignment="1" applyProtection="1">
      <alignment horizontal="right"/>
      <protection locked="0"/>
    </xf>
    <xf numFmtId="1" fontId="6" fillId="20" borderId="124" xfId="0" applyNumberFormat="1" applyFont="1" applyFill="1" applyBorder="1" applyAlignment="1">
      <alignment horizontal="right"/>
    </xf>
    <xf numFmtId="1" fontId="6" fillId="0" borderId="121" xfId="126" applyNumberFormat="1" applyFont="1" applyBorder="1" applyAlignment="1">
      <alignment horizontal="right"/>
    </xf>
    <xf numFmtId="1" fontId="6" fillId="24" borderId="139" xfId="126" applyNumberFormat="1" applyFont="1" applyFill="1" applyBorder="1" applyAlignment="1" applyProtection="1">
      <alignment horizontal="right"/>
      <protection locked="0"/>
    </xf>
    <xf numFmtId="1" fontId="6" fillId="24" borderId="144" xfId="126" applyNumberFormat="1" applyFont="1" applyFill="1" applyBorder="1" applyAlignment="1" applyProtection="1">
      <alignment horizontal="right"/>
      <protection locked="0"/>
    </xf>
    <xf numFmtId="1" fontId="6" fillId="24" borderId="58" xfId="126" applyNumberFormat="1" applyFont="1" applyFill="1" applyBorder="1" applyAlignment="1" applyProtection="1">
      <alignment horizontal="right"/>
      <protection locked="0"/>
    </xf>
    <xf numFmtId="1" fontId="6" fillId="0" borderId="126" xfId="126" applyNumberFormat="1" applyFont="1" applyBorder="1" applyAlignment="1">
      <alignment horizontal="right"/>
    </xf>
    <xf numFmtId="1" fontId="6" fillId="24" borderId="61" xfId="126" applyNumberFormat="1" applyFont="1" applyFill="1" applyBorder="1" applyAlignment="1" applyProtection="1">
      <alignment horizontal="right"/>
      <protection locked="0"/>
    </xf>
    <xf numFmtId="1" fontId="6" fillId="0" borderId="23" xfId="126" applyNumberFormat="1" applyFont="1" applyBorder="1" applyAlignment="1">
      <alignment horizontal="right"/>
    </xf>
    <xf numFmtId="1" fontId="6" fillId="0" borderId="62" xfId="126" applyNumberFormat="1" applyFont="1" applyBorder="1" applyAlignment="1">
      <alignment horizontal="right"/>
    </xf>
    <xf numFmtId="1" fontId="6" fillId="24" borderId="27" xfId="126" applyNumberFormat="1" applyFont="1" applyFill="1" applyBorder="1" applyAlignment="1" applyProtection="1">
      <alignment horizontal="right"/>
      <protection locked="0"/>
    </xf>
    <xf numFmtId="1" fontId="6" fillId="24" borderId="24" xfId="126" applyNumberFormat="1" applyFont="1" applyFill="1" applyBorder="1" applyAlignment="1" applyProtection="1">
      <alignment horizontal="right"/>
      <protection locked="0"/>
    </xf>
    <xf numFmtId="1" fontId="6" fillId="24" borderId="85" xfId="126" applyNumberFormat="1" applyFont="1" applyFill="1" applyBorder="1" applyAlignment="1" applyProtection="1">
      <alignment horizontal="right"/>
      <protection locked="0"/>
    </xf>
    <xf numFmtId="1" fontId="6" fillId="24" borderId="104" xfId="126" applyNumberFormat="1" applyFont="1" applyFill="1" applyBorder="1" applyAlignment="1" applyProtection="1">
      <alignment horizontal="right"/>
      <protection locked="0"/>
    </xf>
    <xf numFmtId="1" fontId="6" fillId="24" borderId="36" xfId="126" applyNumberFormat="1" applyFont="1" applyFill="1" applyBorder="1" applyAlignment="1" applyProtection="1">
      <alignment horizontal="right"/>
      <protection locked="0"/>
    </xf>
    <xf numFmtId="1" fontId="6" fillId="24" borderId="107" xfId="126" applyNumberFormat="1" applyFont="1" applyFill="1" applyBorder="1" applyAlignment="1" applyProtection="1">
      <alignment horizontal="right"/>
      <protection locked="0"/>
    </xf>
    <xf numFmtId="1" fontId="6" fillId="24" borderId="84" xfId="126" applyNumberFormat="1" applyFont="1" applyFill="1" applyBorder="1" applyAlignment="1" applyProtection="1">
      <alignment horizontal="right"/>
      <protection locked="0"/>
    </xf>
    <xf numFmtId="1" fontId="6" fillId="24" borderId="31" xfId="126" applyNumberFormat="1" applyFont="1" applyFill="1" applyBorder="1" applyAlignment="1" applyProtection="1">
      <alignment horizontal="right"/>
      <protection locked="0"/>
    </xf>
    <xf numFmtId="1" fontId="6" fillId="24" borderId="130" xfId="126" applyNumberFormat="1" applyFont="1" applyFill="1" applyBorder="1" applyAlignment="1" applyProtection="1">
      <alignment horizontal="right"/>
      <protection locked="0"/>
    </xf>
    <xf numFmtId="1" fontId="6" fillId="24" borderId="118" xfId="126" applyNumberFormat="1" applyFont="1" applyFill="1" applyBorder="1" applyAlignment="1" applyProtection="1">
      <alignment horizontal="right"/>
      <protection locked="0"/>
    </xf>
    <xf numFmtId="1" fontId="6" fillId="24" borderId="7" xfId="126" applyNumberFormat="1" applyFont="1" applyFill="1" applyBorder="1" applyAlignment="1" applyProtection="1">
      <alignment horizontal="right"/>
      <protection locked="0"/>
    </xf>
    <xf numFmtId="1" fontId="6" fillId="24" borderId="64" xfId="126" applyNumberFormat="1" applyFont="1" applyFill="1" applyBorder="1" applyAlignment="1" applyProtection="1">
      <alignment horizontal="right"/>
      <protection locked="0"/>
    </xf>
    <xf numFmtId="1" fontId="6" fillId="24" borderId="78" xfId="126" applyNumberFormat="1" applyFont="1" applyFill="1" applyBorder="1" applyAlignment="1" applyProtection="1">
      <alignment horizontal="right"/>
      <protection locked="0"/>
    </xf>
    <xf numFmtId="1" fontId="6" fillId="0" borderId="67" xfId="127" applyNumberFormat="1" applyFont="1" applyBorder="1" applyAlignment="1">
      <alignment horizontal="right"/>
    </xf>
    <xf numFmtId="1" fontId="6" fillId="0" borderId="24" xfId="127" applyNumberFormat="1" applyFont="1" applyBorder="1" applyAlignment="1">
      <alignment horizontal="right"/>
    </xf>
    <xf numFmtId="1" fontId="6" fillId="0" borderId="86" xfId="127" applyNumberFormat="1" applyFont="1" applyBorder="1" applyAlignment="1">
      <alignment horizontal="right"/>
    </xf>
    <xf numFmtId="1" fontId="6" fillId="15" borderId="67" xfId="127" applyNumberFormat="1" applyFont="1" applyFill="1" applyBorder="1" applyAlignment="1" applyProtection="1">
      <alignment horizontal="right"/>
      <protection locked="0"/>
    </xf>
    <xf numFmtId="1" fontId="6" fillId="15" borderId="86" xfId="127" applyNumberFormat="1" applyFont="1" applyFill="1" applyBorder="1" applyAlignment="1" applyProtection="1">
      <alignment horizontal="right"/>
      <protection locked="0"/>
    </xf>
    <xf numFmtId="1" fontId="6" fillId="15" borderId="129" xfId="127" applyNumberFormat="1" applyFont="1" applyFill="1" applyBorder="1" applyAlignment="1" applyProtection="1">
      <alignment horizontal="right"/>
      <protection locked="0"/>
    </xf>
    <xf numFmtId="1" fontId="6" fillId="15" borderId="103" xfId="127" applyNumberFormat="1" applyFont="1" applyFill="1" applyBorder="1" applyAlignment="1" applyProtection="1">
      <alignment horizontal="right"/>
      <protection locked="0"/>
    </xf>
    <xf numFmtId="1" fontId="6" fillId="15" borderId="24" xfId="127" applyNumberFormat="1" applyFont="1" applyFill="1" applyBorder="1" applyAlignment="1" applyProtection="1">
      <alignment horizontal="right"/>
      <protection locked="0"/>
    </xf>
    <xf numFmtId="1" fontId="6" fillId="0" borderId="68" xfId="127" applyNumberFormat="1" applyFont="1" applyBorder="1" applyAlignment="1">
      <alignment horizontal="right"/>
    </xf>
    <xf numFmtId="1" fontId="6" fillId="0" borderId="36" xfId="127" applyNumberFormat="1" applyFont="1" applyBorder="1" applyAlignment="1">
      <alignment horizontal="right"/>
    </xf>
    <xf numFmtId="1" fontId="6" fillId="0" borderId="69" xfId="127" applyNumberFormat="1" applyFont="1" applyBorder="1" applyAlignment="1">
      <alignment horizontal="right"/>
    </xf>
    <xf numFmtId="1" fontId="6" fillId="15" borderId="68" xfId="127" applyNumberFormat="1" applyFont="1" applyFill="1" applyBorder="1" applyAlignment="1" applyProtection="1">
      <alignment horizontal="right"/>
      <protection locked="0"/>
    </xf>
    <xf numFmtId="1" fontId="6" fillId="15" borderId="69" xfId="127" applyNumberFormat="1" applyFont="1" applyFill="1" applyBorder="1" applyAlignment="1" applyProtection="1">
      <alignment horizontal="right"/>
      <protection locked="0"/>
    </xf>
    <xf numFmtId="1" fontId="6" fillId="15" borderId="107" xfId="127" applyNumberFormat="1" applyFont="1" applyFill="1" applyBorder="1" applyAlignment="1" applyProtection="1">
      <alignment horizontal="right"/>
      <protection locked="0"/>
    </xf>
    <xf numFmtId="1" fontId="6" fillId="15" borderId="95" xfId="127" applyNumberFormat="1" applyFont="1" applyFill="1" applyBorder="1" applyAlignment="1" applyProtection="1">
      <alignment horizontal="right"/>
      <protection locked="0"/>
    </xf>
    <xf numFmtId="1" fontId="6" fillId="15" borderId="36" xfId="127" applyNumberFormat="1" applyFont="1" applyFill="1" applyBorder="1" applyAlignment="1" applyProtection="1">
      <alignment horizontal="right"/>
      <protection locked="0"/>
    </xf>
    <xf numFmtId="1" fontId="6" fillId="15" borderId="106" xfId="127" applyNumberFormat="1" applyFont="1" applyFill="1" applyBorder="1" applyAlignment="1" applyProtection="1">
      <alignment horizontal="right"/>
      <protection locked="0"/>
    </xf>
    <xf numFmtId="1" fontId="6" fillId="15" borderId="105" xfId="127" applyNumberFormat="1" applyFont="1" applyFill="1" applyBorder="1" applyAlignment="1" applyProtection="1">
      <alignment horizontal="right"/>
      <protection locked="0"/>
    </xf>
    <xf numFmtId="1" fontId="6" fillId="15" borderId="118" xfId="127" applyNumberFormat="1" applyFont="1" applyFill="1" applyBorder="1" applyAlignment="1" applyProtection="1">
      <alignment horizontal="right"/>
      <protection locked="0"/>
    </xf>
    <xf numFmtId="1" fontId="6" fillId="15" borderId="133" xfId="127" applyNumberFormat="1" applyFont="1" applyFill="1" applyBorder="1" applyAlignment="1" applyProtection="1">
      <alignment horizontal="right"/>
      <protection locked="0"/>
    </xf>
    <xf numFmtId="1" fontId="6" fillId="15" borderId="104" xfId="127" applyNumberFormat="1" applyFont="1" applyFill="1" applyBorder="1" applyAlignment="1" applyProtection="1">
      <alignment horizontal="right"/>
      <protection locked="0"/>
    </xf>
    <xf numFmtId="1" fontId="6" fillId="0" borderId="7" xfId="127" applyNumberFormat="1" applyFont="1" applyBorder="1" applyAlignment="1">
      <alignment horizontal="right"/>
    </xf>
    <xf numFmtId="1" fontId="6" fillId="0" borderId="78" xfId="127" applyNumberFormat="1" applyFont="1" applyBorder="1" applyAlignment="1">
      <alignment horizontal="right"/>
    </xf>
    <xf numFmtId="1" fontId="6" fillId="0" borderId="5" xfId="127" applyNumberFormat="1" applyFont="1" applyBorder="1" applyAlignment="1">
      <alignment horizontal="right"/>
    </xf>
    <xf numFmtId="1" fontId="6" fillId="0" borderId="23" xfId="127" applyNumberFormat="1" applyFont="1" applyBorder="1" applyAlignment="1">
      <alignment horizontal="right"/>
    </xf>
    <xf numFmtId="1" fontId="6" fillId="0" borderId="81" xfId="127" applyNumberFormat="1" applyFont="1" applyBorder="1" applyAlignment="1">
      <alignment horizontal="right"/>
    </xf>
    <xf numFmtId="1" fontId="6" fillId="0" borderId="69" xfId="14" applyNumberFormat="1" applyFont="1" applyFill="1" applyBorder="1" applyAlignment="1" applyProtection="1">
      <alignment horizontal="right"/>
    </xf>
    <xf numFmtId="1" fontId="6" fillId="0" borderId="98" xfId="127" applyNumberFormat="1" applyFont="1" applyBorder="1" applyAlignment="1">
      <alignment horizontal="right"/>
    </xf>
    <xf numFmtId="1" fontId="6" fillId="0" borderId="117" xfId="127" applyNumberFormat="1" applyFont="1" applyBorder="1" applyAlignment="1">
      <alignment horizontal="right"/>
    </xf>
    <xf numFmtId="1" fontId="6" fillId="0" borderId="96" xfId="14" applyNumberFormat="1" applyFont="1" applyFill="1" applyBorder="1" applyAlignment="1" applyProtection="1">
      <alignment horizontal="right"/>
    </xf>
    <xf numFmtId="1" fontId="6" fillId="15" borderId="106" xfId="14" applyNumberFormat="1" applyFont="1" applyFill="1" applyBorder="1" applyAlignment="1">
      <alignment horizontal="right"/>
      <protection locked="0"/>
    </xf>
    <xf numFmtId="1" fontId="6" fillId="15" borderId="105" xfId="14" applyNumberFormat="1" applyFont="1" applyFill="1" applyBorder="1" applyAlignment="1">
      <alignment horizontal="right"/>
      <protection locked="0"/>
    </xf>
    <xf numFmtId="1" fontId="6" fillId="15" borderId="118" xfId="14" applyNumberFormat="1" applyFont="1" applyFill="1" applyBorder="1" applyAlignment="1">
      <alignment horizontal="right"/>
      <protection locked="0"/>
    </xf>
    <xf numFmtId="1" fontId="6" fillId="15" borderId="133" xfId="14" applyNumberFormat="1" applyFont="1" applyFill="1" applyBorder="1" applyAlignment="1">
      <alignment horizontal="right"/>
      <protection locked="0"/>
    </xf>
    <xf numFmtId="1" fontId="6" fillId="15" borderId="137" xfId="14" applyNumberFormat="1" applyFont="1" applyFill="1" applyBorder="1" applyAlignment="1">
      <alignment horizontal="right"/>
      <protection locked="0"/>
    </xf>
    <xf numFmtId="1" fontId="6" fillId="15" borderId="104" xfId="14" applyNumberFormat="1" applyFont="1" applyFill="1" applyBorder="1" applyAlignment="1">
      <alignment horizontal="right"/>
      <protection locked="0"/>
    </xf>
    <xf numFmtId="1" fontId="6" fillId="0" borderId="64" xfId="127" applyNumberFormat="1" applyFont="1" applyBorder="1" applyAlignment="1">
      <alignment horizontal="right"/>
    </xf>
    <xf numFmtId="1" fontId="6" fillId="0" borderId="7" xfId="14" applyNumberFormat="1" applyFont="1" applyFill="1" applyBorder="1" applyAlignment="1" applyProtection="1">
      <alignment horizontal="right"/>
    </xf>
    <xf numFmtId="1" fontId="6" fillId="0" borderId="64" xfId="14" applyNumberFormat="1" applyFont="1" applyFill="1" applyBorder="1" applyAlignment="1" applyProtection="1">
      <alignment horizontal="right"/>
    </xf>
    <xf numFmtId="1" fontId="6" fillId="0" borderId="82" xfId="14" applyNumberFormat="1" applyFont="1" applyFill="1" applyBorder="1" applyAlignment="1" applyProtection="1">
      <alignment horizontal="right"/>
    </xf>
    <xf numFmtId="1" fontId="6" fillId="0" borderId="23" xfId="14" applyNumberFormat="1" applyFont="1" applyFill="1" applyBorder="1" applyAlignment="1" applyProtection="1">
      <alignment horizontal="right"/>
    </xf>
    <xf numFmtId="1" fontId="6" fillId="0" borderId="81" xfId="14" applyNumberFormat="1" applyFont="1" applyFill="1" applyBorder="1" applyAlignment="1" applyProtection="1">
      <alignment horizontal="right"/>
    </xf>
    <xf numFmtId="1" fontId="6" fillId="0" borderId="80" xfId="14" applyNumberFormat="1" applyFont="1" applyFill="1" applyBorder="1" applyAlignment="1" applyProtection="1">
      <alignment horizontal="right"/>
    </xf>
    <xf numFmtId="1" fontId="6" fillId="0" borderId="78" xfId="14" applyNumberFormat="1" applyFont="1" applyFill="1" applyBorder="1" applyAlignment="1" applyProtection="1">
      <alignment horizontal="right"/>
    </xf>
    <xf numFmtId="1" fontId="6" fillId="0" borderId="5" xfId="14" applyNumberFormat="1" applyFont="1" applyFill="1" applyBorder="1" applyAlignment="1" applyProtection="1">
      <alignment horizontal="right"/>
    </xf>
    <xf numFmtId="1" fontId="6" fillId="0" borderId="25" xfId="127" applyNumberFormat="1" applyFont="1" applyBorder="1" applyAlignment="1">
      <alignment horizontal="right"/>
    </xf>
    <xf numFmtId="1" fontId="6" fillId="0" borderId="27" xfId="127" applyNumberFormat="1" applyFont="1" applyBorder="1" applyAlignment="1">
      <alignment horizontal="right"/>
    </xf>
    <xf numFmtId="1" fontId="6" fillId="15" borderId="67" xfId="14" applyNumberFormat="1" applyFont="1" applyFill="1" applyBorder="1" applyAlignment="1">
      <alignment horizontal="right"/>
      <protection locked="0"/>
    </xf>
    <xf numFmtId="1" fontId="6" fillId="15" borderId="86" xfId="14" applyNumberFormat="1" applyFont="1" applyFill="1" applyBorder="1" applyAlignment="1">
      <alignment horizontal="right"/>
      <protection locked="0"/>
    </xf>
    <xf numFmtId="1" fontId="6" fillId="15" borderId="129" xfId="14" applyNumberFormat="1" applyFont="1" applyFill="1" applyBorder="1" applyAlignment="1">
      <alignment horizontal="right"/>
      <protection locked="0"/>
    </xf>
    <xf numFmtId="1" fontId="6" fillId="15" borderId="103" xfId="14" applyNumberFormat="1" applyFont="1" applyFill="1" applyBorder="1" applyAlignment="1">
      <alignment horizontal="right"/>
      <protection locked="0"/>
    </xf>
    <xf numFmtId="1" fontId="6" fillId="15" borderId="87" xfId="14" applyNumberFormat="1" applyFont="1" applyFill="1" applyBorder="1" applyAlignment="1">
      <alignment horizontal="right"/>
      <protection locked="0"/>
    </xf>
    <xf numFmtId="1" fontId="6" fillId="0" borderId="91" xfId="127" applyNumberFormat="1" applyFont="1" applyBorder="1" applyAlignment="1">
      <alignment horizontal="right"/>
    </xf>
    <xf numFmtId="1" fontId="6" fillId="0" borderId="32" xfId="127" applyNumberFormat="1" applyFont="1" applyBorder="1" applyAlignment="1">
      <alignment horizontal="right"/>
    </xf>
    <xf numFmtId="1" fontId="6" fillId="0" borderId="34" xfId="127" applyNumberFormat="1" applyFont="1" applyBorder="1" applyAlignment="1">
      <alignment horizontal="right"/>
    </xf>
    <xf numFmtId="1" fontId="6" fillId="15" borderId="68" xfId="14" applyNumberFormat="1" applyFont="1" applyFill="1" applyBorder="1" applyAlignment="1">
      <alignment horizontal="right"/>
      <protection locked="0"/>
    </xf>
    <xf numFmtId="1" fontId="6" fillId="15" borderId="69" xfId="14" applyNumberFormat="1" applyFont="1" applyFill="1" applyBorder="1" applyAlignment="1">
      <alignment horizontal="right"/>
      <protection locked="0"/>
    </xf>
    <xf numFmtId="1" fontId="6" fillId="15" borderId="107" xfId="14" applyNumberFormat="1" applyFont="1" applyFill="1" applyBorder="1" applyAlignment="1">
      <alignment horizontal="right"/>
      <protection locked="0"/>
    </xf>
    <xf numFmtId="1" fontId="6" fillId="15" borderId="95" xfId="14" applyNumberFormat="1" applyFont="1" applyFill="1" applyBorder="1" applyAlignment="1">
      <alignment horizontal="right"/>
      <protection locked="0"/>
    </xf>
    <xf numFmtId="1" fontId="6" fillId="15" borderId="37" xfId="14" applyNumberFormat="1" applyFont="1" applyFill="1" applyBorder="1" applyAlignment="1">
      <alignment horizontal="right"/>
      <protection locked="0"/>
    </xf>
    <xf numFmtId="1" fontId="6" fillId="0" borderId="82" xfId="127" applyNumberFormat="1" applyFont="1" applyBorder="1" applyAlignment="1">
      <alignment horizontal="right"/>
    </xf>
    <xf numFmtId="1" fontId="6" fillId="0" borderId="8" xfId="127" applyNumberFormat="1" applyFont="1" applyBorder="1" applyAlignment="1">
      <alignment horizontal="right"/>
    </xf>
    <xf numFmtId="1" fontId="6" fillId="0" borderId="25" xfId="14" applyNumberFormat="1" applyFont="1" applyFill="1" applyBorder="1" applyAlignment="1" applyProtection="1">
      <alignment horizontal="right"/>
    </xf>
    <xf numFmtId="1" fontId="6" fillId="0" borderId="86" xfId="14" applyNumberFormat="1" applyFont="1" applyFill="1" applyBorder="1" applyAlignment="1" applyProtection="1">
      <alignment horizontal="right"/>
    </xf>
    <xf numFmtId="1" fontId="6" fillId="15" borderId="24" xfId="14" applyNumberFormat="1" applyFont="1" applyFill="1" applyBorder="1" applyAlignment="1">
      <alignment horizontal="right"/>
      <protection locked="0"/>
    </xf>
    <xf numFmtId="1" fontId="6" fillId="0" borderId="21" xfId="14" applyNumberFormat="1" applyFont="1" applyFill="1" applyBorder="1" applyAlignment="1" applyProtection="1">
      <alignment horizontal="right"/>
    </xf>
    <xf numFmtId="1" fontId="6" fillId="15" borderId="36" xfId="14" applyNumberFormat="1" applyFont="1" applyFill="1" applyBorder="1" applyAlignment="1">
      <alignment horizontal="right"/>
      <protection locked="0"/>
    </xf>
    <xf numFmtId="1" fontId="6" fillId="0" borderId="70" xfId="127" applyNumberFormat="1" applyFont="1" applyBorder="1" applyAlignment="1">
      <alignment horizontal="right"/>
    </xf>
    <xf numFmtId="1" fontId="6" fillId="0" borderId="41" xfId="14" applyNumberFormat="1" applyFont="1" applyFill="1" applyBorder="1" applyAlignment="1" applyProtection="1">
      <alignment horizontal="right"/>
    </xf>
    <xf numFmtId="1" fontId="6" fillId="0" borderId="90" xfId="14" applyNumberFormat="1" applyFont="1" applyFill="1" applyBorder="1" applyAlignment="1" applyProtection="1">
      <alignment horizontal="right"/>
    </xf>
    <xf numFmtId="1" fontId="6" fillId="0" borderId="8" xfId="14" applyNumberFormat="1" applyFont="1" applyFill="1" applyBorder="1" applyAlignment="1" applyProtection="1">
      <alignment horizontal="right"/>
    </xf>
    <xf numFmtId="1" fontId="6" fillId="15" borderId="7" xfId="14" applyNumberFormat="1" applyFont="1" applyFill="1" applyBorder="1" applyAlignment="1">
      <alignment horizontal="right"/>
      <protection locked="0"/>
    </xf>
    <xf numFmtId="1" fontId="6" fillId="15" borderId="5" xfId="14" applyNumberFormat="1" applyFont="1" applyFill="1" applyBorder="1" applyAlignment="1">
      <alignment horizontal="right"/>
      <protection locked="0"/>
    </xf>
    <xf numFmtId="1" fontId="6" fillId="0" borderId="99" xfId="127" applyNumberFormat="1" applyFont="1" applyBorder="1" applyAlignment="1">
      <alignment horizontal="right"/>
    </xf>
    <xf numFmtId="1" fontId="6" fillId="0" borderId="46" xfId="15" applyNumberFormat="1" applyFont="1" applyFill="1" applyBorder="1" applyAlignment="1" applyProtection="1">
      <alignment horizontal="right"/>
    </xf>
    <xf numFmtId="1" fontId="6" fillId="0" borderId="102" xfId="15" applyNumberFormat="1" applyFont="1" applyFill="1" applyBorder="1" applyAlignment="1" applyProtection="1">
      <alignment horizontal="right"/>
    </xf>
    <xf numFmtId="1" fontId="6" fillId="0" borderId="36" xfId="15" applyNumberFormat="1" applyFont="1" applyFill="1" applyBorder="1" applyAlignment="1" applyProtection="1">
      <alignment horizontal="right"/>
    </xf>
    <xf numFmtId="1" fontId="6" fillId="0" borderId="69" xfId="15" applyNumberFormat="1" applyFont="1" applyFill="1" applyBorder="1" applyAlignment="1" applyProtection="1">
      <alignment horizontal="right"/>
    </xf>
    <xf numFmtId="1" fontId="6" fillId="0" borderId="85" xfId="15" applyNumberFormat="1" applyFont="1" applyFill="1" applyBorder="1" applyAlignment="1" applyProtection="1">
      <alignment horizontal="right"/>
    </xf>
    <xf numFmtId="1" fontId="6" fillId="0" borderId="83" xfId="15" applyNumberFormat="1" applyFont="1" applyFill="1" applyBorder="1" applyAlignment="1" applyProtection="1">
      <alignment horizontal="right"/>
    </xf>
    <xf numFmtId="1" fontId="6" fillId="0" borderId="67" xfId="127" applyNumberFormat="1" applyFont="1" applyBorder="1" applyAlignment="1" applyProtection="1">
      <alignment horizontal="right"/>
      <protection hidden="1"/>
    </xf>
    <xf numFmtId="1" fontId="6" fillId="0" borderId="25" xfId="127" applyNumberFormat="1" applyFont="1" applyBorder="1" applyAlignment="1" applyProtection="1">
      <alignment horizontal="right"/>
      <protection hidden="1"/>
    </xf>
    <xf numFmtId="1" fontId="6" fillId="0" borderId="27" xfId="127" applyNumberFormat="1" applyFont="1" applyBorder="1" applyAlignment="1" applyProtection="1">
      <alignment horizontal="right"/>
      <protection hidden="1"/>
    </xf>
    <xf numFmtId="1" fontId="6" fillId="15" borderId="91" xfId="14" applyNumberFormat="1" applyFont="1" applyFill="1" applyBorder="1" applyAlignment="1">
      <alignment horizontal="right"/>
      <protection locked="0"/>
    </xf>
    <xf numFmtId="1" fontId="6" fillId="15" borderId="92" xfId="14" applyNumberFormat="1" applyFont="1" applyFill="1" applyBorder="1" applyAlignment="1">
      <alignment horizontal="right"/>
      <protection locked="0"/>
    </xf>
    <xf numFmtId="1" fontId="6" fillId="0" borderId="106" xfId="127" applyNumberFormat="1" applyFont="1" applyBorder="1" applyAlignment="1" applyProtection="1">
      <alignment horizontal="right"/>
      <protection hidden="1"/>
    </xf>
    <xf numFmtId="1" fontId="6" fillId="0" borderId="123" xfId="127" applyNumberFormat="1" applyFont="1" applyBorder="1" applyAlignment="1" applyProtection="1">
      <alignment horizontal="right"/>
      <protection hidden="1"/>
    </xf>
    <xf numFmtId="1" fontId="6" fillId="0" borderId="124" xfId="127" applyNumberFormat="1" applyFont="1" applyBorder="1" applyAlignment="1" applyProtection="1">
      <alignment horizontal="right"/>
      <protection hidden="1"/>
    </xf>
    <xf numFmtId="1" fontId="6" fillId="24" borderId="23" xfId="126" applyNumberFormat="1" applyFont="1" applyFill="1" applyBorder="1" applyAlignment="1" applyProtection="1">
      <alignment horizontal="right"/>
      <protection locked="0"/>
    </xf>
    <xf numFmtId="1" fontId="6" fillId="24" borderId="5" xfId="126" applyNumberFormat="1" applyFont="1" applyFill="1" applyBorder="1" applyAlignment="1" applyProtection="1">
      <alignment horizontal="right"/>
      <protection locked="0"/>
    </xf>
    <xf numFmtId="1" fontId="6" fillId="24" borderId="80" xfId="126" applyNumberFormat="1" applyFont="1" applyFill="1" applyBorder="1" applyAlignment="1" applyProtection="1">
      <alignment horizontal="right"/>
      <protection locked="0"/>
    </xf>
    <xf numFmtId="1" fontId="6" fillId="0" borderId="130" xfId="126" applyNumberFormat="1" applyFont="1" applyBorder="1" applyAlignment="1">
      <alignment horizontal="right"/>
    </xf>
    <xf numFmtId="1" fontId="6" fillId="0" borderId="118" xfId="126" applyNumberFormat="1" applyFont="1" applyBorder="1" applyAlignment="1">
      <alignment horizontal="right"/>
    </xf>
    <xf numFmtId="1" fontId="6" fillId="24" borderId="39" xfId="126" applyNumberFormat="1" applyFont="1" applyFill="1" applyBorder="1" applyAlignment="1" applyProtection="1">
      <alignment horizontal="right"/>
      <protection locked="0"/>
    </xf>
    <xf numFmtId="1" fontId="6" fillId="20" borderId="36" xfId="126" applyNumberFormat="1" applyFont="1" applyFill="1" applyBorder="1" applyAlignment="1">
      <alignment horizontal="right"/>
    </xf>
    <xf numFmtId="1" fontId="6" fillId="0" borderId="107" xfId="126" applyNumberFormat="1" applyFont="1" applyBorder="1" applyAlignment="1">
      <alignment horizontal="right"/>
    </xf>
    <xf numFmtId="1" fontId="6" fillId="20" borderId="37" xfId="126" applyNumberFormat="1" applyFont="1" applyFill="1" applyBorder="1" applyAlignment="1">
      <alignment horizontal="right"/>
    </xf>
    <xf numFmtId="1" fontId="6" fillId="0" borderId="70" xfId="126" applyNumberFormat="1" applyFont="1" applyBorder="1" applyAlignment="1">
      <alignment horizontal="right"/>
    </xf>
    <xf numFmtId="1" fontId="6" fillId="0" borderId="131" xfId="126" applyNumberFormat="1" applyFont="1" applyBorder="1" applyAlignment="1">
      <alignment horizontal="right"/>
    </xf>
    <xf numFmtId="1" fontId="6" fillId="24" borderId="44" xfId="126" applyNumberFormat="1" applyFont="1" applyFill="1" applyBorder="1" applyAlignment="1" applyProtection="1">
      <alignment horizontal="right"/>
      <protection locked="0"/>
    </xf>
    <xf numFmtId="1" fontId="6" fillId="0" borderId="129" xfId="126" applyNumberFormat="1" applyFont="1" applyBorder="1" applyAlignment="1">
      <alignment horizontal="right"/>
    </xf>
    <xf numFmtId="1" fontId="6" fillId="0" borderId="85" xfId="126" applyNumberFormat="1" applyFont="1" applyBorder="1" applyAlignment="1">
      <alignment horizontal="right"/>
    </xf>
    <xf numFmtId="1" fontId="6" fillId="0" borderId="132" xfId="126" applyNumberFormat="1" applyFont="1" applyBorder="1" applyAlignment="1">
      <alignment horizontal="right"/>
    </xf>
    <xf numFmtId="1" fontId="6" fillId="24" borderId="29" xfId="126" applyNumberFormat="1" applyFont="1" applyFill="1" applyBorder="1" applyAlignment="1" applyProtection="1">
      <alignment horizontal="right"/>
      <protection locked="0"/>
    </xf>
    <xf numFmtId="1" fontId="6" fillId="24" borderId="7" xfId="46" applyNumberFormat="1" applyFont="1" applyFill="1" applyBorder="1" applyAlignment="1" applyProtection="1">
      <alignment horizontal="right"/>
      <protection locked="0"/>
    </xf>
    <xf numFmtId="1" fontId="6" fillId="24" borderId="78" xfId="46" applyNumberFormat="1" applyFont="1" applyFill="1" applyBorder="1" applyAlignment="1" applyProtection="1">
      <alignment horizontal="right"/>
      <protection locked="0"/>
    </xf>
    <xf numFmtId="1" fontId="6" fillId="24" borderId="5" xfId="46" applyNumberFormat="1" applyFont="1" applyFill="1" applyBorder="1" applyAlignment="1" applyProtection="1">
      <alignment horizontal="right"/>
      <protection locked="0"/>
    </xf>
    <xf numFmtId="1" fontId="6" fillId="24" borderId="129" xfId="126" applyNumberFormat="1" applyFont="1" applyFill="1" applyBorder="1" applyAlignment="1" applyProtection="1">
      <alignment horizontal="right"/>
      <protection locked="0"/>
    </xf>
    <xf numFmtId="1" fontId="6" fillId="24" borderId="131" xfId="126" applyNumberFormat="1" applyFont="1" applyFill="1" applyBorder="1" applyAlignment="1" applyProtection="1">
      <alignment horizontal="right"/>
      <protection locked="0"/>
    </xf>
    <xf numFmtId="1" fontId="6" fillId="24" borderId="32" xfId="126" applyNumberFormat="1" applyFont="1" applyFill="1" applyBorder="1" applyAlignment="1" applyProtection="1">
      <alignment horizontal="right"/>
      <protection locked="0"/>
    </xf>
    <xf numFmtId="1" fontId="6" fillId="20" borderId="91" xfId="126" applyNumberFormat="1" applyFont="1" applyFill="1" applyBorder="1" applyAlignment="1">
      <alignment horizontal="right"/>
    </xf>
    <xf numFmtId="1" fontId="6" fillId="20" borderId="92" xfId="126" applyNumberFormat="1" applyFont="1" applyFill="1" applyBorder="1" applyAlignment="1">
      <alignment horizontal="right"/>
    </xf>
    <xf numFmtId="1" fontId="6" fillId="24" borderId="150" xfId="126" applyNumberFormat="1" applyFont="1" applyFill="1" applyBorder="1" applyAlignment="1" applyProtection="1">
      <alignment horizontal="right"/>
      <protection locked="0"/>
    </xf>
    <xf numFmtId="1" fontId="6" fillId="24" borderId="148" xfId="126" applyNumberFormat="1" applyFont="1" applyFill="1" applyBorder="1" applyAlignment="1" applyProtection="1">
      <alignment horizontal="right"/>
      <protection locked="0"/>
    </xf>
    <xf numFmtId="1" fontId="6" fillId="24" borderId="64" xfId="46" applyNumberFormat="1" applyFont="1" applyFill="1" applyBorder="1" applyAlignment="1" applyProtection="1">
      <alignment horizontal="right"/>
      <protection locked="0"/>
    </xf>
    <xf numFmtId="0" fontId="30" fillId="0" borderId="11" xfId="0" applyFont="1" applyBorder="1" applyAlignment="1">
      <alignment horizontal="right" wrapText="1"/>
    </xf>
    <xf numFmtId="0" fontId="30" fillId="0" borderId="35" xfId="0" applyFont="1" applyBorder="1" applyAlignment="1">
      <alignment horizontal="right" wrapText="1"/>
    </xf>
    <xf numFmtId="0" fontId="30" fillId="0" borderId="30" xfId="0" applyFont="1" applyBorder="1" applyAlignment="1">
      <alignment horizontal="right" wrapText="1"/>
    </xf>
    <xf numFmtId="1" fontId="6" fillId="0" borderId="30" xfId="0" applyNumberFormat="1" applyFont="1" applyBorder="1" applyAlignment="1">
      <alignment horizontal="right" wrapText="1"/>
    </xf>
    <xf numFmtId="1" fontId="6" fillId="0" borderId="35" xfId="0" applyNumberFormat="1" applyFont="1" applyBorder="1" applyAlignment="1">
      <alignment horizontal="right" wrapText="1"/>
    </xf>
    <xf numFmtId="0" fontId="30" fillId="26" borderId="85" xfId="0" applyFont="1" applyFill="1" applyBorder="1" applyAlignment="1" applyProtection="1">
      <alignment horizontal="right"/>
      <protection locked="0"/>
    </xf>
    <xf numFmtId="0" fontId="30" fillId="26" borderId="127" xfId="0" applyFont="1" applyFill="1" applyBorder="1" applyAlignment="1" applyProtection="1">
      <alignment horizontal="right"/>
      <protection locked="0"/>
    </xf>
    <xf numFmtId="0" fontId="30" fillId="26" borderId="29" xfId="0" applyFont="1" applyFill="1" applyBorder="1" applyAlignment="1" applyProtection="1">
      <alignment horizontal="right"/>
      <protection locked="0"/>
    </xf>
    <xf numFmtId="0" fontId="30" fillId="26" borderId="36" xfId="0" applyFont="1" applyFill="1" applyBorder="1" applyAlignment="1" applyProtection="1">
      <alignment horizontal="right"/>
      <protection locked="0"/>
    </xf>
    <xf numFmtId="0" fontId="30" fillId="26" borderId="21" xfId="0" applyFont="1" applyFill="1" applyBorder="1" applyAlignment="1" applyProtection="1">
      <alignment horizontal="right"/>
      <protection locked="0"/>
    </xf>
    <xf numFmtId="0" fontId="30" fillId="26" borderId="39" xfId="0" applyFont="1" applyFill="1" applyBorder="1" applyAlignment="1" applyProtection="1">
      <alignment horizontal="right"/>
      <protection locked="0"/>
    </xf>
    <xf numFmtId="0" fontId="30" fillId="26" borderId="24" xfId="0" applyFont="1" applyFill="1" applyBorder="1" applyAlignment="1" applyProtection="1">
      <alignment horizontal="right"/>
      <protection locked="0"/>
    </xf>
    <xf numFmtId="0" fontId="30" fillId="26" borderId="25" xfId="0" applyFont="1" applyFill="1" applyBorder="1" applyAlignment="1" applyProtection="1">
      <alignment horizontal="right"/>
      <protection locked="0"/>
    </xf>
    <xf numFmtId="0" fontId="30" fillId="26" borderId="86" xfId="0" applyFont="1" applyFill="1" applyBorder="1" applyAlignment="1" applyProtection="1">
      <alignment horizontal="right"/>
      <protection locked="0"/>
    </xf>
    <xf numFmtId="0" fontId="30" fillId="26" borderId="69" xfId="0" applyFont="1" applyFill="1" applyBorder="1" applyAlignment="1" applyProtection="1">
      <alignment horizontal="right"/>
      <protection locked="0"/>
    </xf>
    <xf numFmtId="0" fontId="30" fillId="26" borderId="83" xfId="0" applyFont="1" applyFill="1" applyBorder="1" applyAlignment="1" applyProtection="1">
      <alignment horizontal="right"/>
      <protection locked="0"/>
    </xf>
    <xf numFmtId="1" fontId="6" fillId="17" borderId="5" xfId="109" applyNumberFormat="1" applyFont="1" applyFill="1" applyBorder="1" applyAlignment="1">
      <alignment horizontal="right" wrapText="1"/>
    </xf>
    <xf numFmtId="1" fontId="6" fillId="17" borderId="7" xfId="109" applyNumberFormat="1" applyFont="1" applyFill="1" applyBorder="1" applyAlignment="1">
      <alignment horizontal="right" wrapText="1"/>
    </xf>
    <xf numFmtId="1" fontId="6" fillId="17" borderId="8" xfId="109" applyNumberFormat="1" applyFont="1" applyFill="1" applyBorder="1" applyAlignment="1">
      <alignment horizontal="right" wrapText="1"/>
    </xf>
    <xf numFmtId="1" fontId="6" fillId="15" borderId="78" xfId="73" applyNumberFormat="1" applyFont="1" applyFill="1" applyBorder="1" applyAlignment="1" applyProtection="1">
      <alignment horizontal="right"/>
      <protection locked="0"/>
    </xf>
    <xf numFmtId="1" fontId="6" fillId="15" borderId="81" xfId="73" applyNumberFormat="1" applyFont="1" applyFill="1" applyBorder="1" applyAlignment="1" applyProtection="1">
      <alignment horizontal="right"/>
      <protection locked="0"/>
    </xf>
    <xf numFmtId="1" fontId="6" fillId="15" borderId="34" xfId="14" applyNumberFormat="1" applyFont="1" applyFill="1" applyBorder="1" applyAlignment="1">
      <alignment horizontal="right"/>
      <protection locked="0"/>
    </xf>
    <xf numFmtId="1" fontId="6" fillId="0" borderId="75" xfId="130" applyNumberFormat="1" applyFont="1" applyBorder="1" applyAlignment="1" applyProtection="1">
      <alignment horizontal="right"/>
    </xf>
    <xf numFmtId="1" fontId="6" fillId="15" borderId="75" xfId="14" applyNumberFormat="1" applyFont="1" applyFill="1" applyBorder="1" applyAlignment="1">
      <alignment horizontal="right"/>
      <protection locked="0"/>
    </xf>
    <xf numFmtId="1" fontId="6" fillId="0" borderId="66" xfId="130" applyNumberFormat="1" applyFont="1" applyBorder="1" applyAlignment="1" applyProtection="1">
      <alignment horizontal="right"/>
    </xf>
    <xf numFmtId="1" fontId="6" fillId="15" borderId="124" xfId="14" applyNumberFormat="1" applyFont="1" applyFill="1" applyBorder="1" applyAlignment="1">
      <alignment horizontal="right"/>
      <protection locked="0"/>
    </xf>
    <xf numFmtId="1" fontId="6" fillId="15" borderId="66" xfId="14" applyNumberFormat="1" applyFont="1" applyFill="1" applyBorder="1" applyAlignment="1">
      <alignment horizontal="right"/>
      <protection locked="0"/>
    </xf>
    <xf numFmtId="1" fontId="6" fillId="0" borderId="11" xfId="130" applyNumberFormat="1" applyFont="1" applyBorder="1" applyAlignment="1" applyProtection="1">
      <alignment horizontal="right"/>
    </xf>
    <xf numFmtId="1" fontId="6" fillId="0" borderId="29" xfId="130" applyNumberFormat="1" applyFont="1" applyBorder="1" applyAlignment="1" applyProtection="1">
      <alignment horizontal="right"/>
    </xf>
    <xf numFmtId="1" fontId="6" fillId="15" borderId="30" xfId="14" applyNumberFormat="1" applyFont="1" applyFill="1" applyBorder="1" applyAlignment="1">
      <alignment horizontal="right"/>
      <protection locked="0"/>
    </xf>
    <xf numFmtId="1" fontId="6" fillId="0" borderId="35" xfId="130" applyNumberFormat="1" applyFont="1" applyBorder="1" applyAlignment="1" applyProtection="1">
      <alignment horizontal="right"/>
    </xf>
    <xf numFmtId="1" fontId="6" fillId="0" borderId="1" xfId="26" applyNumberFormat="1" applyFont="1" applyFill="1" applyBorder="1" applyAlignment="1" applyProtection="1">
      <alignment horizontal="right"/>
    </xf>
    <xf numFmtId="1" fontId="10" fillId="22" borderId="0" xfId="128" applyNumberFormat="1" applyFont="1" applyFill="1" applyAlignment="1" applyProtection="1">
      <alignment vertical="center" wrapText="1"/>
      <protection hidden="1"/>
    </xf>
    <xf numFmtId="1" fontId="6" fillId="29" borderId="0" xfId="0" applyNumberFormat="1" applyFont="1" applyFill="1" applyAlignment="1">
      <alignment horizontal="center" vertical="center"/>
    </xf>
    <xf numFmtId="1" fontId="6" fillId="21" borderId="0" xfId="0" applyNumberFormat="1" applyFont="1" applyFill="1" applyAlignment="1">
      <alignment vertical="center"/>
    </xf>
    <xf numFmtId="1" fontId="6" fillId="29" borderId="0" xfId="0" applyNumberFormat="1" applyFont="1" applyFill="1" applyAlignment="1">
      <alignment vertical="center"/>
    </xf>
    <xf numFmtId="1" fontId="6" fillId="21" borderId="1" xfId="0" applyNumberFormat="1" applyFont="1" applyFill="1" applyBorder="1" applyAlignment="1">
      <alignment horizontal="center" vertical="center" wrapText="1"/>
    </xf>
    <xf numFmtId="1" fontId="6" fillId="21" borderId="1" xfId="0" applyNumberFormat="1" applyFont="1" applyFill="1" applyBorder="1" applyAlignment="1">
      <alignment horizontal="center"/>
    </xf>
    <xf numFmtId="1" fontId="6" fillId="21" borderId="1" xfId="0" applyNumberFormat="1" applyFont="1" applyFill="1" applyBorder="1" applyAlignment="1">
      <alignment horizontal="center" vertical="center"/>
    </xf>
    <xf numFmtId="1" fontId="6" fillId="21" borderId="1" xfId="126" applyNumberFormat="1" applyFont="1" applyFill="1" applyBorder="1" applyAlignment="1" applyProtection="1">
      <alignment horizontal="center" vertical="center"/>
      <protection hidden="1"/>
    </xf>
    <xf numFmtId="1" fontId="6" fillId="29" borderId="1" xfId="0" applyNumberFormat="1" applyFont="1" applyFill="1" applyBorder="1" applyAlignment="1">
      <alignment horizontal="center" vertical="center" wrapText="1"/>
    </xf>
    <xf numFmtId="1" fontId="6" fillId="29" borderId="1" xfId="0" applyNumberFormat="1" applyFont="1" applyFill="1" applyBorder="1" applyAlignment="1">
      <alignment horizontal="center" vertical="center"/>
    </xf>
    <xf numFmtId="1" fontId="6" fillId="29" borderId="1" xfId="0" applyNumberFormat="1" applyFont="1" applyFill="1" applyBorder="1" applyAlignment="1">
      <alignment horizontal="center"/>
    </xf>
    <xf numFmtId="1" fontId="6" fillId="0" borderId="27" xfId="125" applyNumberFormat="1" applyFont="1" applyBorder="1" applyAlignment="1">
      <alignment horizontal="left" vertical="center"/>
    </xf>
    <xf numFmtId="1" fontId="6" fillId="0" borderId="39" xfId="126" applyNumberFormat="1" applyFont="1" applyBorder="1" applyAlignment="1">
      <alignment horizontal="left" vertical="center" wrapText="1"/>
    </xf>
    <xf numFmtId="1" fontId="6" fillId="20" borderId="82" xfId="126" applyNumberFormat="1" applyFont="1" applyFill="1" applyBorder="1" applyAlignment="1">
      <alignment horizontal="right"/>
    </xf>
    <xf numFmtId="1" fontId="6" fillId="20" borderId="83" xfId="126" applyNumberFormat="1" applyFont="1" applyFill="1" applyBorder="1" applyAlignment="1">
      <alignment horizontal="right"/>
    </xf>
    <xf numFmtId="1" fontId="6" fillId="20" borderId="87" xfId="126" applyNumberFormat="1" applyFont="1" applyFill="1" applyBorder="1" applyAlignment="1">
      <alignment horizontal="right"/>
    </xf>
    <xf numFmtId="1" fontId="6" fillId="20" borderId="142" xfId="126" applyNumberFormat="1" applyFont="1" applyFill="1" applyBorder="1" applyAlignment="1">
      <alignment horizontal="right"/>
    </xf>
    <xf numFmtId="1" fontId="6" fillId="20" borderId="98" xfId="126" applyNumberFormat="1" applyFont="1" applyFill="1" applyBorder="1" applyAlignment="1">
      <alignment horizontal="right"/>
    </xf>
    <xf numFmtId="1" fontId="6" fillId="20" borderId="96" xfId="126" applyNumberFormat="1" applyFont="1" applyFill="1" applyBorder="1" applyAlignment="1">
      <alignment horizontal="right"/>
    </xf>
    <xf numFmtId="1" fontId="6" fillId="20" borderId="143" xfId="126" applyNumberFormat="1" applyFont="1" applyFill="1" applyBorder="1" applyAlignment="1">
      <alignment horizontal="right"/>
    </xf>
    <xf numFmtId="1" fontId="6" fillId="24" borderId="116" xfId="126" applyNumberFormat="1" applyFont="1" applyFill="1" applyBorder="1" applyAlignment="1" applyProtection="1">
      <alignment horizontal="right"/>
      <protection locked="0"/>
    </xf>
    <xf numFmtId="1" fontId="6" fillId="0" borderId="29" xfId="0" applyNumberFormat="1" applyFont="1" applyBorder="1" applyAlignment="1">
      <alignment horizontal="right"/>
    </xf>
    <xf numFmtId="1" fontId="6" fillId="0" borderId="27" xfId="0" applyNumberFormat="1" applyFont="1" applyBorder="1" applyAlignment="1">
      <alignment horizontal="right"/>
    </xf>
    <xf numFmtId="1" fontId="6" fillId="15" borderId="87" xfId="0" applyNumberFormat="1" applyFont="1" applyFill="1" applyBorder="1" applyAlignment="1" applyProtection="1">
      <alignment horizontal="right"/>
      <protection locked="0"/>
    </xf>
    <xf numFmtId="1" fontId="6" fillId="15" borderId="143" xfId="0" applyNumberFormat="1" applyFont="1" applyFill="1" applyBorder="1" applyAlignment="1" applyProtection="1">
      <alignment horizontal="right"/>
      <protection locked="0"/>
    </xf>
    <xf numFmtId="1" fontId="6" fillId="15" borderId="147" xfId="0" applyNumberFormat="1" applyFont="1" applyFill="1" applyBorder="1" applyAlignment="1" applyProtection="1">
      <alignment horizontal="right"/>
      <protection locked="0"/>
    </xf>
    <xf numFmtId="1" fontId="6" fillId="24" borderId="145" xfId="126" applyNumberFormat="1" applyFont="1" applyFill="1" applyBorder="1" applyAlignment="1" applyProtection="1">
      <alignment horizontal="right"/>
      <protection locked="0"/>
    </xf>
    <xf numFmtId="1" fontId="6" fillId="0" borderId="145" xfId="126" applyNumberFormat="1" applyFont="1" applyBorder="1" applyAlignment="1">
      <alignment horizontal="right"/>
    </xf>
    <xf numFmtId="1" fontId="6" fillId="0" borderId="91" xfId="0" applyNumberFormat="1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" fontId="6" fillId="0" borderId="68" xfId="0" applyNumberFormat="1" applyFont="1" applyBorder="1" applyAlignment="1">
      <alignment wrapText="1"/>
    </xf>
    <xf numFmtId="1" fontId="6" fillId="0" borderId="21" xfId="0" applyNumberFormat="1" applyFont="1" applyBorder="1" applyAlignment="1">
      <alignment wrapText="1"/>
    </xf>
    <xf numFmtId="1" fontId="6" fillId="0" borderId="39" xfId="0" applyNumberFormat="1" applyFont="1" applyBorder="1" applyAlignment="1">
      <alignment wrapText="1"/>
    </xf>
    <xf numFmtId="1" fontId="6" fillId="0" borderId="98" xfId="0" applyNumberFormat="1" applyFont="1" applyBorder="1" applyAlignment="1">
      <alignment wrapText="1"/>
    </xf>
    <xf numFmtId="1" fontId="6" fillId="0" borderId="128" xfId="0" applyNumberFormat="1" applyFont="1" applyBorder="1" applyAlignment="1">
      <alignment wrapText="1"/>
    </xf>
    <xf numFmtId="1" fontId="6" fillId="0" borderId="97" xfId="0" applyNumberFormat="1" applyFont="1" applyBorder="1" applyAlignment="1">
      <alignment wrapText="1"/>
    </xf>
    <xf numFmtId="1" fontId="6" fillId="0" borderId="66" xfId="0" applyNumberFormat="1" applyFont="1" applyBorder="1" applyAlignment="1">
      <alignment vertical="center" wrapText="1"/>
    </xf>
    <xf numFmtId="1" fontId="6" fillId="0" borderId="44" xfId="0" applyNumberFormat="1" applyFont="1" applyBorder="1" applyAlignment="1">
      <alignment horizontal="left" vertical="center" wrapText="1"/>
    </xf>
    <xf numFmtId="1" fontId="6" fillId="0" borderId="183" xfId="126" applyNumberFormat="1" applyFont="1" applyBorder="1" applyAlignment="1">
      <alignment vertical="center" wrapText="1"/>
    </xf>
    <xf numFmtId="1" fontId="6" fillId="0" borderId="83" xfId="126" applyNumberFormat="1" applyFont="1" applyBorder="1" applyAlignment="1">
      <alignment horizontal="right"/>
    </xf>
    <xf numFmtId="1" fontId="6" fillId="20" borderId="28" xfId="126" applyNumberFormat="1" applyFont="1" applyFill="1" applyBorder="1" applyAlignment="1">
      <alignment horizontal="right"/>
    </xf>
    <xf numFmtId="1" fontId="6" fillId="15" borderId="34" xfId="73" applyNumberFormat="1" applyFont="1" applyFill="1" applyBorder="1" applyAlignment="1" applyProtection="1">
      <alignment horizontal="right"/>
      <protection locked="0"/>
    </xf>
    <xf numFmtId="1" fontId="6" fillId="15" borderId="85" xfId="73" applyNumberFormat="1" applyFont="1" applyFill="1" applyBorder="1" applyAlignment="1" applyProtection="1">
      <alignment horizontal="right"/>
      <protection locked="0"/>
    </xf>
    <xf numFmtId="1" fontId="6" fillId="15" borderId="29" xfId="73" applyNumberFormat="1" applyFont="1" applyFill="1" applyBorder="1" applyAlignment="1" applyProtection="1">
      <alignment horizontal="right"/>
      <protection locked="0"/>
    </xf>
    <xf numFmtId="1" fontId="6" fillId="15" borderId="27" xfId="73" applyNumberFormat="1" applyFont="1" applyFill="1" applyBorder="1" applyAlignment="1" applyProtection="1">
      <alignment horizontal="right"/>
      <protection locked="0"/>
    </xf>
    <xf numFmtId="1" fontId="6" fillId="15" borderId="27" xfId="14" applyNumberFormat="1" applyFont="1" applyFill="1" applyBorder="1" applyAlignment="1">
      <alignment horizontal="right"/>
      <protection locked="0"/>
    </xf>
    <xf numFmtId="1" fontId="6" fillId="15" borderId="54" xfId="14" applyNumberFormat="1" applyFont="1" applyFill="1" applyBorder="1" applyAlignment="1">
      <alignment horizontal="right"/>
      <protection locked="0"/>
    </xf>
    <xf numFmtId="1" fontId="6" fillId="15" borderId="184" xfId="14" applyNumberFormat="1" applyFont="1" applyFill="1" applyBorder="1" applyAlignment="1">
      <alignment horizontal="right"/>
      <protection locked="0"/>
    </xf>
    <xf numFmtId="1" fontId="6" fillId="15" borderId="185" xfId="14" applyNumberFormat="1" applyFont="1" applyFill="1" applyBorder="1" applyAlignment="1">
      <alignment horizontal="right"/>
      <protection locked="0"/>
    </xf>
    <xf numFmtId="1" fontId="6" fillId="0" borderId="163" xfId="130" applyNumberFormat="1" applyFont="1" applyBorder="1" applyAlignment="1" applyProtection="1">
      <alignment horizontal="right"/>
    </xf>
    <xf numFmtId="1" fontId="6" fillId="15" borderId="55" xfId="14" applyNumberFormat="1" applyFont="1" applyFill="1" applyBorder="1" applyAlignment="1">
      <alignment horizontal="right"/>
      <protection locked="0"/>
    </xf>
    <xf numFmtId="1" fontId="6" fillId="0" borderId="106" xfId="0" applyNumberFormat="1" applyFont="1" applyBorder="1" applyAlignment="1">
      <alignment wrapText="1"/>
    </xf>
    <xf numFmtId="1" fontId="6" fillId="0" borderId="123" xfId="0" applyNumberFormat="1" applyFont="1" applyBorder="1" applyAlignment="1">
      <alignment wrapText="1"/>
    </xf>
    <xf numFmtId="1" fontId="6" fillId="0" borderId="124" xfId="0" applyNumberFormat="1" applyFont="1" applyBorder="1" applyAlignment="1">
      <alignment wrapText="1"/>
    </xf>
    <xf numFmtId="1" fontId="10" fillId="27" borderId="0" xfId="0" applyNumberFormat="1" applyFont="1" applyFill="1"/>
    <xf numFmtId="1" fontId="10" fillId="28" borderId="0" xfId="0" applyNumberFormat="1" applyFont="1" applyFill="1"/>
    <xf numFmtId="1" fontId="6" fillId="27" borderId="186" xfId="0" applyNumberFormat="1" applyFont="1" applyFill="1" applyBorder="1"/>
    <xf numFmtId="1" fontId="6" fillId="21" borderId="186" xfId="0" applyNumberFormat="1" applyFont="1" applyFill="1" applyBorder="1"/>
    <xf numFmtId="1" fontId="6" fillId="30" borderId="0" xfId="0" applyNumberFormat="1" applyFont="1" applyFill="1"/>
    <xf numFmtId="1" fontId="6" fillId="0" borderId="80" xfId="0" applyNumberFormat="1" applyFont="1" applyBorder="1" applyAlignment="1">
      <alignment horizontal="center" vertical="center"/>
    </xf>
    <xf numFmtId="1" fontId="6" fillId="24" borderId="80" xfId="46" applyNumberFormat="1" applyFont="1" applyFill="1" applyBorder="1" applyAlignment="1" applyProtection="1">
      <alignment horizontal="right"/>
      <protection locked="0"/>
    </xf>
    <xf numFmtId="1" fontId="6" fillId="15" borderId="125" xfId="125" applyNumberFormat="1" applyFont="1" applyFill="1" applyBorder="1" applyAlignment="1" applyProtection="1">
      <alignment horizontal="right"/>
      <protection locked="0"/>
    </xf>
    <xf numFmtId="1" fontId="6" fillId="17" borderId="7" xfId="109" applyNumberFormat="1" applyFont="1" applyFill="1" applyBorder="1" applyAlignment="1">
      <alignment horizontal="center" vertical="center" wrapText="1"/>
    </xf>
    <xf numFmtId="1" fontId="6" fillId="17" borderId="72" xfId="123" applyNumberFormat="1" applyFont="1" applyFill="1" applyBorder="1" applyAlignment="1">
      <alignment horizontal="left" wrapText="1"/>
    </xf>
    <xf numFmtId="1" fontId="6" fillId="17" borderId="91" xfId="123" applyNumberFormat="1" applyFont="1" applyFill="1" applyBorder="1" applyAlignment="1">
      <alignment horizontal="right"/>
    </xf>
    <xf numFmtId="1" fontId="6" fillId="17" borderId="86" xfId="109" applyNumberFormat="1" applyFont="1" applyFill="1" applyBorder="1" applyAlignment="1">
      <alignment horizontal="right" wrapText="1"/>
    </xf>
    <xf numFmtId="1" fontId="6" fillId="17" borderId="94" xfId="123" applyNumberFormat="1" applyFont="1" applyFill="1" applyBorder="1" applyAlignment="1">
      <alignment horizontal="left"/>
    </xf>
    <xf numFmtId="1" fontId="6" fillId="17" borderId="106" xfId="123" applyNumberFormat="1" applyFont="1" applyFill="1" applyBorder="1" applyAlignment="1">
      <alignment horizontal="right"/>
    </xf>
    <xf numFmtId="1" fontId="6" fillId="17" borderId="83" xfId="109" applyNumberFormat="1" applyFont="1" applyFill="1" applyBorder="1" applyAlignment="1">
      <alignment horizontal="right" wrapText="1"/>
    </xf>
    <xf numFmtId="1" fontId="6" fillId="17" borderId="74" xfId="123" applyNumberFormat="1" applyFont="1" applyFill="1" applyBorder="1" applyAlignment="1">
      <alignment horizontal="left"/>
    </xf>
    <xf numFmtId="1" fontId="6" fillId="17" borderId="32" xfId="123" applyNumberFormat="1" applyFont="1" applyFill="1" applyBorder="1" applyAlignment="1">
      <alignment horizontal="right"/>
    </xf>
    <xf numFmtId="1" fontId="6" fillId="17" borderId="92" xfId="109" applyNumberFormat="1" applyFont="1" applyFill="1" applyBorder="1" applyAlignment="1">
      <alignment horizontal="right" wrapText="1"/>
    </xf>
    <xf numFmtId="1" fontId="6" fillId="17" borderId="82" xfId="123" applyNumberFormat="1" applyFont="1" applyFill="1" applyBorder="1" applyAlignment="1">
      <alignment horizontal="right"/>
    </xf>
    <xf numFmtId="1" fontId="6" fillId="17" borderId="127" xfId="123" applyNumberFormat="1" applyFont="1" applyFill="1" applyBorder="1" applyAlignment="1">
      <alignment horizontal="right"/>
    </xf>
    <xf numFmtId="1" fontId="14" fillId="0" borderId="0" xfId="0" applyNumberFormat="1" applyFont="1"/>
    <xf numFmtId="1" fontId="6" fillId="22" borderId="78" xfId="0" applyNumberFormat="1" applyFont="1" applyFill="1" applyBorder="1" applyAlignment="1">
      <alignment horizontal="center" vertical="center"/>
    </xf>
    <xf numFmtId="1" fontId="6" fillId="0" borderId="6" xfId="126" applyNumberFormat="1" applyFont="1" applyBorder="1" applyAlignment="1">
      <alignment vertical="center" wrapText="1"/>
    </xf>
    <xf numFmtId="1" fontId="6" fillId="0" borderId="85" xfId="125" applyNumberFormat="1" applyFont="1" applyBorder="1" applyAlignment="1">
      <alignment horizontal="center" vertical="center" wrapText="1"/>
    </xf>
    <xf numFmtId="1" fontId="6" fillId="0" borderId="45" xfId="0" applyNumberFormat="1" applyFont="1" applyBorder="1" applyAlignment="1" applyProtection="1">
      <alignment horizontal="left" wrapText="1"/>
      <protection hidden="1"/>
    </xf>
    <xf numFmtId="1" fontId="6" fillId="0" borderId="11" xfId="0" applyNumberFormat="1" applyFont="1" applyBorder="1" applyAlignment="1" applyProtection="1">
      <alignment horizontal="left" wrapText="1"/>
      <protection hidden="1"/>
    </xf>
    <xf numFmtId="0" fontId="35" fillId="0" borderId="0" xfId="0" applyFont="1"/>
    <xf numFmtId="1" fontId="6" fillId="15" borderId="34" xfId="138" applyNumberFormat="1" applyFont="1" applyFill="1" applyBorder="1" applyAlignment="1">
      <alignment horizontal="right"/>
      <protection locked="0"/>
    </xf>
    <xf numFmtId="1" fontId="6" fillId="15" borderId="97" xfId="138" applyNumberFormat="1" applyFont="1" applyFill="1" applyBorder="1" applyAlignment="1">
      <alignment horizontal="right"/>
      <protection locked="0"/>
    </xf>
    <xf numFmtId="1" fontId="10" fillId="0" borderId="188" xfId="130" applyNumberFormat="1" applyFont="1" applyBorder="1" applyAlignment="1" applyProtection="1"/>
    <xf numFmtId="1" fontId="6" fillId="0" borderId="186" xfId="130" applyNumberFormat="1" applyFont="1" applyBorder="1" applyAlignment="1" applyProtection="1">
      <alignment horizontal="right"/>
    </xf>
    <xf numFmtId="1" fontId="35" fillId="0" borderId="186" xfId="0" applyNumberFormat="1" applyFont="1" applyBorder="1"/>
    <xf numFmtId="1" fontId="6" fillId="15" borderId="34" xfId="139" applyNumberFormat="1" applyFont="1" applyFill="1" applyBorder="1" applyAlignment="1">
      <alignment horizontal="right"/>
      <protection locked="0"/>
    </xf>
    <xf numFmtId="1" fontId="6" fillId="15" borderId="75" xfId="139" applyNumberFormat="1" applyFont="1" applyFill="1" applyBorder="1" applyAlignment="1">
      <alignment horizontal="right"/>
      <protection locked="0"/>
    </xf>
    <xf numFmtId="1" fontId="6" fillId="15" borderId="184" xfId="139" applyNumberFormat="1" applyFont="1" applyFill="1" applyBorder="1" applyAlignment="1">
      <alignment horizontal="right"/>
      <protection locked="0"/>
    </xf>
    <xf numFmtId="1" fontId="6" fillId="15" borderId="124" xfId="139" applyNumberFormat="1" applyFont="1" applyFill="1" applyBorder="1" applyAlignment="1">
      <alignment horizontal="right"/>
      <protection locked="0"/>
    </xf>
    <xf numFmtId="1" fontId="6" fillId="15" borderId="66" xfId="139" applyNumberFormat="1" applyFont="1" applyFill="1" applyBorder="1" applyAlignment="1">
      <alignment horizontal="right"/>
      <protection locked="0"/>
    </xf>
    <xf numFmtId="1" fontId="6" fillId="15" borderId="185" xfId="139" applyNumberFormat="1" applyFont="1" applyFill="1" applyBorder="1" applyAlignment="1">
      <alignment horizontal="right"/>
      <protection locked="0"/>
    </xf>
    <xf numFmtId="1" fontId="14" fillId="0" borderId="0" xfId="126" applyNumberFormat="1" applyFont="1" applyAlignment="1" applyProtection="1">
      <alignment horizontal="left"/>
      <protection hidden="1"/>
    </xf>
    <xf numFmtId="1" fontId="18" fillId="0" borderId="0" xfId="126" applyNumberFormat="1" applyFont="1" applyAlignment="1" applyProtection="1">
      <alignment vertical="center" wrapText="1"/>
      <protection hidden="1"/>
    </xf>
    <xf numFmtId="1" fontId="6" fillId="0" borderId="75" xfId="126" applyNumberFormat="1" applyFont="1" applyBorder="1" applyAlignment="1" applyProtection="1">
      <alignment horizontal="left" vertical="center" wrapText="1"/>
      <protection hidden="1"/>
    </xf>
    <xf numFmtId="1" fontId="6" fillId="0" borderId="35" xfId="126" applyNumberFormat="1" applyFont="1" applyBorder="1" applyAlignment="1" applyProtection="1">
      <alignment horizontal="left" vertical="center" wrapText="1"/>
      <protection hidden="1"/>
    </xf>
    <xf numFmtId="1" fontId="6" fillId="0" borderId="66" xfId="126" applyNumberFormat="1" applyFont="1" applyBorder="1" applyAlignment="1" applyProtection="1">
      <alignment horizontal="left" vertical="center" wrapText="1"/>
      <protection hidden="1"/>
    </xf>
    <xf numFmtId="0" fontId="36" fillId="22" borderId="39" xfId="126" applyFont="1" applyFill="1" applyBorder="1"/>
    <xf numFmtId="1" fontId="6" fillId="0" borderId="0" xfId="0" applyNumberFormat="1" applyFont="1" applyAlignment="1">
      <alignment horizontal="left"/>
    </xf>
    <xf numFmtId="1" fontId="14" fillId="0" borderId="4" xfId="0" applyNumberFormat="1" applyFont="1" applyBorder="1" applyProtection="1">
      <protection hidden="1"/>
    </xf>
    <xf numFmtId="1" fontId="14" fillId="0" borderId="0" xfId="0" applyNumberFormat="1" applyFont="1" applyProtection="1">
      <protection hidden="1"/>
    </xf>
    <xf numFmtId="1" fontId="6" fillId="0" borderId="189" xfId="0" applyNumberFormat="1" applyFont="1" applyBorder="1" applyAlignment="1" applyProtection="1">
      <alignment horizontal="center" vertical="center" wrapText="1"/>
      <protection hidden="1"/>
    </xf>
    <xf numFmtId="1" fontId="6" fillId="0" borderId="5" xfId="0" applyNumberFormat="1" applyFont="1" applyBorder="1" applyAlignment="1" applyProtection="1">
      <alignment horizontal="center" vertical="center" wrapText="1"/>
      <protection hidden="1"/>
    </xf>
    <xf numFmtId="0" fontId="6" fillId="0" borderId="30" xfId="0" applyFont="1" applyBorder="1"/>
    <xf numFmtId="0" fontId="6" fillId="31" borderId="30" xfId="0" applyFont="1" applyFill="1" applyBorder="1" applyAlignment="1">
      <alignment horizontal="right"/>
    </xf>
    <xf numFmtId="0" fontId="6" fillId="0" borderId="35" xfId="0" applyFont="1" applyBorder="1"/>
    <xf numFmtId="0" fontId="6" fillId="31" borderId="35" xfId="0" applyFont="1" applyFill="1" applyBorder="1" applyAlignment="1">
      <alignment horizontal="right"/>
    </xf>
    <xf numFmtId="0" fontId="6" fillId="0" borderId="66" xfId="0" applyFont="1" applyBorder="1"/>
    <xf numFmtId="0" fontId="6" fillId="31" borderId="66" xfId="0" applyFont="1" applyFill="1" applyBorder="1" applyAlignment="1">
      <alignment horizontal="right"/>
    </xf>
    <xf numFmtId="0" fontId="6" fillId="0" borderId="186" xfId="0" applyFont="1" applyBorder="1" applyAlignment="1">
      <alignment horizontal="center"/>
    </xf>
    <xf numFmtId="0" fontId="6" fillId="0" borderId="186" xfId="0" applyFont="1" applyBorder="1" applyAlignment="1">
      <alignment horizontal="right"/>
    </xf>
    <xf numFmtId="0" fontId="6" fillId="0" borderId="189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" fontId="6" fillId="29" borderId="11" xfId="0" applyNumberFormat="1" applyFont="1" applyFill="1" applyBorder="1" applyAlignment="1">
      <alignment horizontal="center" vertical="center" wrapText="1"/>
    </xf>
    <xf numFmtId="1" fontId="6" fillId="20" borderId="67" xfId="73" applyNumberFormat="1" applyFont="1" applyFill="1" applyBorder="1" applyAlignment="1" applyProtection="1">
      <alignment horizontal="right"/>
    </xf>
    <xf numFmtId="1" fontId="6" fillId="20" borderId="86" xfId="73" applyNumberFormat="1" applyFont="1" applyFill="1" applyBorder="1" applyAlignment="1" applyProtection="1">
      <alignment horizontal="right"/>
    </xf>
    <xf numFmtId="1" fontId="6" fillId="20" borderId="82" xfId="73" applyNumberFormat="1" applyFont="1" applyFill="1" applyBorder="1" applyAlignment="1" applyProtection="1">
      <alignment horizontal="right"/>
    </xf>
    <xf numFmtId="1" fontId="6" fillId="20" borderId="83" xfId="73" applyNumberFormat="1" applyFont="1" applyFill="1" applyBorder="1" applyAlignment="1" applyProtection="1">
      <alignment horizontal="right"/>
    </xf>
    <xf numFmtId="1" fontId="6" fillId="20" borderId="87" xfId="73" applyNumberFormat="1" applyFont="1" applyFill="1" applyBorder="1" applyAlignment="1" applyProtection="1">
      <alignment horizontal="right"/>
    </xf>
    <xf numFmtId="1" fontId="6" fillId="20" borderId="147" xfId="73" applyNumberFormat="1" applyFont="1" applyFill="1" applyBorder="1" applyAlignment="1" applyProtection="1">
      <alignment horizontal="right"/>
    </xf>
    <xf numFmtId="1" fontId="6" fillId="0" borderId="187" xfId="125" applyNumberFormat="1" applyFont="1" applyBorder="1" applyAlignment="1">
      <alignment horizontal="right"/>
    </xf>
    <xf numFmtId="0" fontId="6" fillId="26" borderId="67" xfId="0" applyFont="1" applyFill="1" applyBorder="1" applyAlignment="1" applyProtection="1">
      <alignment horizontal="right"/>
      <protection locked="0"/>
    </xf>
    <xf numFmtId="0" fontId="6" fillId="26" borderId="25" xfId="0" applyFont="1" applyFill="1" applyBorder="1" applyAlignment="1" applyProtection="1">
      <alignment horizontal="right"/>
      <protection locked="0"/>
    </xf>
    <xf numFmtId="0" fontId="6" fillId="26" borderId="86" xfId="0" applyFont="1" applyFill="1" applyBorder="1" applyAlignment="1" applyProtection="1">
      <alignment horizontal="right"/>
      <protection locked="0"/>
    </xf>
    <xf numFmtId="0" fontId="6" fillId="26" borderId="68" xfId="0" applyFont="1" applyFill="1" applyBorder="1" applyAlignment="1" applyProtection="1">
      <alignment horizontal="right"/>
      <protection locked="0"/>
    </xf>
    <xf numFmtId="0" fontId="6" fillId="26" borderId="21" xfId="0" applyFont="1" applyFill="1" applyBorder="1" applyAlignment="1" applyProtection="1">
      <alignment horizontal="right"/>
      <protection locked="0"/>
    </xf>
    <xf numFmtId="0" fontId="6" fillId="26" borderId="69" xfId="0" applyFont="1" applyFill="1" applyBorder="1" applyAlignment="1" applyProtection="1">
      <alignment horizontal="right"/>
      <protection locked="0"/>
    </xf>
    <xf numFmtId="0" fontId="6" fillId="26" borderId="106" xfId="0" applyFont="1" applyFill="1" applyBorder="1" applyAlignment="1" applyProtection="1">
      <alignment horizontal="right"/>
      <protection locked="0"/>
    </xf>
    <xf numFmtId="0" fontId="6" fillId="26" borderId="123" xfId="0" applyFont="1" applyFill="1" applyBorder="1" applyAlignment="1" applyProtection="1">
      <alignment horizontal="right"/>
      <protection locked="0"/>
    </xf>
    <xf numFmtId="0" fontId="6" fillId="26" borderId="105" xfId="0" applyFont="1" applyFill="1" applyBorder="1" applyAlignment="1" applyProtection="1">
      <alignment horizontal="right"/>
      <protection locked="0"/>
    </xf>
    <xf numFmtId="1" fontId="6" fillId="20" borderId="25" xfId="0" applyNumberFormat="1" applyFont="1" applyFill="1" applyBorder="1" applyAlignment="1">
      <alignment horizontal="right"/>
    </xf>
    <xf numFmtId="1" fontId="6" fillId="20" borderId="127" xfId="0" applyNumberFormat="1" applyFont="1" applyFill="1" applyBorder="1" applyAlignment="1">
      <alignment horizontal="right"/>
    </xf>
    <xf numFmtId="1" fontId="6" fillId="20" borderId="32" xfId="0" applyNumberFormat="1" applyFont="1" applyFill="1" applyBorder="1" applyAlignment="1">
      <alignment horizontal="right"/>
    </xf>
    <xf numFmtId="1" fontId="6" fillId="20" borderId="21" xfId="0" applyNumberFormat="1" applyFont="1" applyFill="1" applyBorder="1" applyAlignment="1">
      <alignment horizontal="right"/>
    </xf>
    <xf numFmtId="1" fontId="6" fillId="20" borderId="41" xfId="0" applyNumberFormat="1" applyFont="1" applyFill="1" applyBorder="1" applyAlignment="1">
      <alignment horizontal="right"/>
    </xf>
    <xf numFmtId="1" fontId="6" fillId="20" borderId="123" xfId="0" applyNumberFormat="1" applyFont="1" applyFill="1" applyBorder="1" applyAlignment="1">
      <alignment horizontal="right"/>
    </xf>
    <xf numFmtId="1" fontId="6" fillId="0" borderId="187" xfId="129" applyNumberFormat="1" applyFont="1" applyBorder="1" applyAlignment="1" applyProtection="1">
      <alignment horizontal="left" vertical="center" wrapText="1"/>
      <protection hidden="1"/>
    </xf>
    <xf numFmtId="1" fontId="6" fillId="0" borderId="97" xfId="129" applyNumberFormat="1" applyFont="1" applyBorder="1" applyAlignment="1" applyProtection="1">
      <alignment horizontal="left" vertical="center" wrapText="1"/>
      <protection hidden="1"/>
    </xf>
    <xf numFmtId="1" fontId="6" fillId="0" borderId="187" xfId="0" applyNumberFormat="1" applyFont="1" applyBorder="1" applyAlignment="1">
      <alignment horizontal="left" vertical="center" wrapText="1"/>
    </xf>
    <xf numFmtId="1" fontId="6" fillId="17" borderId="67" xfId="123" applyNumberFormat="1" applyFont="1" applyFill="1" applyBorder="1" applyAlignment="1">
      <alignment horizontal="right"/>
    </xf>
    <xf numFmtId="1" fontId="6" fillId="15" borderId="103" xfId="73" applyNumberFormat="1" applyFont="1" applyFill="1" applyBorder="1" applyAlignment="1" applyProtection="1">
      <alignment horizontal="right"/>
      <protection locked="0"/>
    </xf>
    <xf numFmtId="1" fontId="6" fillId="15" borderId="25" xfId="73" applyNumberFormat="1" applyFont="1" applyFill="1" applyBorder="1" applyAlignment="1" applyProtection="1">
      <alignment horizontal="right"/>
      <protection locked="0"/>
    </xf>
    <xf numFmtId="1" fontId="6" fillId="15" borderId="84" xfId="73" applyNumberFormat="1" applyFont="1" applyFill="1" applyBorder="1" applyAlignment="1" applyProtection="1">
      <alignment horizontal="right"/>
      <protection locked="0"/>
    </xf>
    <xf numFmtId="1" fontId="6" fillId="15" borderId="127" xfId="73" applyNumberFormat="1" applyFont="1" applyFill="1" applyBorder="1" applyAlignment="1" applyProtection="1">
      <alignment horizontal="right"/>
      <protection locked="0"/>
    </xf>
    <xf numFmtId="1" fontId="6" fillId="15" borderId="139" xfId="73" applyNumberFormat="1" applyFont="1" applyFill="1" applyBorder="1" applyAlignment="1" applyProtection="1">
      <alignment horizontal="right"/>
      <protection locked="0"/>
    </xf>
    <xf numFmtId="1" fontId="6" fillId="15" borderId="32" xfId="73" applyNumberFormat="1" applyFont="1" applyFill="1" applyBorder="1" applyAlignment="1" applyProtection="1">
      <alignment horizontal="right"/>
      <protection locked="0"/>
    </xf>
    <xf numFmtId="1" fontId="6" fillId="15" borderId="192" xfId="73" applyNumberFormat="1" applyFont="1" applyFill="1" applyBorder="1" applyAlignment="1" applyProtection="1">
      <alignment horizontal="right"/>
      <protection locked="0"/>
    </xf>
    <xf numFmtId="1" fontId="6" fillId="15" borderId="196" xfId="73" applyNumberFormat="1" applyFont="1" applyFill="1" applyBorder="1" applyAlignment="1" applyProtection="1">
      <alignment horizontal="right"/>
      <protection locked="0"/>
    </xf>
    <xf numFmtId="1" fontId="30" fillId="15" borderId="55" xfId="0" applyNumberFormat="1" applyFont="1" applyFill="1" applyBorder="1" applyAlignment="1" applyProtection="1">
      <alignment horizontal="right"/>
      <protection locked="0"/>
    </xf>
    <xf numFmtId="1" fontId="30" fillId="15" borderId="58" xfId="0" applyNumberFormat="1" applyFont="1" applyFill="1" applyBorder="1" applyAlignment="1" applyProtection="1">
      <alignment horizontal="right"/>
      <protection locked="0"/>
    </xf>
    <xf numFmtId="1" fontId="30" fillId="15" borderId="144" xfId="0" applyNumberFormat="1" applyFont="1" applyFill="1" applyBorder="1" applyAlignment="1" applyProtection="1">
      <alignment horizontal="right"/>
      <protection locked="0"/>
    </xf>
    <xf numFmtId="1" fontId="6" fillId="0" borderId="192" xfId="0" applyNumberFormat="1" applyFont="1" applyBorder="1" applyAlignment="1">
      <alignment horizontal="right"/>
    </xf>
    <xf numFmtId="1" fontId="6" fillId="17" borderId="192" xfId="0" applyNumberFormat="1" applyFont="1" applyFill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1" fontId="6" fillId="17" borderId="7" xfId="0" applyNumberFormat="1" applyFont="1" applyFill="1" applyBorder="1" applyAlignment="1">
      <alignment horizontal="right"/>
    </xf>
    <xf numFmtId="1" fontId="6" fillId="17" borderId="8" xfId="0" applyNumberFormat="1" applyFont="1" applyFill="1" applyBorder="1" applyAlignment="1">
      <alignment horizontal="right"/>
    </xf>
    <xf numFmtId="1" fontId="6" fillId="0" borderId="192" xfId="0" applyNumberFormat="1" applyFont="1" applyBorder="1" applyAlignment="1">
      <alignment horizontal="center" vertical="center"/>
    </xf>
    <xf numFmtId="1" fontId="6" fillId="0" borderId="127" xfId="125" applyNumberFormat="1" applyFont="1" applyBorder="1" applyAlignment="1">
      <alignment horizontal="center" vertical="center" wrapText="1"/>
    </xf>
    <xf numFmtId="1" fontId="6" fillId="15" borderId="32" xfId="125" applyNumberFormat="1" applyFont="1" applyFill="1" applyBorder="1" applyAlignment="1" applyProtection="1">
      <alignment horizontal="right"/>
      <protection locked="0"/>
    </xf>
    <xf numFmtId="1" fontId="6" fillId="0" borderId="196" xfId="125" applyNumberFormat="1" applyFont="1" applyBorder="1" applyAlignment="1">
      <alignment horizontal="right"/>
    </xf>
    <xf numFmtId="1" fontId="6" fillId="0" borderId="196" xfId="125" applyNumberFormat="1" applyFont="1" applyBorder="1" applyAlignment="1">
      <alignment horizontal="center" vertical="center" wrapText="1"/>
    </xf>
    <xf numFmtId="1" fontId="6" fillId="22" borderId="196" xfId="125" applyNumberFormat="1" applyFont="1" applyFill="1" applyBorder="1" applyAlignment="1">
      <alignment horizontal="right"/>
    </xf>
    <xf numFmtId="1" fontId="6" fillId="22" borderId="8" xfId="125" applyNumberFormat="1" applyFont="1" applyFill="1" applyBorder="1" applyAlignment="1">
      <alignment horizontal="right"/>
    </xf>
    <xf numFmtId="1" fontId="6" fillId="0" borderId="196" xfId="0" applyNumberFormat="1" applyFont="1" applyBorder="1" applyAlignment="1">
      <alignment horizontal="center" vertical="center"/>
    </xf>
    <xf numFmtId="1" fontId="6" fillId="15" borderId="196" xfId="125" applyNumberFormat="1" applyFont="1" applyFill="1" applyBorder="1" applyAlignment="1" applyProtection="1">
      <alignment horizontal="right"/>
      <protection locked="0"/>
    </xf>
    <xf numFmtId="1" fontId="6" fillId="15" borderId="117" xfId="125" applyNumberFormat="1" applyFont="1" applyFill="1" applyBorder="1" applyAlignment="1" applyProtection="1">
      <alignment horizontal="right"/>
      <protection locked="0"/>
    </xf>
    <xf numFmtId="1" fontId="6" fillId="15" borderId="8" xfId="125" applyNumberFormat="1" applyFont="1" applyFill="1" applyBorder="1" applyAlignment="1" applyProtection="1">
      <alignment horizontal="right"/>
      <protection locked="0"/>
    </xf>
    <xf numFmtId="1" fontId="6" fillId="15" borderId="127" xfId="125" applyNumberFormat="1" applyFont="1" applyFill="1" applyBorder="1" applyAlignment="1" applyProtection="1">
      <alignment horizontal="right"/>
      <protection locked="0"/>
    </xf>
    <xf numFmtId="1" fontId="6" fillId="24" borderId="196" xfId="126" applyNumberFormat="1" applyFont="1" applyFill="1" applyBorder="1" applyAlignment="1" applyProtection="1">
      <alignment horizontal="right"/>
      <protection locked="0"/>
    </xf>
    <xf numFmtId="1" fontId="6" fillId="24" borderId="192" xfId="126" applyNumberFormat="1" applyFont="1" applyFill="1" applyBorder="1" applyAlignment="1" applyProtection="1">
      <alignment horizontal="right"/>
      <protection locked="0"/>
    </xf>
    <xf numFmtId="1" fontId="6" fillId="20" borderId="192" xfId="0" applyNumberFormat="1" applyFont="1" applyFill="1" applyBorder="1" applyAlignment="1">
      <alignment horizontal="right"/>
    </xf>
    <xf numFmtId="1" fontId="6" fillId="20" borderId="34" xfId="0" applyNumberFormat="1" applyFont="1" applyFill="1" applyBorder="1" applyAlignment="1">
      <alignment horizontal="right"/>
    </xf>
    <xf numFmtId="1" fontId="6" fillId="20" borderId="39" xfId="0" applyNumberFormat="1" applyFont="1" applyFill="1" applyBorder="1" applyAlignment="1">
      <alignment horizontal="right"/>
    </xf>
    <xf numFmtId="1" fontId="6" fillId="20" borderId="44" xfId="0" applyNumberFormat="1" applyFont="1" applyFill="1" applyBorder="1" applyAlignment="1">
      <alignment horizontal="right"/>
    </xf>
    <xf numFmtId="1" fontId="6" fillId="20" borderId="27" xfId="0" applyNumberFormat="1" applyFont="1" applyFill="1" applyBorder="1" applyAlignment="1">
      <alignment horizontal="right"/>
    </xf>
    <xf numFmtId="1" fontId="6" fillId="0" borderId="192" xfId="126" applyNumberFormat="1" applyFont="1" applyBorder="1" applyAlignment="1">
      <alignment horizontal="right"/>
    </xf>
    <xf numFmtId="1" fontId="6" fillId="0" borderId="62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>
      <alignment horizontal="right"/>
    </xf>
    <xf numFmtId="1" fontId="6" fillId="24" borderId="55" xfId="126" applyNumberFormat="1" applyFont="1" applyFill="1" applyBorder="1" applyAlignment="1" applyProtection="1">
      <alignment horizontal="right"/>
      <protection locked="0"/>
    </xf>
    <xf numFmtId="1" fontId="6" fillId="24" borderId="30" xfId="126" applyNumberFormat="1" applyFont="1" applyFill="1" applyBorder="1" applyAlignment="1" applyProtection="1">
      <alignment horizontal="right"/>
      <protection locked="0"/>
    </xf>
    <xf numFmtId="1" fontId="6" fillId="24" borderId="35" xfId="126" applyNumberFormat="1" applyFont="1" applyFill="1" applyBorder="1" applyAlignment="1" applyProtection="1">
      <alignment horizontal="right"/>
      <protection locked="0"/>
    </xf>
    <xf numFmtId="1" fontId="6" fillId="24" borderId="101" xfId="126" applyNumberFormat="1" applyFont="1" applyFill="1" applyBorder="1" applyAlignment="1" applyProtection="1">
      <alignment horizontal="right"/>
      <protection locked="0"/>
    </xf>
    <xf numFmtId="1" fontId="6" fillId="24" borderId="66" xfId="126" applyNumberFormat="1" applyFont="1" applyFill="1" applyBorder="1" applyAlignment="1" applyProtection="1">
      <alignment horizontal="right"/>
      <protection locked="0"/>
    </xf>
    <xf numFmtId="1" fontId="6" fillId="24" borderId="45" xfId="126" applyNumberFormat="1" applyFont="1" applyFill="1" applyBorder="1" applyAlignment="1" applyProtection="1">
      <alignment horizontal="right"/>
      <protection locked="0"/>
    </xf>
    <xf numFmtId="1" fontId="6" fillId="24" borderId="156" xfId="126" applyNumberFormat="1" applyFont="1" applyFill="1" applyBorder="1" applyAlignment="1" applyProtection="1">
      <alignment horizontal="right"/>
      <protection locked="0"/>
    </xf>
    <xf numFmtId="1" fontId="6" fillId="24" borderId="76" xfId="126" applyNumberFormat="1" applyFont="1" applyFill="1" applyBorder="1" applyAlignment="1" applyProtection="1">
      <alignment horizontal="right"/>
      <protection locked="0"/>
    </xf>
    <xf numFmtId="1" fontId="6" fillId="24" borderId="75" xfId="126" applyNumberFormat="1" applyFont="1" applyFill="1" applyBorder="1" applyAlignment="1" applyProtection="1">
      <alignment horizontal="right"/>
      <protection locked="0"/>
    </xf>
    <xf numFmtId="1" fontId="6" fillId="0" borderId="196" xfId="127" applyNumberFormat="1" applyFont="1" applyBorder="1" applyAlignment="1">
      <alignment horizontal="right"/>
    </xf>
    <xf numFmtId="1" fontId="6" fillId="0" borderId="196" xfId="14" applyNumberFormat="1" applyFont="1" applyFill="1" applyBorder="1" applyAlignment="1" applyProtection="1">
      <alignment horizontal="right"/>
    </xf>
    <xf numFmtId="1" fontId="6" fillId="0" borderId="192" xfId="14" applyNumberFormat="1" applyFont="1" applyFill="1" applyBorder="1" applyAlignment="1" applyProtection="1">
      <alignment horizontal="right"/>
    </xf>
    <xf numFmtId="1" fontId="6" fillId="15" borderId="86" xfId="14" quotePrefix="1" applyNumberFormat="1" applyFont="1" applyFill="1" applyBorder="1" applyAlignment="1">
      <alignment horizontal="right"/>
      <protection locked="0"/>
    </xf>
    <xf numFmtId="1" fontId="6" fillId="15" borderId="69" xfId="14" quotePrefix="1" applyNumberFormat="1" applyFont="1" applyFill="1" applyBorder="1" applyAlignment="1">
      <alignment horizontal="right"/>
      <protection locked="0"/>
    </xf>
    <xf numFmtId="1" fontId="6" fillId="15" borderId="105" xfId="14" quotePrefix="1" applyNumberFormat="1" applyFont="1" applyFill="1" applyBorder="1" applyAlignment="1">
      <alignment horizontal="right"/>
      <protection locked="0"/>
    </xf>
    <xf numFmtId="1" fontId="6" fillId="24" borderId="40" xfId="126" applyNumberFormat="1" applyFont="1" applyFill="1" applyBorder="1" applyAlignment="1" applyProtection="1">
      <alignment horizontal="right"/>
      <protection locked="0"/>
    </xf>
    <xf numFmtId="1" fontId="6" fillId="24" borderId="122" xfId="126" applyNumberFormat="1" applyFont="1" applyFill="1" applyBorder="1" applyAlignment="1" applyProtection="1">
      <alignment horizontal="right"/>
      <protection locked="0"/>
    </xf>
    <xf numFmtId="1" fontId="6" fillId="24" borderId="202" xfId="126" applyNumberFormat="1" applyFont="1" applyFill="1" applyBorder="1" applyAlignment="1" applyProtection="1">
      <alignment horizontal="right"/>
      <protection locked="0"/>
    </xf>
    <xf numFmtId="1" fontId="6" fillId="24" borderId="151" xfId="126" applyNumberFormat="1" applyFont="1" applyFill="1" applyBorder="1" applyAlignment="1" applyProtection="1">
      <alignment horizontal="right"/>
      <protection locked="0"/>
    </xf>
    <xf numFmtId="1" fontId="6" fillId="24" borderId="166" xfId="126" applyNumberFormat="1" applyFont="1" applyFill="1" applyBorder="1" applyAlignment="1" applyProtection="1">
      <alignment horizontal="right"/>
      <protection locked="0"/>
    </xf>
    <xf numFmtId="1" fontId="6" fillId="24" borderId="203" xfId="126" applyNumberFormat="1" applyFont="1" applyFill="1" applyBorder="1" applyAlignment="1" applyProtection="1">
      <alignment horizontal="right"/>
      <protection locked="0"/>
    </xf>
    <xf numFmtId="1" fontId="6" fillId="24" borderId="1" xfId="126" applyNumberFormat="1" applyFont="1" applyFill="1" applyBorder="1" applyAlignment="1" applyProtection="1">
      <alignment horizontal="right"/>
      <protection locked="0"/>
    </xf>
    <xf numFmtId="1" fontId="6" fillId="24" borderId="11" xfId="126" applyNumberFormat="1" applyFont="1" applyFill="1" applyBorder="1" applyAlignment="1" applyProtection="1">
      <alignment horizontal="right"/>
      <protection locked="0"/>
    </xf>
    <xf numFmtId="1" fontId="6" fillId="22" borderId="196" xfId="0" applyNumberFormat="1" applyFont="1" applyFill="1" applyBorder="1" applyAlignment="1">
      <alignment horizontal="center" vertical="center"/>
    </xf>
    <xf numFmtId="1" fontId="6" fillId="24" borderId="117" xfId="126" applyNumberFormat="1" applyFont="1" applyFill="1" applyBorder="1" applyAlignment="1" applyProtection="1">
      <alignment horizontal="right"/>
      <protection locked="0"/>
    </xf>
    <xf numFmtId="1" fontId="6" fillId="22" borderId="1" xfId="0" applyNumberFormat="1" applyFont="1" applyFill="1" applyBorder="1" applyAlignment="1">
      <alignment horizontal="center" vertical="center"/>
    </xf>
    <xf numFmtId="1" fontId="6" fillId="22" borderId="193" xfId="0" applyNumberFormat="1" applyFont="1" applyFill="1" applyBorder="1" applyAlignment="1">
      <alignment horizontal="center" vertical="center"/>
    </xf>
    <xf numFmtId="1" fontId="6" fillId="24" borderId="62" xfId="126" applyNumberFormat="1" applyFont="1" applyFill="1" applyBorder="1" applyAlignment="1" applyProtection="1">
      <alignment horizontal="right"/>
      <protection locked="0"/>
    </xf>
    <xf numFmtId="1" fontId="6" fillId="0" borderId="196" xfId="126" applyNumberFormat="1" applyFont="1" applyBorder="1" applyAlignment="1" applyProtection="1">
      <alignment horizontal="center" vertical="center" wrapText="1"/>
      <protection hidden="1"/>
    </xf>
    <xf numFmtId="1" fontId="6" fillId="0" borderId="192" xfId="126" applyNumberFormat="1" applyFont="1" applyBorder="1" applyAlignment="1" applyProtection="1">
      <alignment horizontal="right" wrapText="1"/>
      <protection hidden="1"/>
    </xf>
    <xf numFmtId="1" fontId="6" fillId="0" borderId="192" xfId="126" applyNumberFormat="1" applyFont="1" applyBorder="1" applyAlignment="1" applyProtection="1">
      <alignment horizontal="center" vertical="center" wrapText="1"/>
      <protection hidden="1"/>
    </xf>
    <xf numFmtId="1" fontId="6" fillId="22" borderId="192" xfId="0" applyNumberFormat="1" applyFont="1" applyFill="1" applyBorder="1" applyAlignment="1">
      <alignment horizontal="center" wrapText="1"/>
    </xf>
    <xf numFmtId="1" fontId="6" fillId="24" borderId="97" xfId="126" applyNumberFormat="1" applyFont="1" applyFill="1" applyBorder="1" applyAlignment="1" applyProtection="1">
      <alignment horizontal="right"/>
      <protection locked="0"/>
    </xf>
    <xf numFmtId="1" fontId="6" fillId="17" borderId="66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191" xfId="0" applyNumberFormat="1" applyFont="1" applyBorder="1"/>
    <xf numFmtId="1" fontId="6" fillId="22" borderId="73" xfId="125" applyNumberFormat="1" applyFont="1" applyFill="1" applyBorder="1"/>
    <xf numFmtId="1" fontId="6" fillId="22" borderId="74" xfId="125" applyNumberFormat="1" applyFont="1" applyFill="1" applyBorder="1" applyAlignment="1">
      <alignment horizontal="right"/>
    </xf>
    <xf numFmtId="1" fontId="6" fillId="22" borderId="91" xfId="125" applyNumberFormat="1" applyFont="1" applyFill="1" applyBorder="1" applyAlignment="1">
      <alignment horizontal="right"/>
    </xf>
    <xf numFmtId="1" fontId="6" fillId="22" borderId="34" xfId="125" applyNumberFormat="1" applyFont="1" applyFill="1" applyBorder="1" applyAlignment="1">
      <alignment horizontal="right"/>
    </xf>
    <xf numFmtId="1" fontId="6" fillId="22" borderId="89" xfId="125" applyNumberFormat="1" applyFont="1" applyFill="1" applyBorder="1"/>
    <xf numFmtId="1" fontId="6" fillId="22" borderId="89" xfId="125" applyNumberFormat="1" applyFont="1" applyFill="1" applyBorder="1" applyAlignment="1">
      <alignment horizontal="right"/>
    </xf>
    <xf numFmtId="1" fontId="6" fillId="22" borderId="70" xfId="125" applyNumberFormat="1" applyFont="1" applyFill="1" applyBorder="1" applyAlignment="1">
      <alignment horizontal="right"/>
    </xf>
    <xf numFmtId="1" fontId="6" fillId="22" borderId="44" xfId="125" applyNumberFormat="1" applyFont="1" applyFill="1" applyBorder="1" applyAlignment="1">
      <alignment horizontal="right"/>
    </xf>
    <xf numFmtId="1" fontId="6" fillId="22" borderId="10" xfId="125" applyNumberFormat="1" applyFont="1" applyFill="1" applyBorder="1"/>
    <xf numFmtId="1" fontId="6" fillId="22" borderId="10" xfId="125" applyNumberFormat="1" applyFont="1" applyFill="1" applyBorder="1" applyAlignment="1">
      <alignment horizontal="right"/>
    </xf>
    <xf numFmtId="1" fontId="6" fillId="22" borderId="74" xfId="125" applyNumberFormat="1" applyFont="1" applyFill="1" applyBorder="1"/>
    <xf numFmtId="1" fontId="6" fillId="22" borderId="11" xfId="125" applyNumberFormat="1" applyFont="1" applyFill="1" applyBorder="1"/>
    <xf numFmtId="1" fontId="6" fillId="22" borderId="94" xfId="125" applyNumberFormat="1" applyFont="1" applyFill="1" applyBorder="1" applyAlignment="1">
      <alignment horizontal="right"/>
    </xf>
    <xf numFmtId="1" fontId="6" fillId="22" borderId="82" xfId="125" applyNumberFormat="1" applyFont="1" applyFill="1" applyBorder="1" applyAlignment="1">
      <alignment horizontal="right"/>
    </xf>
    <xf numFmtId="1" fontId="6" fillId="22" borderId="29" xfId="125" applyNumberFormat="1" applyFont="1" applyFill="1" applyBorder="1" applyAlignment="1">
      <alignment horizontal="right"/>
    </xf>
    <xf numFmtId="1" fontId="6" fillId="15" borderId="80" xfId="125" applyNumberFormat="1" applyFont="1" applyFill="1" applyBorder="1" applyAlignment="1" applyProtection="1">
      <alignment horizontal="right"/>
      <protection locked="0"/>
    </xf>
    <xf numFmtId="1" fontId="6" fillId="15" borderId="147" xfId="125" applyNumberFormat="1" applyFont="1" applyFill="1" applyBorder="1" applyAlignment="1" applyProtection="1">
      <alignment horizontal="right"/>
      <protection locked="0"/>
    </xf>
    <xf numFmtId="1" fontId="6" fillId="15" borderId="35" xfId="125" applyNumberFormat="1" applyFont="1" applyFill="1" applyBorder="1" applyAlignment="1" applyProtection="1">
      <alignment horizontal="right"/>
      <protection locked="0"/>
    </xf>
    <xf numFmtId="1" fontId="14" fillId="22" borderId="0" xfId="125" quotePrefix="1" applyNumberFormat="1" applyFont="1" applyFill="1"/>
    <xf numFmtId="1" fontId="10" fillId="22" borderId="0" xfId="125" quotePrefix="1" applyNumberFormat="1" applyFont="1" applyFill="1"/>
    <xf numFmtId="1" fontId="6" fillId="15" borderId="83" xfId="0" applyNumberFormat="1" applyFont="1" applyFill="1" applyBorder="1" applyAlignment="1" applyProtection="1">
      <alignment horizontal="right"/>
      <protection locked="0"/>
    </xf>
    <xf numFmtId="1" fontId="6" fillId="15" borderId="92" xfId="0" applyNumberFormat="1" applyFont="1" applyFill="1" applyBorder="1" applyAlignment="1" applyProtection="1">
      <alignment horizontal="right"/>
      <protection locked="0"/>
    </xf>
    <xf numFmtId="1" fontId="6" fillId="15" borderId="96" xfId="0" applyNumberFormat="1" applyFont="1" applyFill="1" applyBorder="1" applyAlignment="1" applyProtection="1">
      <alignment horizontal="right"/>
      <protection locked="0"/>
    </xf>
    <xf numFmtId="1" fontId="6" fillId="15" borderId="67" xfId="126" applyNumberFormat="1" applyFont="1" applyFill="1" applyBorder="1" applyAlignment="1" applyProtection="1">
      <alignment horizontal="right"/>
      <protection locked="0"/>
    </xf>
    <xf numFmtId="1" fontId="6" fillId="15" borderId="86" xfId="126" applyNumberFormat="1" applyFont="1" applyFill="1" applyBorder="1" applyAlignment="1" applyProtection="1">
      <alignment horizontal="right"/>
      <protection locked="0"/>
    </xf>
    <xf numFmtId="1" fontId="6" fillId="15" borderId="24" xfId="126" applyNumberFormat="1" applyFont="1" applyFill="1" applyBorder="1" applyAlignment="1" applyProtection="1">
      <alignment horizontal="right"/>
      <protection locked="0"/>
    </xf>
    <xf numFmtId="1" fontId="6" fillId="15" borderId="68" xfId="126" applyNumberFormat="1" applyFont="1" applyFill="1" applyBorder="1" applyAlignment="1" applyProtection="1">
      <alignment horizontal="right"/>
      <protection locked="0"/>
    </xf>
    <xf numFmtId="1" fontId="6" fillId="15" borderId="85" xfId="126" applyNumberFormat="1" applyFont="1" applyFill="1" applyBorder="1" applyAlignment="1" applyProtection="1">
      <alignment horizontal="right"/>
      <protection locked="0"/>
    </xf>
    <xf numFmtId="1" fontId="6" fillId="15" borderId="36" xfId="126" applyNumberFormat="1" applyFont="1" applyFill="1" applyBorder="1" applyAlignment="1" applyProtection="1">
      <alignment horizontal="right"/>
      <protection locked="0"/>
    </xf>
    <xf numFmtId="1" fontId="6" fillId="15" borderId="69" xfId="126" applyNumberFormat="1" applyFont="1" applyFill="1" applyBorder="1" applyAlignment="1" applyProtection="1">
      <alignment horizontal="right"/>
      <protection locked="0"/>
    </xf>
    <xf numFmtId="1" fontId="6" fillId="15" borderId="83" xfId="126" applyNumberFormat="1" applyFont="1" applyFill="1" applyBorder="1" applyAlignment="1" applyProtection="1">
      <alignment horizontal="right"/>
      <protection locked="0"/>
    </xf>
    <xf numFmtId="1" fontId="6" fillId="0" borderId="192" xfId="125" applyNumberFormat="1" applyFont="1" applyBorder="1" applyAlignment="1">
      <alignment horizontal="right"/>
    </xf>
    <xf numFmtId="1" fontId="6" fillId="0" borderId="192" xfId="125" applyNumberFormat="1" applyFont="1" applyBorder="1" applyAlignment="1">
      <alignment horizontal="center" vertical="center" wrapText="1"/>
    </xf>
    <xf numFmtId="1" fontId="6" fillId="0" borderId="29" xfId="125" applyNumberFormat="1" applyFont="1" applyBorder="1" applyAlignment="1">
      <alignment horizontal="center" vertical="center"/>
    </xf>
    <xf numFmtId="1" fontId="6" fillId="0" borderId="30" xfId="125" applyNumberFormat="1" applyFont="1" applyBorder="1" applyAlignment="1">
      <alignment horizontal="center" vertical="center" wrapText="1"/>
    </xf>
    <xf numFmtId="1" fontId="6" fillId="0" borderId="35" xfId="125" applyNumberFormat="1" applyFont="1" applyBorder="1" applyAlignment="1">
      <alignment horizontal="center" vertical="center" wrapText="1"/>
    </xf>
    <xf numFmtId="1" fontId="6" fillId="0" borderId="11" xfId="125" applyNumberFormat="1" applyFont="1" applyBorder="1" applyAlignment="1">
      <alignment horizontal="center" vertical="center" wrapText="1"/>
    </xf>
    <xf numFmtId="1" fontId="6" fillId="17" borderId="11" xfId="123" applyNumberFormat="1" applyFont="1" applyFill="1" applyBorder="1" applyAlignment="1">
      <alignment horizontal="center" vertical="center"/>
    </xf>
    <xf numFmtId="1" fontId="6" fillId="0" borderId="117" xfId="0" applyNumberFormat="1" applyFont="1" applyBorder="1" applyAlignment="1">
      <alignment horizontal="center" vertical="center" wrapText="1"/>
    </xf>
    <xf numFmtId="1" fontId="6" fillId="0" borderId="8" xfId="125" applyNumberFormat="1" applyFont="1" applyBorder="1" applyAlignment="1">
      <alignment horizontal="center" vertical="center" wrapText="1"/>
    </xf>
    <xf numFmtId="1" fontId="6" fillId="0" borderId="67" xfId="125" applyNumberFormat="1" applyFont="1" applyBorder="1" applyAlignment="1">
      <alignment horizontal="right" vertical="center"/>
    </xf>
    <xf numFmtId="1" fontId="6" fillId="0" borderId="24" xfId="125" applyNumberFormat="1" applyFont="1" applyBorder="1" applyAlignment="1">
      <alignment horizontal="right" vertical="center"/>
    </xf>
    <xf numFmtId="1" fontId="6" fillId="15" borderId="27" xfId="125" applyNumberFormat="1" applyFont="1" applyFill="1" applyBorder="1" applyAlignment="1" applyProtection="1">
      <alignment horizontal="right"/>
      <protection locked="0"/>
    </xf>
    <xf numFmtId="1" fontId="6" fillId="0" borderId="68" xfId="125" applyNumberFormat="1" applyFont="1" applyBorder="1" applyAlignment="1">
      <alignment horizontal="right" vertical="center"/>
    </xf>
    <xf numFmtId="1" fontId="6" fillId="0" borderId="36" xfId="125" applyNumberFormat="1" applyFont="1" applyBorder="1" applyAlignment="1">
      <alignment horizontal="right" vertical="center"/>
    </xf>
    <xf numFmtId="1" fontId="6" fillId="15" borderId="39" xfId="125" applyNumberFormat="1" applyFont="1" applyFill="1" applyBorder="1" applyAlignment="1" applyProtection="1">
      <alignment horizontal="right"/>
      <protection locked="0"/>
    </xf>
    <xf numFmtId="1" fontId="6" fillId="0" borderId="106" xfId="125" applyNumberFormat="1" applyFont="1" applyBorder="1" applyAlignment="1">
      <alignment horizontal="right" vertical="center"/>
    </xf>
    <xf numFmtId="1" fontId="6" fillId="0" borderId="104" xfId="125" applyNumberFormat="1" applyFont="1" applyBorder="1" applyAlignment="1">
      <alignment horizontal="right" vertical="center"/>
    </xf>
    <xf numFmtId="1" fontId="6" fillId="0" borderId="124" xfId="125" applyNumberFormat="1" applyFont="1" applyBorder="1" applyAlignment="1">
      <alignment horizontal="right"/>
    </xf>
    <xf numFmtId="1" fontId="6" fillId="15" borderId="124" xfId="125" applyNumberFormat="1" applyFont="1" applyFill="1" applyBorder="1" applyAlignment="1" applyProtection="1">
      <alignment horizontal="right"/>
      <protection locked="0"/>
    </xf>
    <xf numFmtId="1" fontId="6" fillId="0" borderId="7" xfId="0" applyNumberFormat="1" applyFont="1" applyBorder="1"/>
    <xf numFmtId="1" fontId="6" fillId="0" borderId="196" xfId="0" applyNumberFormat="1" applyFont="1" applyBorder="1"/>
    <xf numFmtId="1" fontId="3" fillId="22" borderId="0" xfId="0" applyNumberFormat="1" applyFont="1" applyFill="1" applyAlignment="1">
      <alignment horizontal="left"/>
    </xf>
    <xf numFmtId="1" fontId="7" fillId="22" borderId="0" xfId="0" applyNumberFormat="1" applyFont="1" applyFill="1" applyAlignment="1">
      <alignment horizontal="left"/>
    </xf>
    <xf numFmtId="1" fontId="6" fillId="17" borderId="7" xfId="0" applyNumberFormat="1" applyFont="1" applyFill="1" applyBorder="1" applyAlignment="1">
      <alignment horizontal="center" vertical="center"/>
    </xf>
    <xf numFmtId="1" fontId="6" fillId="17" borderId="196" xfId="0" applyNumberFormat="1" applyFont="1" applyFill="1" applyBorder="1" applyAlignment="1">
      <alignment horizontal="center" vertical="center"/>
    </xf>
    <xf numFmtId="1" fontId="6" fillId="17" borderId="5" xfId="0" applyNumberFormat="1" applyFont="1" applyFill="1" applyBorder="1" applyAlignment="1">
      <alignment horizontal="center" vertical="center"/>
    </xf>
    <xf numFmtId="1" fontId="6" fillId="22" borderId="1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35" xfId="126" applyNumberFormat="1" applyFont="1" applyFill="1" applyBorder="1" applyAlignment="1" applyProtection="1">
      <alignment horizontal="left" vertical="center" wrapText="1"/>
      <protection hidden="1"/>
    </xf>
    <xf numFmtId="1" fontId="10" fillId="0" borderId="10" xfId="126" applyNumberFormat="1" applyFont="1" applyBorder="1" applyAlignment="1" applyProtection="1">
      <alignment vertical="center"/>
      <protection hidden="1"/>
    </xf>
    <xf numFmtId="0" fontId="6" fillId="22" borderId="73" xfId="126" applyFont="1" applyFill="1" applyBorder="1"/>
    <xf numFmtId="1" fontId="10" fillId="0" borderId="9" xfId="126" applyNumberFormat="1" applyFont="1" applyBorder="1" applyAlignment="1" applyProtection="1">
      <alignment horizontal="left" vertical="center"/>
      <protection hidden="1"/>
    </xf>
    <xf numFmtId="1" fontId="6" fillId="0" borderId="75" xfId="0" applyNumberFormat="1" applyFont="1" applyBorder="1" applyAlignment="1">
      <alignment wrapText="1"/>
    </xf>
    <xf numFmtId="1" fontId="6" fillId="0" borderId="35" xfId="0" applyNumberFormat="1" applyFont="1" applyBorder="1" applyAlignment="1">
      <alignment wrapText="1"/>
    </xf>
    <xf numFmtId="1" fontId="6" fillId="0" borderId="66" xfId="0" applyNumberFormat="1" applyFont="1" applyBorder="1" applyAlignment="1">
      <alignment wrapText="1"/>
    </xf>
    <xf numFmtId="1" fontId="6" fillId="17" borderId="30" xfId="123" applyNumberFormat="1" applyFont="1" applyFill="1" applyBorder="1" applyAlignment="1">
      <alignment horizontal="center" vertical="center"/>
    </xf>
    <xf numFmtId="1" fontId="6" fillId="17" borderId="30" xfId="123" applyNumberFormat="1" applyFont="1" applyFill="1" applyBorder="1" applyAlignment="1">
      <alignment horizontal="left" vertical="center" wrapText="1"/>
    </xf>
    <xf numFmtId="1" fontId="6" fillId="17" borderId="66" xfId="123" applyNumberFormat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11" xfId="0" applyFont="1" applyBorder="1"/>
    <xf numFmtId="1" fontId="6" fillId="0" borderId="82" xfId="0" applyNumberFormat="1" applyFont="1" applyBorder="1" applyAlignment="1">
      <alignment horizontal="right"/>
    </xf>
    <xf numFmtId="1" fontId="6" fillId="0" borderId="141" xfId="0" applyNumberFormat="1" applyFont="1" applyBorder="1" applyAlignment="1">
      <alignment horizontal="right"/>
    </xf>
    <xf numFmtId="1" fontId="6" fillId="0" borderId="24" xfId="0" applyNumberFormat="1" applyFont="1" applyBorder="1" applyAlignment="1">
      <alignment horizontal="right"/>
    </xf>
    <xf numFmtId="0" fontId="6" fillId="0" borderId="75" xfId="0" applyFont="1" applyBorder="1"/>
    <xf numFmtId="1" fontId="6" fillId="0" borderId="91" xfId="0" applyNumberFormat="1" applyFont="1" applyBorder="1" applyAlignment="1">
      <alignment horizontal="right"/>
    </xf>
    <xf numFmtId="1" fontId="6" fillId="0" borderId="31" xfId="0" applyNumberFormat="1" applyFont="1" applyBorder="1" applyAlignment="1">
      <alignment horizontal="right"/>
    </xf>
    <xf numFmtId="1" fontId="6" fillId="0" borderId="34" xfId="0" applyNumberFormat="1" applyFont="1" applyBorder="1" applyAlignment="1">
      <alignment horizontal="right"/>
    </xf>
    <xf numFmtId="1" fontId="6" fillId="15" borderId="152" xfId="0" applyNumberFormat="1" applyFont="1" applyFill="1" applyBorder="1" applyAlignment="1" applyProtection="1">
      <alignment horizontal="right"/>
      <protection locked="0"/>
    </xf>
    <xf numFmtId="1" fontId="6" fillId="0" borderId="106" xfId="0" applyNumberFormat="1" applyFont="1" applyBorder="1" applyAlignment="1">
      <alignment horizontal="right"/>
    </xf>
    <xf numFmtId="1" fontId="6" fillId="0" borderId="104" xfId="0" applyNumberFormat="1" applyFont="1" applyBorder="1" applyAlignment="1">
      <alignment horizontal="right"/>
    </xf>
    <xf numFmtId="1" fontId="6" fillId="0" borderId="124" xfId="0" applyNumberFormat="1" applyFont="1" applyBorder="1" applyAlignment="1">
      <alignment horizontal="right"/>
    </xf>
    <xf numFmtId="1" fontId="6" fillId="15" borderId="138" xfId="0" applyNumberFormat="1" applyFont="1" applyFill="1" applyBorder="1" applyAlignment="1" applyProtection="1">
      <alignment horizontal="right"/>
      <protection locked="0"/>
    </xf>
    <xf numFmtId="0" fontId="6" fillId="0" borderId="30" xfId="0" applyFont="1" applyBorder="1" applyAlignment="1">
      <alignment horizontal="left" vertical="center" wrapText="1"/>
    </xf>
    <xf numFmtId="1" fontId="6" fillId="0" borderId="67" xfId="0" applyNumberFormat="1" applyFont="1" applyBorder="1" applyAlignment="1">
      <alignment horizontal="right"/>
    </xf>
    <xf numFmtId="0" fontId="6" fillId="0" borderId="35" xfId="0" applyFont="1" applyBorder="1" applyAlignment="1">
      <alignment horizontal="left" vertical="center" wrapText="1"/>
    </xf>
    <xf numFmtId="1" fontId="6" fillId="0" borderId="68" xfId="0" applyNumberFormat="1" applyFont="1" applyBorder="1" applyAlignment="1">
      <alignment horizontal="right"/>
    </xf>
    <xf numFmtId="1" fontId="6" fillId="0" borderId="36" xfId="0" applyNumberFormat="1" applyFont="1" applyBorder="1" applyAlignment="1">
      <alignment horizontal="right"/>
    </xf>
    <xf numFmtId="1" fontId="6" fillId="0" borderId="39" xfId="0" applyNumberFormat="1" applyFont="1" applyBorder="1" applyAlignment="1">
      <alignment horizontal="right"/>
    </xf>
    <xf numFmtId="0" fontId="6" fillId="0" borderId="66" xfId="0" applyFont="1" applyBorder="1" applyAlignment="1">
      <alignment horizontal="left" vertical="center" wrapText="1"/>
    </xf>
    <xf numFmtId="1" fontId="6" fillId="0" borderId="39" xfId="126" applyNumberFormat="1" applyFont="1" applyBorder="1" applyAlignment="1" applyProtection="1">
      <alignment horizontal="left" vertical="center"/>
      <protection hidden="1"/>
    </xf>
    <xf numFmtId="1" fontId="6" fillId="0" borderId="76" xfId="126" applyNumberFormat="1" applyFont="1" applyBorder="1" applyAlignment="1" applyProtection="1">
      <alignment vertical="center"/>
      <protection hidden="1"/>
    </xf>
    <xf numFmtId="1" fontId="6" fillId="17" borderId="66" xfId="126" applyNumberFormat="1" applyFont="1" applyFill="1" applyBorder="1" applyAlignment="1" applyProtection="1">
      <alignment vertical="center" wrapText="1"/>
      <protection hidden="1"/>
    </xf>
    <xf numFmtId="1" fontId="6" fillId="0" borderId="73" xfId="126" applyNumberFormat="1" applyFont="1" applyBorder="1" applyAlignment="1" applyProtection="1">
      <alignment horizontal="left" vertical="center"/>
      <protection hidden="1"/>
    </xf>
    <xf numFmtId="1" fontId="6" fillId="0" borderId="35" xfId="126" applyNumberFormat="1" applyFont="1" applyBorder="1" applyAlignment="1" applyProtection="1">
      <alignment vertical="center" wrapText="1"/>
      <protection hidden="1"/>
    </xf>
    <xf numFmtId="1" fontId="6" fillId="0" borderId="11" xfId="0" applyNumberFormat="1" applyFont="1" applyBorder="1" applyAlignment="1">
      <alignment vertical="center"/>
    </xf>
    <xf numFmtId="1" fontId="6" fillId="27" borderId="207" xfId="0" applyNumberFormat="1" applyFont="1" applyFill="1" applyBorder="1"/>
    <xf numFmtId="1" fontId="6" fillId="0" borderId="27" xfId="126" applyNumberFormat="1" applyFont="1" applyBorder="1" applyAlignment="1" applyProtection="1">
      <alignment horizontal="left" vertical="center" wrapText="1"/>
      <protection hidden="1"/>
    </xf>
    <xf numFmtId="1" fontId="6" fillId="0" borderId="34" xfId="0" applyNumberFormat="1" applyFont="1" applyBorder="1" applyAlignment="1">
      <alignment horizontal="left" vertical="center" wrapText="1"/>
    </xf>
    <xf numFmtId="1" fontId="30" fillId="15" borderId="104" xfId="0" applyNumberFormat="1" applyFont="1" applyFill="1" applyBorder="1" applyAlignment="1" applyProtection="1">
      <alignment horizontal="right"/>
      <protection locked="0"/>
    </xf>
    <xf numFmtId="1" fontId="30" fillId="15" borderId="101" xfId="0" applyNumberFormat="1" applyFont="1" applyFill="1" applyBorder="1" applyAlignment="1" applyProtection="1">
      <alignment horizontal="right"/>
      <protection locked="0"/>
    </xf>
    <xf numFmtId="1" fontId="30" fillId="15" borderId="124" xfId="0" applyNumberFormat="1" applyFont="1" applyFill="1" applyBorder="1" applyAlignment="1" applyProtection="1">
      <alignment horizontal="right"/>
      <protection locked="0"/>
    </xf>
    <xf numFmtId="1" fontId="14" fillId="0" borderId="22" xfId="0" applyNumberFormat="1" applyFont="1" applyBorder="1" applyProtection="1">
      <protection hidden="1"/>
    </xf>
    <xf numFmtId="1" fontId="6" fillId="0" borderId="187" xfId="125" applyNumberFormat="1" applyFont="1" applyBorder="1" applyAlignment="1">
      <alignment horizontal="right" wrapText="1"/>
    </xf>
    <xf numFmtId="1" fontId="6" fillId="0" borderId="208" xfId="125" applyNumberFormat="1" applyFont="1" applyBorder="1"/>
    <xf numFmtId="1" fontId="6" fillId="0" borderId="207" xfId="125" applyNumberFormat="1" applyFont="1" applyBorder="1" applyAlignment="1">
      <alignment horizontal="right" wrapText="1"/>
    </xf>
    <xf numFmtId="1" fontId="6" fillId="15" borderId="37" xfId="0" applyNumberFormat="1" applyFont="1" applyFill="1" applyBorder="1" applyAlignment="1" applyProtection="1">
      <alignment horizontal="right"/>
      <protection locked="0"/>
    </xf>
    <xf numFmtId="1" fontId="6" fillId="15" borderId="42" xfId="0" applyNumberFormat="1" applyFont="1" applyFill="1" applyBorder="1" applyAlignment="1" applyProtection="1">
      <alignment horizontal="right"/>
      <protection locked="0"/>
    </xf>
    <xf numFmtId="1" fontId="6" fillId="15" borderId="137" xfId="0" applyNumberFormat="1" applyFont="1" applyFill="1" applyBorder="1" applyAlignment="1" applyProtection="1">
      <alignment horizontal="right"/>
      <protection locked="0"/>
    </xf>
    <xf numFmtId="0" fontId="36" fillId="22" borderId="29" xfId="126" applyFont="1" applyFill="1" applyBorder="1"/>
    <xf numFmtId="1" fontId="6" fillId="0" borderId="29" xfId="0" applyNumberFormat="1" applyFont="1" applyBorder="1" applyAlignment="1">
      <alignment vertical="center"/>
    </xf>
    <xf numFmtId="1" fontId="10" fillId="0" borderId="191" xfId="127" applyNumberFormat="1" applyFont="1" applyBorder="1" applyProtection="1">
      <protection hidden="1"/>
    </xf>
    <xf numFmtId="1" fontId="6" fillId="0" borderId="191" xfId="14" applyNumberFormat="1" applyFont="1" applyFill="1" applyBorder="1" applyProtection="1"/>
    <xf numFmtId="1" fontId="6" fillId="21" borderId="191" xfId="0" applyNumberFormat="1" applyFont="1" applyFill="1" applyBorder="1"/>
    <xf numFmtId="1" fontId="6" fillId="0" borderId="196" xfId="109" applyNumberFormat="1" applyFont="1" applyBorder="1" applyAlignment="1">
      <alignment horizontal="center" vertical="center" wrapText="1"/>
    </xf>
    <xf numFmtId="1" fontId="6" fillId="0" borderId="196" xfId="127" applyNumberFormat="1" applyFont="1" applyBorder="1" applyAlignment="1" applyProtection="1">
      <alignment horizontal="center" vertical="center" wrapText="1"/>
      <protection hidden="1"/>
    </xf>
    <xf numFmtId="1" fontId="6" fillId="15" borderId="196" xfId="14" applyNumberFormat="1" applyFont="1" applyFill="1" applyBorder="1" applyAlignment="1">
      <alignment horizontal="right"/>
      <protection locked="0"/>
    </xf>
    <xf numFmtId="1" fontId="6" fillId="15" borderId="80" xfId="14" applyNumberFormat="1" applyFont="1" applyFill="1" applyBorder="1" applyAlignment="1">
      <alignment horizontal="right"/>
      <protection locked="0"/>
    </xf>
    <xf numFmtId="0" fontId="7" fillId="17" borderId="4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Continuous" vertical="center"/>
    </xf>
    <xf numFmtId="0" fontId="14" fillId="0" borderId="209" xfId="0" applyFont="1" applyBorder="1" applyAlignment="1">
      <alignment horizontal="center"/>
    </xf>
    <xf numFmtId="0" fontId="7" fillId="0" borderId="209" xfId="0" applyFont="1" applyBorder="1" applyAlignment="1">
      <alignment horizontal="left" vertical="center"/>
    </xf>
    <xf numFmtId="1" fontId="6" fillId="0" borderId="34" xfId="126" applyNumberFormat="1" applyFont="1" applyBorder="1" applyAlignment="1">
      <alignment vertical="center" wrapText="1"/>
    </xf>
    <xf numFmtId="1" fontId="6" fillId="20" borderId="149" xfId="126" applyNumberFormat="1" applyFont="1" applyFill="1" applyBorder="1" applyAlignment="1">
      <alignment horizontal="right"/>
    </xf>
    <xf numFmtId="1" fontId="6" fillId="15" borderId="31" xfId="14" applyNumberFormat="1" applyFont="1" applyFill="1" applyBorder="1" applyAlignment="1">
      <alignment horizontal="right"/>
      <protection locked="0"/>
    </xf>
    <xf numFmtId="1" fontId="6" fillId="15" borderId="142" xfId="14" applyNumberFormat="1" applyFont="1" applyFill="1" applyBorder="1" applyAlignment="1">
      <alignment horizontal="right"/>
      <protection locked="0"/>
    </xf>
    <xf numFmtId="1" fontId="6" fillId="0" borderId="209" xfId="125" applyNumberFormat="1" applyFont="1" applyBorder="1" applyAlignment="1">
      <alignment horizontal="right"/>
    </xf>
    <xf numFmtId="1" fontId="6" fillId="17" borderId="35" xfId="0" applyNumberFormat="1" applyFont="1" applyFill="1" applyBorder="1" applyAlignment="1">
      <alignment horizontal="center" vertical="center" wrapText="1"/>
    </xf>
    <xf numFmtId="1" fontId="6" fillId="17" borderId="11" xfId="0" applyNumberFormat="1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1" fontId="30" fillId="0" borderId="27" xfId="0" applyNumberFormat="1" applyFont="1" applyBorder="1" applyAlignment="1" applyProtection="1">
      <alignment horizontal="left" wrapText="1"/>
      <protection hidden="1"/>
    </xf>
    <xf numFmtId="1" fontId="30" fillId="0" borderId="29" xfId="0" applyNumberFormat="1" applyFont="1" applyBorder="1" applyAlignment="1" applyProtection="1">
      <alignment horizontal="left" wrapText="1"/>
      <protection hidden="1"/>
    </xf>
    <xf numFmtId="1" fontId="30" fillId="0" borderId="34" xfId="0" applyNumberFormat="1" applyFont="1" applyBorder="1" applyAlignment="1" applyProtection="1">
      <alignment horizontal="left" wrapText="1"/>
      <protection hidden="1"/>
    </xf>
    <xf numFmtId="1" fontId="6" fillId="0" borderId="207" xfId="0" applyNumberFormat="1" applyFont="1" applyBorder="1" applyAlignment="1">
      <alignment horizontal="right"/>
    </xf>
    <xf numFmtId="0" fontId="7" fillId="15" borderId="212" xfId="14" applyFont="1" applyFill="1" applyBorder="1" applyAlignment="1">
      <alignment horizontal="center"/>
      <protection locked="0"/>
    </xf>
    <xf numFmtId="0" fontId="7" fillId="0" borderId="210" xfId="0" applyFont="1" applyBorder="1" applyAlignment="1">
      <alignment horizontal="left" vertical="center"/>
    </xf>
    <xf numFmtId="1" fontId="6" fillId="0" borderId="77" xfId="127" applyNumberFormat="1" applyFont="1" applyBorder="1" applyAlignment="1" applyProtection="1">
      <alignment vertical="center" wrapText="1"/>
      <protection hidden="1"/>
    </xf>
    <xf numFmtId="1" fontId="6" fillId="0" borderId="72" xfId="127" applyNumberFormat="1" applyFont="1" applyBorder="1" applyAlignment="1" applyProtection="1">
      <alignment vertical="center" wrapText="1"/>
      <protection hidden="1"/>
    </xf>
    <xf numFmtId="1" fontId="6" fillId="0" borderId="73" xfId="127" applyNumberFormat="1" applyFont="1" applyBorder="1" applyAlignment="1" applyProtection="1">
      <alignment vertical="center" wrapText="1"/>
      <protection hidden="1"/>
    </xf>
    <xf numFmtId="1" fontId="14" fillId="0" borderId="0" xfId="128" applyNumberFormat="1" applyFont="1" applyAlignment="1" applyProtection="1">
      <alignment vertical="center" wrapText="1"/>
      <protection hidden="1"/>
    </xf>
    <xf numFmtId="0" fontId="6" fillId="0" borderId="196" xfId="0" applyFont="1" applyBorder="1" applyAlignment="1">
      <alignment horizontal="center" vertical="center"/>
    </xf>
    <xf numFmtId="1" fontId="6" fillId="0" borderId="83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1" fontId="6" fillId="15" borderId="142" xfId="0" applyNumberFormat="1" applyFont="1" applyFill="1" applyBorder="1" applyAlignment="1" applyProtection="1">
      <alignment horizontal="right"/>
      <protection locked="0"/>
    </xf>
    <xf numFmtId="1" fontId="6" fillId="0" borderId="209" xfId="125" applyNumberFormat="1" applyFont="1" applyBorder="1" applyAlignment="1">
      <alignment horizontal="center" vertical="center" wrapText="1"/>
    </xf>
    <xf numFmtId="1" fontId="6" fillId="0" borderId="106" xfId="125" applyNumberFormat="1" applyFont="1" applyBorder="1" applyAlignment="1">
      <alignment horizontal="right"/>
    </xf>
    <xf numFmtId="1" fontId="6" fillId="0" borderId="21" xfId="125" applyNumberFormat="1" applyFont="1" applyBorder="1" applyAlignment="1">
      <alignment horizontal="right"/>
    </xf>
    <xf numFmtId="1" fontId="6" fillId="0" borderId="32" xfId="125" applyNumberFormat="1" applyFont="1" applyBorder="1" applyAlignment="1">
      <alignment horizontal="right"/>
    </xf>
    <xf numFmtId="1" fontId="6" fillId="22" borderId="207" xfId="0" applyNumberFormat="1" applyFont="1" applyFill="1" applyBorder="1" applyAlignment="1">
      <alignment horizontal="center" wrapText="1"/>
    </xf>
    <xf numFmtId="1" fontId="6" fillId="22" borderId="209" xfId="0" applyNumberFormat="1" applyFont="1" applyFill="1" applyBorder="1" applyAlignment="1">
      <alignment horizontal="center" wrapText="1"/>
    </xf>
    <xf numFmtId="1" fontId="6" fillId="0" borderId="207" xfId="125" applyNumberFormat="1" applyFont="1" applyBorder="1" applyAlignment="1">
      <alignment horizontal="right"/>
    </xf>
    <xf numFmtId="1" fontId="6" fillId="0" borderId="207" xfId="125" applyNumberFormat="1" applyFont="1" applyBorder="1"/>
    <xf numFmtId="1" fontId="6" fillId="0" borderId="207" xfId="125" applyNumberFormat="1" applyFont="1" applyBorder="1" applyAlignment="1">
      <alignment horizontal="left"/>
    </xf>
    <xf numFmtId="1" fontId="6" fillId="0" borderId="135" xfId="125" applyNumberFormat="1" applyFont="1" applyBorder="1"/>
    <xf numFmtId="1" fontId="6" fillId="0" borderId="188" xfId="125" applyNumberFormat="1" applyFont="1" applyBorder="1" applyAlignment="1">
      <alignment horizontal="right" wrapText="1"/>
    </xf>
    <xf numFmtId="1" fontId="6" fillId="15" borderId="82" xfId="0" applyNumberFormat="1" applyFont="1" applyFill="1" applyBorder="1" applyAlignment="1" applyProtection="1">
      <alignment horizontal="right"/>
      <protection locked="0"/>
    </xf>
    <xf numFmtId="1" fontId="6" fillId="15" borderId="98" xfId="0" applyNumberFormat="1" applyFont="1" applyFill="1" applyBorder="1" applyAlignment="1" applyProtection="1">
      <alignment horizontal="right"/>
      <protection locked="0"/>
    </xf>
    <xf numFmtId="1" fontId="6" fillId="15" borderId="6" xfId="125" applyNumberFormat="1" applyFont="1" applyFill="1" applyBorder="1" applyAlignment="1" applyProtection="1">
      <alignment horizontal="right"/>
      <protection locked="0"/>
    </xf>
    <xf numFmtId="1" fontId="6" fillId="0" borderId="208" xfId="125" applyNumberFormat="1" applyFont="1" applyBorder="1" applyAlignment="1">
      <alignment wrapText="1"/>
    </xf>
    <xf numFmtId="1" fontId="6" fillId="15" borderId="45" xfId="125" applyNumberFormat="1" applyFont="1" applyFill="1" applyBorder="1" applyAlignment="1" applyProtection="1">
      <alignment horizontal="right"/>
      <protection locked="0"/>
    </xf>
    <xf numFmtId="1" fontId="6" fillId="22" borderId="186" xfId="125" applyNumberFormat="1" applyFont="1" applyFill="1" applyBorder="1" applyAlignment="1">
      <alignment horizontal="right"/>
    </xf>
    <xf numFmtId="1" fontId="6" fillId="0" borderId="21" xfId="125" applyNumberFormat="1" applyFont="1" applyBorder="1" applyAlignment="1">
      <alignment horizontal="right" vertical="center"/>
    </xf>
    <xf numFmtId="1" fontId="6" fillId="15" borderId="21" xfId="125" applyNumberFormat="1" applyFont="1" applyFill="1" applyBorder="1" applyAlignment="1" applyProtection="1">
      <alignment horizontal="right" vertical="center"/>
      <protection locked="0"/>
    </xf>
    <xf numFmtId="1" fontId="6" fillId="15" borderId="95" xfId="125" applyNumberFormat="1" applyFont="1" applyFill="1" applyBorder="1" applyAlignment="1" applyProtection="1">
      <alignment horizontal="right" vertical="center"/>
      <protection locked="0"/>
    </xf>
    <xf numFmtId="1" fontId="6" fillId="15" borderId="69" xfId="125" applyNumberFormat="1" applyFont="1" applyFill="1" applyBorder="1" applyAlignment="1" applyProtection="1">
      <alignment horizontal="right" vertical="center"/>
      <protection locked="0"/>
    </xf>
    <xf numFmtId="1" fontId="6" fillId="17" borderId="0" xfId="0" applyNumberFormat="1" applyFont="1" applyFill="1" applyAlignment="1">
      <alignment vertical="center"/>
    </xf>
    <xf numFmtId="1" fontId="10" fillId="21" borderId="0" xfId="0" applyNumberFormat="1" applyFont="1" applyFill="1" applyAlignment="1">
      <alignment vertical="center"/>
    </xf>
    <xf numFmtId="1" fontId="6" fillId="0" borderId="89" xfId="126" applyNumberFormat="1" applyFont="1" applyBorder="1" applyAlignment="1" applyProtection="1">
      <alignment horizontal="left" vertical="center"/>
      <protection hidden="1"/>
    </xf>
    <xf numFmtId="1" fontId="6" fillId="0" borderId="44" xfId="126" applyNumberFormat="1" applyFont="1" applyBorder="1" applyAlignment="1" applyProtection="1">
      <alignment horizontal="left" vertical="center"/>
      <protection hidden="1"/>
    </xf>
    <xf numFmtId="1" fontId="14" fillId="0" borderId="0" xfId="130" applyNumberFormat="1" applyFont="1" applyAlignment="1" applyProtection="1">
      <alignment wrapText="1"/>
    </xf>
    <xf numFmtId="0" fontId="6" fillId="0" borderId="0" xfId="0" applyFont="1" applyAlignment="1">
      <alignment horizontal="right"/>
    </xf>
    <xf numFmtId="1" fontId="6" fillId="0" borderId="81" xfId="109" applyNumberFormat="1" applyFont="1" applyBorder="1" applyAlignment="1">
      <alignment horizontal="center" vertical="center" wrapText="1"/>
    </xf>
    <xf numFmtId="1" fontId="6" fillId="0" borderId="80" xfId="109" applyNumberFormat="1" applyFont="1" applyBorder="1" applyAlignment="1">
      <alignment horizontal="center" vertical="center" wrapText="1"/>
    </xf>
    <xf numFmtId="1" fontId="6" fillId="0" borderId="195" xfId="126" applyNumberFormat="1" applyFont="1" applyBorder="1" applyAlignment="1" applyProtection="1">
      <alignment horizontal="center" vertical="center" wrapText="1"/>
      <protection hidden="1"/>
    </xf>
    <xf numFmtId="1" fontId="6" fillId="15" borderId="29" xfId="125" applyNumberFormat="1" applyFont="1" applyFill="1" applyBorder="1" applyAlignment="1" applyProtection="1">
      <alignment horizontal="right"/>
      <protection locked="0"/>
    </xf>
    <xf numFmtId="1" fontId="6" fillId="15" borderId="209" xfId="125" applyNumberFormat="1" applyFont="1" applyFill="1" applyBorder="1" applyAlignment="1" applyProtection="1">
      <alignment horizontal="right"/>
      <protection locked="0"/>
    </xf>
    <xf numFmtId="1" fontId="6" fillId="0" borderId="67" xfId="125" applyNumberFormat="1" applyFont="1" applyBorder="1" applyAlignment="1">
      <alignment horizontal="right" wrapText="1"/>
    </xf>
    <xf numFmtId="1" fontId="6" fillId="0" borderId="70" xfId="125" applyNumberFormat="1" applyFont="1" applyBorder="1" applyAlignment="1">
      <alignment horizontal="right" wrapText="1"/>
    </xf>
    <xf numFmtId="1" fontId="6" fillId="0" borderId="68" xfId="125" applyNumberFormat="1" applyFont="1" applyBorder="1" applyAlignment="1">
      <alignment horizontal="right" wrapText="1"/>
    </xf>
    <xf numFmtId="1" fontId="6" fillId="0" borderId="91" xfId="125" applyNumberFormat="1" applyFont="1" applyBorder="1" applyAlignment="1">
      <alignment horizontal="right" wrapText="1"/>
    </xf>
    <xf numFmtId="1" fontId="6" fillId="0" borderId="123" xfId="125" applyNumberFormat="1" applyFont="1" applyBorder="1" applyAlignment="1">
      <alignment horizontal="right"/>
    </xf>
    <xf numFmtId="1" fontId="6" fillId="0" borderId="11" xfId="125" applyNumberFormat="1" applyFont="1" applyBorder="1"/>
    <xf numFmtId="1" fontId="6" fillId="0" borderId="30" xfId="125" applyNumberFormat="1" applyFont="1" applyBorder="1"/>
    <xf numFmtId="1" fontId="6" fillId="0" borderId="30" xfId="125" applyNumberFormat="1" applyFont="1" applyBorder="1" applyAlignment="1">
      <alignment horizontal="left"/>
    </xf>
    <xf numFmtId="1" fontId="6" fillId="0" borderId="35" xfId="125" applyNumberFormat="1" applyFont="1" applyBorder="1" applyAlignment="1">
      <alignment horizontal="left"/>
    </xf>
    <xf numFmtId="1" fontId="6" fillId="0" borderId="66" xfId="125" applyNumberFormat="1" applyFont="1" applyBorder="1" applyAlignment="1">
      <alignment horizontal="left"/>
    </xf>
    <xf numFmtId="1" fontId="6" fillId="0" borderId="210" xfId="125" applyNumberFormat="1" applyFont="1" applyBorder="1" applyAlignment="1">
      <alignment horizontal="center" vertical="center" wrapText="1"/>
    </xf>
    <xf numFmtId="1" fontId="6" fillId="0" borderId="209" xfId="125" applyNumberFormat="1" applyFont="1" applyBorder="1" applyAlignment="1">
      <alignment horizontal="right" wrapText="1"/>
    </xf>
    <xf numFmtId="1" fontId="6" fillId="0" borderId="211" xfId="125" applyNumberFormat="1" applyFont="1" applyBorder="1" applyAlignment="1">
      <alignment horizontal="center" vertical="center" wrapText="1"/>
    </xf>
    <xf numFmtId="1" fontId="6" fillId="0" borderId="191" xfId="125" applyNumberFormat="1" applyFont="1" applyBorder="1" applyAlignment="1">
      <alignment horizontal="right" wrapText="1"/>
    </xf>
    <xf numFmtId="1" fontId="6" fillId="0" borderId="191" xfId="125" applyNumberFormat="1" applyFont="1" applyBorder="1" applyAlignment="1">
      <alignment horizontal="right"/>
    </xf>
    <xf numFmtId="1" fontId="6" fillId="0" borderId="209" xfId="0" applyNumberFormat="1" applyFont="1" applyBorder="1" applyAlignment="1">
      <alignment horizontal="center" vertical="center"/>
    </xf>
    <xf numFmtId="1" fontId="6" fillId="0" borderId="210" xfId="0" applyNumberFormat="1" applyFont="1" applyBorder="1" applyAlignment="1">
      <alignment horizontal="center" vertical="center"/>
    </xf>
    <xf numFmtId="1" fontId="6" fillId="0" borderId="82" xfId="125" applyNumberFormat="1" applyFont="1" applyBorder="1" applyAlignment="1">
      <alignment horizontal="right"/>
    </xf>
    <xf numFmtId="1" fontId="6" fillId="0" borderId="217" xfId="125" applyNumberFormat="1" applyFont="1" applyBorder="1" applyAlignment="1">
      <alignment horizontal="center" vertical="center" wrapText="1"/>
    </xf>
    <xf numFmtId="1" fontId="6" fillId="0" borderId="81" xfId="125" applyNumberFormat="1" applyFont="1" applyBorder="1" applyAlignment="1">
      <alignment horizontal="right" wrapText="1"/>
    </xf>
    <xf numFmtId="1" fontId="6" fillId="0" borderId="197" xfId="0" applyNumberFormat="1" applyFont="1" applyBorder="1" applyAlignment="1">
      <alignment horizontal="center" vertical="center"/>
    </xf>
    <xf numFmtId="1" fontId="6" fillId="0" borderId="75" xfId="130" applyNumberFormat="1" applyFont="1" applyBorder="1" applyAlignment="1" applyProtection="1"/>
    <xf numFmtId="1" fontId="6" fillId="22" borderId="11" xfId="0" applyNumberFormat="1" applyFont="1" applyFill="1" applyBorder="1" applyAlignment="1">
      <alignment horizontal="center" vertical="center" wrapText="1"/>
    </xf>
    <xf numFmtId="1" fontId="6" fillId="0" borderId="124" xfId="0" applyNumberFormat="1" applyFont="1" applyBorder="1" applyAlignment="1">
      <alignment horizontal="left" vertical="center" wrapText="1"/>
    </xf>
    <xf numFmtId="1" fontId="6" fillId="22" borderId="73" xfId="0" applyNumberFormat="1" applyFont="1" applyFill="1" applyBorder="1" applyAlignment="1">
      <alignment horizontal="left" wrapText="1"/>
    </xf>
    <xf numFmtId="1" fontId="6" fillId="22" borderId="39" xfId="0" applyNumberFormat="1" applyFont="1" applyFill="1" applyBorder="1" applyAlignment="1">
      <alignment horizontal="left" wrapText="1"/>
    </xf>
    <xf numFmtId="1" fontId="6" fillId="22" borderId="73" xfId="0" applyNumberFormat="1" applyFont="1" applyFill="1" applyBorder="1" applyAlignment="1">
      <alignment horizontal="left"/>
    </xf>
    <xf numFmtId="1" fontId="6" fillId="22" borderId="39" xfId="0" applyNumberFormat="1" applyFont="1" applyFill="1" applyBorder="1" applyAlignment="1">
      <alignment horizontal="left"/>
    </xf>
    <xf numFmtId="1" fontId="10" fillId="29" borderId="0" xfId="0" applyNumberFormat="1" applyFont="1" applyFill="1"/>
    <xf numFmtId="1" fontId="6" fillId="22" borderId="144" xfId="0" applyNumberFormat="1" applyFont="1" applyFill="1" applyBorder="1" applyAlignment="1">
      <alignment horizontal="right"/>
    </xf>
    <xf numFmtId="1" fontId="6" fillId="22" borderId="34" xfId="0" applyNumberFormat="1" applyFont="1" applyFill="1" applyBorder="1" applyAlignment="1">
      <alignment horizontal="right"/>
    </xf>
    <xf numFmtId="1" fontId="6" fillId="22" borderId="101" xfId="0" applyNumberFormat="1" applyFont="1" applyFill="1" applyBorder="1" applyAlignment="1">
      <alignment horizontal="right"/>
    </xf>
    <xf numFmtId="1" fontId="6" fillId="22" borderId="124" xfId="0" applyNumberFormat="1" applyFont="1" applyFill="1" applyBorder="1" applyAlignment="1">
      <alignment horizontal="right"/>
    </xf>
    <xf numFmtId="1" fontId="6" fillId="22" borderId="61" xfId="0" applyNumberFormat="1" applyFont="1" applyFill="1" applyBorder="1" applyAlignment="1">
      <alignment horizontal="right"/>
    </xf>
    <xf numFmtId="1" fontId="6" fillId="22" borderId="44" xfId="0" applyNumberFormat="1" applyFont="1" applyFill="1" applyBorder="1" applyAlignment="1">
      <alignment horizontal="right"/>
    </xf>
    <xf numFmtId="1" fontId="6" fillId="22" borderId="11" xfId="0" applyNumberFormat="1" applyFont="1" applyFill="1" applyBorder="1" applyAlignment="1">
      <alignment horizontal="right"/>
    </xf>
    <xf numFmtId="1" fontId="6" fillId="22" borderId="146" xfId="0" applyNumberFormat="1" applyFont="1" applyFill="1" applyBorder="1" applyAlignment="1">
      <alignment horizontal="right"/>
    </xf>
    <xf numFmtId="1" fontId="6" fillId="22" borderId="29" xfId="0" applyNumberFormat="1" applyFont="1" applyFill="1" applyBorder="1" applyAlignment="1">
      <alignment horizontal="right"/>
    </xf>
    <xf numFmtId="1" fontId="6" fillId="22" borderId="55" xfId="0" applyNumberFormat="1" applyFont="1" applyFill="1" applyBorder="1" applyAlignment="1">
      <alignment horizontal="right"/>
    </xf>
    <xf numFmtId="1" fontId="6" fillId="22" borderId="27" xfId="0" applyNumberFormat="1" applyFont="1" applyFill="1" applyBorder="1" applyAlignment="1">
      <alignment horizontal="right"/>
    </xf>
    <xf numFmtId="1" fontId="6" fillId="22" borderId="58" xfId="0" applyNumberFormat="1" applyFont="1" applyFill="1" applyBorder="1" applyAlignment="1">
      <alignment horizontal="right"/>
    </xf>
    <xf numFmtId="1" fontId="6" fillId="22" borderId="156" xfId="0" applyNumberFormat="1" applyFont="1" applyFill="1" applyBorder="1" applyAlignment="1">
      <alignment horizontal="right"/>
    </xf>
    <xf numFmtId="1" fontId="6" fillId="22" borderId="49" xfId="0" applyNumberFormat="1" applyFont="1" applyFill="1" applyBorder="1" applyAlignment="1">
      <alignment horizontal="right"/>
    </xf>
    <xf numFmtId="1" fontId="6" fillId="22" borderId="144" xfId="0" applyNumberFormat="1" applyFont="1" applyFill="1" applyBorder="1" applyAlignment="1">
      <alignment horizontal="right" wrapText="1"/>
    </xf>
    <xf numFmtId="1" fontId="6" fillId="22" borderId="146" xfId="0" applyNumberFormat="1" applyFont="1" applyFill="1" applyBorder="1" applyAlignment="1">
      <alignment horizontal="right" wrapText="1"/>
    </xf>
    <xf numFmtId="1" fontId="6" fillId="22" borderId="0" xfId="0" applyNumberFormat="1" applyFont="1" applyFill="1" applyAlignment="1">
      <alignment horizontal="left"/>
    </xf>
    <xf numFmtId="1" fontId="6" fillId="22" borderId="30" xfId="0" applyNumberFormat="1" applyFont="1" applyFill="1" applyBorder="1" applyAlignment="1">
      <alignment horizontal="right" wrapText="1"/>
    </xf>
    <xf numFmtId="1" fontId="6" fillId="22" borderId="55" xfId="0" applyNumberFormat="1" applyFont="1" applyFill="1" applyBorder="1" applyAlignment="1">
      <alignment horizontal="right" wrapText="1"/>
    </xf>
    <xf numFmtId="1" fontId="6" fillId="22" borderId="27" xfId="0" applyNumberFormat="1" applyFont="1" applyFill="1" applyBorder="1" applyAlignment="1">
      <alignment horizontal="right" wrapText="1"/>
    </xf>
    <xf numFmtId="1" fontId="6" fillId="22" borderId="45" xfId="0" applyNumberFormat="1" applyFont="1" applyFill="1" applyBorder="1" applyAlignment="1">
      <alignment horizontal="right" wrapText="1"/>
    </xf>
    <xf numFmtId="1" fontId="6" fillId="22" borderId="61" xfId="0" applyNumberFormat="1" applyFont="1" applyFill="1" applyBorder="1" applyAlignment="1">
      <alignment horizontal="right" wrapText="1"/>
    </xf>
    <xf numFmtId="1" fontId="6" fillId="22" borderId="44" xfId="0" applyNumberFormat="1" applyFont="1" applyFill="1" applyBorder="1" applyAlignment="1">
      <alignment horizontal="right" wrapText="1"/>
    </xf>
    <xf numFmtId="1" fontId="6" fillId="22" borderId="30" xfId="0" applyNumberFormat="1" applyFont="1" applyFill="1" applyBorder="1" applyAlignment="1">
      <alignment horizontal="right"/>
    </xf>
    <xf numFmtId="1" fontId="6" fillId="22" borderId="66" xfId="0" applyNumberFormat="1" applyFont="1" applyFill="1" applyBorder="1" applyAlignment="1">
      <alignment horizontal="right"/>
    </xf>
    <xf numFmtId="1" fontId="6" fillId="22" borderId="75" xfId="0" applyNumberFormat="1" applyFont="1" applyFill="1" applyBorder="1" applyAlignment="1">
      <alignment horizontal="right"/>
    </xf>
    <xf numFmtId="1" fontId="6" fillId="22" borderId="0" xfId="0" applyNumberFormat="1" applyFont="1" applyFill="1" applyAlignment="1">
      <alignment wrapText="1"/>
    </xf>
    <xf numFmtId="0" fontId="35" fillId="21" borderId="0" xfId="0" applyFont="1" applyFill="1"/>
    <xf numFmtId="0" fontId="35" fillId="29" borderId="0" xfId="0" applyFont="1" applyFill="1"/>
    <xf numFmtId="1" fontId="6" fillId="0" borderId="27" xfId="0" applyNumberFormat="1" applyFont="1" applyBorder="1" applyAlignment="1">
      <alignment horizontal="left" vertical="center" wrapText="1"/>
    </xf>
    <xf numFmtId="1" fontId="6" fillId="0" borderId="120" xfId="0" applyNumberFormat="1" applyFont="1" applyBorder="1" applyAlignment="1">
      <alignment wrapText="1"/>
    </xf>
    <xf numFmtId="1" fontId="6" fillId="0" borderId="44" xfId="0" applyNumberFormat="1" applyFont="1" applyBorder="1" applyAlignment="1">
      <alignment wrapText="1"/>
    </xf>
    <xf numFmtId="1" fontId="6" fillId="0" borderId="74" xfId="0" applyNumberFormat="1" applyFont="1" applyBorder="1" applyAlignment="1">
      <alignment wrapText="1"/>
    </xf>
    <xf numFmtId="1" fontId="18" fillId="0" borderId="0" xfId="0" applyNumberFormat="1" applyFont="1"/>
    <xf numFmtId="1" fontId="10" fillId="22" borderId="0" xfId="0" applyNumberFormat="1" applyFont="1" applyFill="1" applyProtection="1">
      <protection hidden="1"/>
    </xf>
    <xf numFmtId="1" fontId="6" fillId="0" borderId="74" xfId="0" applyNumberFormat="1" applyFont="1" applyBorder="1" applyAlignment="1">
      <alignment vertical="center" wrapText="1"/>
    </xf>
    <xf numFmtId="1" fontId="14" fillId="0" borderId="93" xfId="127" applyNumberFormat="1" applyFont="1" applyBorder="1" applyProtection="1">
      <protection hidden="1"/>
    </xf>
    <xf numFmtId="1" fontId="6" fillId="0" borderId="191" xfId="0" applyNumberFormat="1" applyFont="1" applyBorder="1" applyProtection="1">
      <protection hidden="1"/>
    </xf>
    <xf numFmtId="1" fontId="10" fillId="0" borderId="4" xfId="126" applyNumberFormat="1" applyFont="1" applyBorder="1" applyAlignment="1" applyProtection="1">
      <alignment vertical="center"/>
      <protection hidden="1"/>
    </xf>
    <xf numFmtId="0" fontId="6" fillId="22" borderId="94" xfId="126" applyFont="1" applyFill="1" applyBorder="1" applyAlignment="1">
      <alignment vertical="center"/>
    </xf>
    <xf numFmtId="1" fontId="6" fillId="0" borderId="108" xfId="126" applyNumberFormat="1" applyFont="1" applyBorder="1" applyAlignment="1">
      <alignment vertical="center" wrapText="1"/>
    </xf>
    <xf numFmtId="1" fontId="6" fillId="22" borderId="196" xfId="0" applyNumberFormat="1" applyFont="1" applyFill="1" applyBorder="1" applyAlignment="1">
      <alignment horizontal="center" vertical="center" wrapText="1"/>
    </xf>
    <xf numFmtId="1" fontId="6" fillId="22" borderId="8" xfId="0" applyNumberFormat="1" applyFont="1" applyFill="1" applyBorder="1" applyAlignment="1">
      <alignment horizontal="center" vertical="center" wrapText="1"/>
    </xf>
    <xf numFmtId="1" fontId="6" fillId="22" borderId="5" xfId="0" applyNumberFormat="1" applyFont="1" applyFill="1" applyBorder="1" applyAlignment="1">
      <alignment horizontal="center" vertical="center" wrapText="1"/>
    </xf>
    <xf numFmtId="1" fontId="6" fillId="0" borderId="10" xfId="127" applyNumberFormat="1" applyFont="1" applyBorder="1" applyProtection="1">
      <protection hidden="1"/>
    </xf>
    <xf numFmtId="1" fontId="6" fillId="15" borderId="8" xfId="14" applyNumberFormat="1" applyFont="1" applyFill="1" applyBorder="1" applyAlignment="1">
      <alignment horizontal="right"/>
      <protection locked="0"/>
    </xf>
    <xf numFmtId="1" fontId="6" fillId="0" borderId="188" xfId="125" applyNumberFormat="1" applyFont="1" applyBorder="1" applyAlignment="1">
      <alignment vertical="center" wrapText="1"/>
    </xf>
    <xf numFmtId="1" fontId="6" fillId="0" borderId="196" xfId="0" applyNumberFormat="1" applyFont="1" applyBorder="1" applyAlignment="1">
      <alignment horizontal="center" vertical="center" wrapText="1"/>
    </xf>
    <xf numFmtId="1" fontId="6" fillId="0" borderId="45" xfId="0" quotePrefix="1" applyNumberFormat="1" applyFont="1" applyBorder="1" applyAlignment="1">
      <alignment horizontal="left" wrapText="1"/>
    </xf>
    <xf numFmtId="1" fontId="6" fillId="15" borderId="56" xfId="125" applyNumberFormat="1" applyFont="1" applyFill="1" applyBorder="1" applyAlignment="1" applyProtection="1">
      <alignment horizontal="right"/>
      <protection locked="0"/>
    </xf>
    <xf numFmtId="1" fontId="6" fillId="20" borderId="55" xfId="125" applyNumberFormat="1" applyFont="1" applyFill="1" applyBorder="1" applyAlignment="1">
      <alignment horizontal="right"/>
    </xf>
    <xf numFmtId="1" fontId="6" fillId="15" borderId="59" xfId="125" applyNumberFormat="1" applyFont="1" applyFill="1" applyBorder="1" applyAlignment="1" applyProtection="1">
      <alignment horizontal="right"/>
      <protection locked="0"/>
    </xf>
    <xf numFmtId="1" fontId="6" fillId="15" borderId="138" xfId="125" applyNumberFormat="1" applyFont="1" applyFill="1" applyBorder="1" applyAlignment="1" applyProtection="1">
      <alignment horizontal="right"/>
      <protection locked="0"/>
    </xf>
    <xf numFmtId="1" fontId="6" fillId="0" borderId="195" xfId="125" applyNumberFormat="1" applyFont="1" applyBorder="1" applyAlignment="1">
      <alignment horizontal="right"/>
    </xf>
    <xf numFmtId="1" fontId="6" fillId="15" borderId="107" xfId="125" applyNumberFormat="1" applyFont="1" applyFill="1" applyBorder="1" applyAlignment="1" applyProtection="1">
      <alignment horizontal="right" vertical="center"/>
      <protection locked="0"/>
    </xf>
    <xf numFmtId="0" fontId="35" fillId="0" borderId="0" xfId="0" applyFont="1" applyAlignment="1">
      <alignment vertical="center"/>
    </xf>
    <xf numFmtId="1" fontId="6" fillId="15" borderId="87" xfId="125" applyNumberFormat="1" applyFont="1" applyFill="1" applyBorder="1" applyAlignment="1" applyProtection="1">
      <alignment horizontal="right"/>
      <protection locked="0"/>
    </xf>
    <xf numFmtId="1" fontId="6" fillId="15" borderId="37" xfId="125" applyNumberFormat="1" applyFont="1" applyFill="1" applyBorder="1" applyAlignment="1" applyProtection="1">
      <alignment horizontal="right"/>
      <protection locked="0"/>
    </xf>
    <xf numFmtId="1" fontId="6" fillId="0" borderId="217" xfId="125" applyNumberFormat="1" applyFont="1" applyBorder="1" applyAlignment="1">
      <alignment horizontal="right"/>
    </xf>
    <xf numFmtId="1" fontId="6" fillId="0" borderId="197" xfId="125" applyNumberFormat="1" applyFont="1" applyBorder="1" applyAlignment="1">
      <alignment horizontal="right"/>
    </xf>
    <xf numFmtId="1" fontId="6" fillId="0" borderId="211" xfId="125" applyNumberFormat="1" applyFont="1" applyBorder="1" applyAlignment="1">
      <alignment horizontal="right"/>
    </xf>
    <xf numFmtId="1" fontId="6" fillId="0" borderId="215" xfId="125" applyNumberFormat="1" applyFont="1" applyBorder="1" applyAlignment="1">
      <alignment horizontal="right"/>
    </xf>
    <xf numFmtId="1" fontId="6" fillId="0" borderId="205" xfId="125" applyNumberFormat="1" applyFont="1" applyBorder="1" applyAlignment="1">
      <alignment horizontal="right"/>
    </xf>
    <xf numFmtId="1" fontId="6" fillId="15" borderId="32" xfId="0" quotePrefix="1" applyNumberFormat="1" applyFont="1" applyFill="1" applyBorder="1" applyAlignment="1" applyProtection="1">
      <alignment horizontal="right"/>
      <protection locked="0"/>
    </xf>
    <xf numFmtId="1" fontId="6" fillId="15" borderId="34" xfId="0" quotePrefix="1" applyNumberFormat="1" applyFont="1" applyFill="1" applyBorder="1" applyAlignment="1" applyProtection="1">
      <alignment horizontal="right"/>
      <protection locked="0"/>
    </xf>
    <xf numFmtId="1" fontId="6" fillId="0" borderId="186" xfId="0" applyNumberFormat="1" applyFont="1" applyBorder="1" applyAlignment="1">
      <alignment horizontal="right"/>
    </xf>
    <xf numFmtId="1" fontId="6" fillId="15" borderId="189" xfId="0" applyNumberFormat="1" applyFont="1" applyFill="1" applyBorder="1" applyAlignment="1" applyProtection="1">
      <alignment horizontal="right"/>
      <protection locked="0"/>
    </xf>
    <xf numFmtId="1" fontId="6" fillId="15" borderId="218" xfId="0" applyNumberFormat="1" applyFont="1" applyFill="1" applyBorder="1" applyAlignment="1" applyProtection="1">
      <alignment horizontal="right"/>
      <protection locked="0"/>
    </xf>
    <xf numFmtId="1" fontId="6" fillId="20" borderId="218" xfId="0" applyNumberFormat="1" applyFont="1" applyFill="1" applyBorder="1" applyAlignment="1">
      <alignment horizontal="right"/>
    </xf>
    <xf numFmtId="1" fontId="6" fillId="15" borderId="127" xfId="0" quotePrefix="1" applyNumberFormat="1" applyFont="1" applyFill="1" applyBorder="1" applyAlignment="1" applyProtection="1">
      <alignment horizontal="right"/>
      <protection locked="0"/>
    </xf>
    <xf numFmtId="1" fontId="6" fillId="15" borderId="29" xfId="0" quotePrefix="1" applyNumberFormat="1" applyFont="1" applyFill="1" applyBorder="1" applyAlignment="1" applyProtection="1">
      <alignment horizontal="right"/>
      <protection locked="0"/>
    </xf>
    <xf numFmtId="1" fontId="6" fillId="15" borderId="25" xfId="0" quotePrefix="1" applyNumberFormat="1" applyFont="1" applyFill="1" applyBorder="1" applyAlignment="1" applyProtection="1">
      <alignment horizontal="right"/>
      <protection locked="0"/>
    </xf>
    <xf numFmtId="1" fontId="6" fillId="15" borderId="27" xfId="0" quotePrefix="1" applyNumberFormat="1" applyFont="1" applyFill="1" applyBorder="1" applyAlignment="1" applyProtection="1">
      <alignment horizontal="right"/>
      <protection locked="0"/>
    </xf>
    <xf numFmtId="1" fontId="6" fillId="15" borderId="78" xfId="0" applyNumberFormat="1" applyFont="1" applyFill="1" applyBorder="1" applyAlignment="1" applyProtection="1">
      <alignment horizontal="right"/>
      <protection locked="0"/>
    </xf>
    <xf numFmtId="1" fontId="6" fillId="15" borderId="219" xfId="0" applyNumberFormat="1" applyFont="1" applyFill="1" applyBorder="1" applyAlignment="1" applyProtection="1">
      <alignment horizontal="right"/>
      <protection locked="0"/>
    </xf>
    <xf numFmtId="1" fontId="6" fillId="0" borderId="213" xfId="0" applyNumberFormat="1" applyFont="1" applyBorder="1" applyAlignment="1">
      <alignment horizontal="right"/>
    </xf>
    <xf numFmtId="1" fontId="6" fillId="0" borderId="220" xfId="0" applyNumberFormat="1" applyFont="1" applyBorder="1" applyAlignment="1">
      <alignment horizontal="right"/>
    </xf>
    <xf numFmtId="1" fontId="6" fillId="15" borderId="31" xfId="0" quotePrefix="1" applyNumberFormat="1" applyFont="1" applyFill="1" applyBorder="1" applyAlignment="1" applyProtection="1">
      <alignment horizontal="right"/>
      <protection locked="0"/>
    </xf>
    <xf numFmtId="1" fontId="6" fillId="15" borderId="85" xfId="0" quotePrefix="1" applyNumberFormat="1" applyFont="1" applyFill="1" applyBorder="1" applyAlignment="1" applyProtection="1">
      <alignment horizontal="right"/>
      <protection locked="0"/>
    </xf>
    <xf numFmtId="1" fontId="6" fillId="15" borderId="24" xfId="0" quotePrefix="1" applyNumberFormat="1" applyFont="1" applyFill="1" applyBorder="1" applyAlignment="1" applyProtection="1">
      <alignment horizontal="right"/>
      <protection locked="0"/>
    </xf>
    <xf numFmtId="1" fontId="6" fillId="15" borderId="78" xfId="0" quotePrefix="1" applyNumberFormat="1" applyFont="1" applyFill="1" applyBorder="1" applyAlignment="1" applyProtection="1">
      <alignment horizontal="right"/>
      <protection locked="0"/>
    </xf>
    <xf numFmtId="1" fontId="6" fillId="0" borderId="189" xfId="0" applyNumberFormat="1" applyFont="1" applyBorder="1" applyAlignment="1">
      <alignment horizontal="center" vertical="center" wrapText="1"/>
    </xf>
    <xf numFmtId="1" fontId="6" fillId="0" borderId="218" xfId="0" quotePrefix="1" applyNumberFormat="1" applyFont="1" applyBorder="1" applyAlignment="1">
      <alignment horizontal="center" vertical="center"/>
    </xf>
    <xf numFmtId="1" fontId="6" fillId="0" borderId="218" xfId="0" applyNumberFormat="1" applyFont="1" applyBorder="1" applyAlignment="1">
      <alignment horizontal="center" vertical="center"/>
    </xf>
    <xf numFmtId="1" fontId="6" fillId="0" borderId="158" xfId="0" applyNumberFormat="1" applyFont="1" applyBorder="1" applyAlignment="1">
      <alignment horizontal="center" vertical="center" wrapText="1"/>
    </xf>
    <xf numFmtId="1" fontId="6" fillId="20" borderId="56" xfId="0" applyNumberFormat="1" applyFont="1" applyFill="1" applyBorder="1" applyAlignment="1">
      <alignment horizontal="right"/>
    </xf>
    <xf numFmtId="1" fontId="6" fillId="20" borderId="152" xfId="0" applyNumberFormat="1" applyFont="1" applyFill="1" applyBorder="1" applyAlignment="1">
      <alignment horizontal="right"/>
    </xf>
    <xf numFmtId="1" fontId="6" fillId="20" borderId="59" xfId="0" applyNumberFormat="1" applyFont="1" applyFill="1" applyBorder="1" applyAlignment="1">
      <alignment horizontal="right"/>
    </xf>
    <xf numFmtId="1" fontId="6" fillId="20" borderId="221" xfId="0" applyNumberFormat="1" applyFont="1" applyFill="1" applyBorder="1" applyAlignment="1">
      <alignment horizontal="right"/>
    </xf>
    <xf numFmtId="1" fontId="6" fillId="20" borderId="138" xfId="0" applyNumberFormat="1" applyFont="1" applyFill="1" applyBorder="1" applyAlignment="1">
      <alignment horizontal="right"/>
    </xf>
    <xf numFmtId="1" fontId="6" fillId="0" borderId="217" xfId="0" applyNumberFormat="1" applyFont="1" applyBorder="1" applyAlignment="1">
      <alignment horizontal="right"/>
    </xf>
    <xf numFmtId="1" fontId="6" fillId="15" borderId="223" xfId="0" applyNumberFormat="1" applyFont="1" applyFill="1" applyBorder="1" applyAlignment="1" applyProtection="1">
      <alignment horizontal="right"/>
      <protection locked="0"/>
    </xf>
    <xf numFmtId="1" fontId="6" fillId="20" borderId="63" xfId="0" applyNumberFormat="1" applyFont="1" applyFill="1" applyBorder="1" applyAlignment="1">
      <alignment horizontal="right"/>
    </xf>
    <xf numFmtId="1" fontId="6" fillId="20" borderId="214" xfId="0" applyNumberFormat="1" applyFont="1" applyFill="1" applyBorder="1" applyAlignment="1">
      <alignment horizontal="right"/>
    </xf>
    <xf numFmtId="1" fontId="6" fillId="20" borderId="213" xfId="0" applyNumberFormat="1" applyFont="1" applyFill="1" applyBorder="1" applyAlignment="1">
      <alignment horizontal="right"/>
    </xf>
    <xf numFmtId="1" fontId="6" fillId="20" borderId="222" xfId="0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 vertical="center"/>
    </xf>
    <xf numFmtId="1" fontId="6" fillId="0" borderId="11" xfId="0" applyNumberFormat="1" applyFont="1" applyBorder="1" applyAlignment="1" applyProtection="1">
      <alignment vertical="center" wrapText="1"/>
      <protection hidden="1"/>
    </xf>
    <xf numFmtId="1" fontId="6" fillId="0" borderId="75" xfId="0" applyNumberFormat="1" applyFont="1" applyBorder="1" applyAlignment="1" applyProtection="1">
      <alignment vertical="center" wrapText="1"/>
      <protection hidden="1"/>
    </xf>
    <xf numFmtId="1" fontId="6" fillId="0" borderId="11" xfId="0" applyNumberFormat="1" applyFont="1" applyBorder="1" applyAlignment="1" applyProtection="1">
      <alignment horizontal="left" vertical="center" wrapText="1"/>
      <protection hidden="1"/>
    </xf>
    <xf numFmtId="1" fontId="6" fillId="0" borderId="30" xfId="0" applyNumberFormat="1" applyFont="1" applyBorder="1" applyAlignment="1" applyProtection="1">
      <alignment vertical="center" wrapText="1"/>
      <protection hidden="1"/>
    </xf>
    <xf numFmtId="1" fontId="6" fillId="17" borderId="29" xfId="0" applyNumberFormat="1" applyFont="1" applyFill="1" applyBorder="1" applyAlignment="1" applyProtection="1">
      <alignment vertical="center" wrapText="1"/>
      <protection hidden="1"/>
    </xf>
    <xf numFmtId="1" fontId="6" fillId="0" borderId="210" xfId="0" applyNumberFormat="1" applyFont="1" applyBorder="1" applyAlignment="1" applyProtection="1">
      <alignment horizontal="center" vertical="center" wrapText="1"/>
      <protection hidden="1"/>
    </xf>
    <xf numFmtId="0" fontId="14" fillId="0" borderId="216" xfId="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6" fillId="0" borderId="119" xfId="0" applyFont="1" applyBorder="1" applyAlignment="1">
      <alignment horizontal="center" vertical="center" wrapText="1"/>
    </xf>
    <xf numFmtId="0" fontId="6" fillId="0" borderId="20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209" xfId="0" applyFont="1" applyBorder="1" applyAlignment="1">
      <alignment horizontal="right" vertical="center"/>
    </xf>
    <xf numFmtId="0" fontId="6" fillId="20" borderId="209" xfId="0" applyFont="1" applyFill="1" applyBorder="1" applyAlignment="1">
      <alignment horizontal="right" vertical="center" wrapText="1"/>
    </xf>
    <xf numFmtId="0" fontId="6" fillId="0" borderId="207" xfId="0" applyFont="1" applyBorder="1" applyAlignment="1">
      <alignment horizontal="center" vertical="center" wrapText="1"/>
    </xf>
    <xf numFmtId="0" fontId="6" fillId="0" borderId="207" xfId="0" applyFont="1" applyBorder="1" applyAlignment="1">
      <alignment horizontal="right" vertical="center"/>
    </xf>
    <xf numFmtId="0" fontId="6" fillId="20" borderId="207" xfId="0" applyFont="1" applyFill="1" applyBorder="1" applyAlignment="1">
      <alignment horizontal="right" vertical="center"/>
    </xf>
    <xf numFmtId="0" fontId="6" fillId="0" borderId="209" xfId="0" applyFont="1" applyBorder="1" applyAlignment="1">
      <alignment horizontal="right" vertical="center" wrapText="1"/>
    </xf>
    <xf numFmtId="0" fontId="6" fillId="0" borderId="119" xfId="0" applyFont="1" applyBorder="1" applyAlignment="1">
      <alignment horizontal="right" vertical="center" wrapText="1"/>
    </xf>
    <xf numFmtId="1" fontId="6" fillId="0" borderId="191" xfId="126" applyNumberFormat="1" applyFont="1" applyBorder="1" applyAlignment="1" applyProtection="1">
      <alignment horizontal="center" vertical="center" wrapText="1"/>
      <protection hidden="1"/>
    </xf>
    <xf numFmtId="1" fontId="6" fillId="20" borderId="106" xfId="0" applyNumberFormat="1" applyFont="1" applyFill="1" applyBorder="1" applyAlignment="1">
      <alignment horizontal="right"/>
    </xf>
    <xf numFmtId="1" fontId="6" fillId="20" borderId="104" xfId="0" applyNumberFormat="1" applyFont="1" applyFill="1" applyBorder="1" applyAlignment="1">
      <alignment horizontal="right"/>
    </xf>
    <xf numFmtId="0" fontId="6" fillId="20" borderId="67" xfId="0" applyFont="1" applyFill="1" applyBorder="1" applyAlignment="1">
      <alignment horizontal="right"/>
    </xf>
    <xf numFmtId="0" fontId="6" fillId="20" borderId="27" xfId="0" applyFont="1" applyFill="1" applyBorder="1" applyAlignment="1">
      <alignment horizontal="right"/>
    </xf>
    <xf numFmtId="0" fontId="6" fillId="20" borderId="68" xfId="0" applyFont="1" applyFill="1" applyBorder="1" applyAlignment="1">
      <alignment horizontal="right"/>
    </xf>
    <xf numFmtId="0" fontId="6" fillId="20" borderId="39" xfId="0" applyFont="1" applyFill="1" applyBorder="1" applyAlignment="1">
      <alignment horizontal="right"/>
    </xf>
    <xf numFmtId="0" fontId="6" fillId="20" borderId="59" xfId="0" applyFont="1" applyFill="1" applyBorder="1" applyAlignment="1">
      <alignment horizontal="right"/>
    </xf>
    <xf numFmtId="1" fontId="6" fillId="20" borderId="25" xfId="123" applyNumberFormat="1" applyFont="1" applyFill="1" applyBorder="1" applyAlignment="1">
      <alignment horizontal="right"/>
    </xf>
    <xf numFmtId="1" fontId="6" fillId="20" borderId="127" xfId="123" applyNumberFormat="1" applyFont="1" applyFill="1" applyBorder="1" applyAlignment="1">
      <alignment horizontal="right"/>
    </xf>
    <xf numFmtId="1" fontId="6" fillId="20" borderId="7" xfId="126" applyNumberFormat="1" applyFont="1" applyFill="1" applyBorder="1"/>
    <xf numFmtId="1" fontId="6" fillId="20" borderId="8" xfId="126" applyNumberFormat="1" applyFont="1" applyFill="1" applyBorder="1"/>
    <xf numFmtId="1" fontId="6" fillId="20" borderId="5" xfId="126" applyNumberFormat="1" applyFont="1" applyFill="1" applyBorder="1"/>
    <xf numFmtId="1" fontId="6" fillId="20" borderId="196" xfId="126" applyNumberFormat="1" applyFont="1" applyFill="1" applyBorder="1"/>
    <xf numFmtId="1" fontId="6" fillId="20" borderId="23" xfId="126" applyNumberFormat="1" applyFont="1" applyFill="1" applyBorder="1"/>
    <xf numFmtId="1" fontId="6" fillId="20" borderId="62" xfId="126" applyNumberFormat="1" applyFont="1" applyFill="1" applyBorder="1"/>
    <xf numFmtId="1" fontId="6" fillId="20" borderId="1" xfId="126" applyNumberFormat="1" applyFont="1" applyFill="1" applyBorder="1"/>
    <xf numFmtId="1" fontId="6" fillId="20" borderId="93" xfId="126" applyNumberFormat="1" applyFont="1" applyFill="1" applyBorder="1"/>
    <xf numFmtId="1" fontId="6" fillId="20" borderId="64" xfId="126" applyNumberFormat="1" applyFont="1" applyFill="1" applyBorder="1"/>
    <xf numFmtId="1" fontId="6" fillId="20" borderId="107" xfId="126" applyNumberFormat="1" applyFont="1" applyFill="1" applyBorder="1" applyAlignment="1">
      <alignment horizontal="right"/>
    </xf>
    <xf numFmtId="1" fontId="6" fillId="20" borderId="58" xfId="126" applyNumberFormat="1" applyFont="1" applyFill="1" applyBorder="1" applyAlignment="1">
      <alignment horizontal="right"/>
    </xf>
    <xf numFmtId="1" fontId="6" fillId="20" borderId="35" xfId="126" applyNumberFormat="1" applyFont="1" applyFill="1" applyBorder="1" applyAlignment="1">
      <alignment horizontal="right"/>
    </xf>
    <xf numFmtId="1" fontId="6" fillId="18" borderId="75" xfId="0" applyNumberFormat="1" applyFont="1" applyFill="1" applyBorder="1" applyAlignment="1">
      <alignment horizontal="right"/>
    </xf>
    <xf numFmtId="1" fontId="6" fillId="20" borderId="35" xfId="0" applyNumberFormat="1" applyFont="1" applyFill="1" applyBorder="1" applyAlignment="1">
      <alignment horizontal="right"/>
    </xf>
    <xf numFmtId="1" fontId="6" fillId="20" borderId="66" xfId="0" applyNumberFormat="1" applyFont="1" applyFill="1" applyBorder="1" applyAlignment="1">
      <alignment horizontal="right"/>
    </xf>
    <xf numFmtId="1" fontId="6" fillId="20" borderId="118" xfId="126" applyNumberFormat="1" applyFont="1" applyFill="1" applyBorder="1" applyAlignment="1">
      <alignment horizontal="right"/>
    </xf>
    <xf numFmtId="1" fontId="6" fillId="20" borderId="144" xfId="126" applyNumberFormat="1" applyFont="1" applyFill="1" applyBorder="1" applyAlignment="1">
      <alignment horizontal="right"/>
    </xf>
    <xf numFmtId="1" fontId="6" fillId="20" borderId="75" xfId="126" applyNumberFormat="1" applyFont="1" applyFill="1" applyBorder="1" applyAlignment="1">
      <alignment horizontal="right"/>
    </xf>
    <xf numFmtId="1" fontId="6" fillId="20" borderId="101" xfId="126" applyNumberFormat="1" applyFont="1" applyFill="1" applyBorder="1" applyAlignment="1">
      <alignment horizontal="right"/>
    </xf>
    <xf numFmtId="1" fontId="6" fillId="20" borderId="66" xfId="126" applyNumberFormat="1" applyFont="1" applyFill="1" applyBorder="1" applyAlignment="1">
      <alignment horizontal="right"/>
    </xf>
    <xf numFmtId="1" fontId="6" fillId="20" borderId="122" xfId="126" applyNumberFormat="1" applyFont="1" applyFill="1" applyBorder="1"/>
    <xf numFmtId="1" fontId="6" fillId="20" borderId="192" xfId="126" applyNumberFormat="1" applyFont="1" applyFill="1" applyBorder="1"/>
    <xf numFmtId="1" fontId="6" fillId="20" borderId="148" xfId="126" applyNumberFormat="1" applyFont="1" applyFill="1" applyBorder="1" applyAlignment="1">
      <alignment horizontal="right"/>
    </xf>
    <xf numFmtId="1" fontId="6" fillId="20" borderId="30" xfId="0" applyNumberFormat="1" applyFont="1" applyFill="1" applyBorder="1" applyAlignment="1">
      <alignment horizontal="right"/>
    </xf>
    <xf numFmtId="1" fontId="6" fillId="20" borderId="137" xfId="126" applyNumberFormat="1" applyFont="1" applyFill="1" applyBorder="1" applyAlignment="1">
      <alignment horizontal="right"/>
    </xf>
    <xf numFmtId="1" fontId="6" fillId="20" borderId="202" xfId="126" applyNumberFormat="1" applyFont="1" applyFill="1" applyBorder="1" applyAlignment="1">
      <alignment horizontal="right"/>
    </xf>
    <xf numFmtId="1" fontId="6" fillId="20" borderId="30" xfId="126" applyNumberFormat="1" applyFont="1" applyFill="1" applyBorder="1" applyAlignment="1">
      <alignment horizontal="right"/>
    </xf>
    <xf numFmtId="1" fontId="6" fillId="20" borderId="150" xfId="126" applyNumberFormat="1" applyFont="1" applyFill="1" applyBorder="1" applyAlignment="1">
      <alignment horizontal="right"/>
    </xf>
    <xf numFmtId="1" fontId="6" fillId="20" borderId="166" xfId="126" applyNumberFormat="1" applyFont="1" applyFill="1" applyBorder="1" applyAlignment="1">
      <alignment horizontal="right"/>
    </xf>
    <xf numFmtId="1" fontId="6" fillId="20" borderId="11" xfId="126" applyNumberFormat="1" applyFont="1" applyFill="1" applyBorder="1" applyAlignment="1">
      <alignment horizontal="right"/>
    </xf>
    <xf numFmtId="1" fontId="6" fillId="0" borderId="10" xfId="0" applyNumberFormat="1" applyFont="1" applyBorder="1" applyAlignment="1">
      <alignment horizontal="right"/>
    </xf>
    <xf numFmtId="1" fontId="6" fillId="0" borderId="218" xfId="0" applyNumberFormat="1" applyFont="1" applyBorder="1" applyAlignment="1">
      <alignment horizontal="right"/>
    </xf>
    <xf numFmtId="0" fontId="3" fillId="14" borderId="218" xfId="124" applyFont="1" applyFill="1" applyBorder="1" applyAlignment="1" applyProtection="1">
      <alignment horizontal="center"/>
      <protection locked="0"/>
    </xf>
    <xf numFmtId="0" fontId="3" fillId="14" borderId="219" xfId="124" applyFont="1" applyFill="1" applyBorder="1" applyAlignment="1" applyProtection="1">
      <alignment horizontal="center"/>
      <protection locked="0"/>
    </xf>
    <xf numFmtId="0" fontId="3" fillId="0" borderId="0" xfId="124" applyFont="1" applyBorder="1" applyAlignment="1" applyProtection="1">
      <alignment horizontal="center"/>
      <protection locked="0"/>
    </xf>
    <xf numFmtId="0" fontId="3" fillId="14" borderId="207" xfId="124" applyFont="1" applyFill="1" applyBorder="1" applyAlignment="1" applyProtection="1">
      <alignment horizontal="center"/>
      <protection locked="0"/>
    </xf>
    <xf numFmtId="1" fontId="6" fillId="0" borderId="1" xfId="130" applyNumberFormat="1" applyFont="1" applyBorder="1" applyAlignment="1" applyProtection="1">
      <alignment horizontal="center" vertical="center" wrapText="1"/>
      <protection hidden="1"/>
    </xf>
    <xf numFmtId="1" fontId="6" fillId="0" borderId="119" xfId="130" applyNumberFormat="1" applyFont="1" applyBorder="1" applyAlignment="1" applyProtection="1">
      <alignment horizontal="center" vertical="center" wrapText="1"/>
      <protection hidden="1"/>
    </xf>
    <xf numFmtId="1" fontId="6" fillId="0" borderId="64" xfId="130" applyNumberFormat="1" applyFont="1" applyBorder="1" applyAlignment="1" applyProtection="1">
      <alignment horizontal="center" vertical="center" wrapText="1"/>
    </xf>
    <xf numFmtId="1" fontId="6" fillId="0" borderId="207" xfId="130" applyNumberFormat="1" applyFont="1" applyBorder="1" applyAlignment="1" applyProtection="1">
      <alignment horizontal="center" vertical="center" wrapText="1"/>
    </xf>
    <xf numFmtId="1" fontId="6" fillId="0" borderId="186" xfId="130" applyNumberFormat="1" applyFont="1" applyBorder="1" applyAlignment="1" applyProtection="1">
      <alignment horizontal="center" vertical="center" wrapText="1"/>
    </xf>
    <xf numFmtId="1" fontId="6" fillId="0" borderId="23" xfId="125" applyNumberFormat="1" applyFont="1" applyBorder="1" applyAlignment="1">
      <alignment horizontal="center" vertical="center" wrapText="1"/>
    </xf>
    <xf numFmtId="1" fontId="6" fillId="0" borderId="0" xfId="126" applyNumberFormat="1" applyFont="1" applyAlignment="1" applyProtection="1">
      <alignment horizontal="right"/>
      <protection hidden="1"/>
    </xf>
    <xf numFmtId="1" fontId="6" fillId="0" borderId="228" xfId="126" applyNumberFormat="1" applyFont="1" applyBorder="1" applyAlignment="1" applyProtection="1">
      <alignment horizontal="center" vertical="center"/>
      <protection hidden="1"/>
    </xf>
    <xf numFmtId="1" fontId="6" fillId="0" borderId="0" xfId="126" applyNumberFormat="1" applyFont="1" applyAlignment="1">
      <alignment horizontal="right"/>
    </xf>
    <xf numFmtId="1" fontId="6" fillId="20" borderId="105" xfId="14" applyNumberFormat="1" applyFont="1" applyFill="1" applyBorder="1" applyAlignment="1" applyProtection="1">
      <alignment horizontal="right"/>
    </xf>
    <xf numFmtId="1" fontId="6" fillId="20" borderId="106" xfId="14" applyNumberFormat="1" applyFont="1" applyFill="1" applyBorder="1" applyAlignment="1" applyProtection="1">
      <alignment horizontal="right"/>
    </xf>
    <xf numFmtId="1" fontId="6" fillId="20" borderId="69" xfId="14" applyNumberFormat="1" applyFont="1" applyFill="1" applyBorder="1" applyAlignment="1" applyProtection="1">
      <alignment horizontal="right"/>
    </xf>
    <xf numFmtId="1" fontId="6" fillId="20" borderId="68" xfId="14" applyNumberFormat="1" applyFont="1" applyFill="1" applyBorder="1" applyAlignment="1" applyProtection="1">
      <alignment horizontal="right"/>
    </xf>
    <xf numFmtId="1" fontId="6" fillId="0" borderId="219" xfId="109" applyNumberFormat="1" applyFont="1" applyBorder="1" applyAlignment="1">
      <alignment horizontal="center" vertical="center" wrapText="1"/>
    </xf>
    <xf numFmtId="1" fontId="6" fillId="0" borderId="219" xfId="126" applyNumberFormat="1" applyFont="1" applyBorder="1" applyAlignment="1" applyProtection="1">
      <alignment horizontal="center" vertical="center"/>
      <protection hidden="1"/>
    </xf>
    <xf numFmtId="1" fontId="6" fillId="0" borderId="218" xfId="126" applyNumberFormat="1" applyFont="1" applyBorder="1" applyAlignment="1" applyProtection="1">
      <alignment horizontal="center" vertical="center"/>
      <protection hidden="1"/>
    </xf>
    <xf numFmtId="1" fontId="6" fillId="0" borderId="122" xfId="126" applyNumberFormat="1" applyFont="1" applyBorder="1" applyAlignment="1" applyProtection="1">
      <alignment horizontal="center" vertical="center"/>
      <protection hidden="1"/>
    </xf>
    <xf numFmtId="1" fontId="6" fillId="0" borderId="27" xfId="126" applyNumberFormat="1" applyFont="1" applyBorder="1" applyAlignment="1">
      <alignment horizontal="right"/>
    </xf>
    <xf numFmtId="1" fontId="6" fillId="0" borderId="127" xfId="126" applyNumberFormat="1" applyFont="1" applyBorder="1" applyAlignment="1">
      <alignment horizontal="right"/>
    </xf>
    <xf numFmtId="1" fontId="6" fillId="0" borderId="29" xfId="126" applyNumberFormat="1" applyFont="1" applyBorder="1" applyAlignment="1">
      <alignment horizontal="right"/>
    </xf>
    <xf numFmtId="1" fontId="6" fillId="0" borderId="128" xfId="126" applyNumberFormat="1" applyFont="1" applyBorder="1" applyAlignment="1">
      <alignment horizontal="right"/>
    </xf>
    <xf numFmtId="1" fontId="6" fillId="0" borderId="6" xfId="126" applyNumberFormat="1" applyFont="1" applyBorder="1" applyAlignment="1">
      <alignment horizontal="right"/>
    </xf>
    <xf numFmtId="1" fontId="6" fillId="0" borderId="229" xfId="126" applyNumberFormat="1" applyFont="1" applyBorder="1" applyAlignment="1" applyProtection="1">
      <alignment horizontal="center" vertical="center"/>
      <protection hidden="1"/>
    </xf>
    <xf numFmtId="1" fontId="6" fillId="24" borderId="88" xfId="126" applyNumberFormat="1" applyFont="1" applyFill="1" applyBorder="1" applyAlignment="1" applyProtection="1">
      <alignment horizontal="right"/>
      <protection locked="0"/>
    </xf>
    <xf numFmtId="1" fontId="6" fillId="24" borderId="141" xfId="126" applyNumberFormat="1" applyFont="1" applyFill="1" applyBorder="1" applyAlignment="1" applyProtection="1">
      <alignment horizontal="right"/>
      <protection locked="0"/>
    </xf>
    <xf numFmtId="1" fontId="6" fillId="24" borderId="59" xfId="126" applyNumberFormat="1" applyFont="1" applyFill="1" applyBorder="1" applyAlignment="1" applyProtection="1">
      <alignment horizontal="right"/>
      <protection locked="0"/>
    </xf>
    <xf numFmtId="1" fontId="6" fillId="0" borderId="97" xfId="126" applyNumberFormat="1" applyFont="1" applyBorder="1" applyAlignment="1">
      <alignment horizontal="right"/>
    </xf>
    <xf numFmtId="1" fontId="6" fillId="20" borderId="24" xfId="126" applyNumberFormat="1" applyFont="1" applyFill="1" applyBorder="1" applyAlignment="1">
      <alignment horizontal="right"/>
    </xf>
    <xf numFmtId="1" fontId="6" fillId="20" borderId="56" xfId="126" applyNumberFormat="1" applyFont="1" applyFill="1" applyBorder="1" applyAlignment="1">
      <alignment horizontal="right"/>
    </xf>
    <xf numFmtId="1" fontId="6" fillId="20" borderId="104" xfId="126" applyNumberFormat="1" applyFont="1" applyFill="1" applyBorder="1" applyAlignment="1">
      <alignment horizontal="right"/>
    </xf>
    <xf numFmtId="1" fontId="6" fillId="21" borderId="11" xfId="0" applyNumberFormat="1" applyFont="1" applyFill="1" applyBorder="1" applyAlignment="1">
      <alignment horizontal="center" vertical="center" wrapText="1"/>
    </xf>
    <xf numFmtId="1" fontId="6" fillId="21" borderId="0" xfId="126" applyNumberFormat="1" applyFont="1" applyFill="1" applyAlignment="1" applyProtection="1">
      <alignment horizontal="center" vertical="center" wrapText="1"/>
      <protection hidden="1"/>
    </xf>
    <xf numFmtId="1" fontId="6" fillId="15" borderId="36" xfId="125" applyNumberFormat="1" applyFont="1" applyFill="1" applyBorder="1" applyAlignment="1" applyProtection="1">
      <alignment horizontal="right" vertical="center"/>
      <protection locked="0"/>
    </xf>
    <xf numFmtId="1" fontId="6" fillId="0" borderId="92" xfId="125" applyNumberFormat="1" applyFont="1" applyBorder="1" applyAlignment="1">
      <alignment horizontal="right"/>
    </xf>
    <xf numFmtId="1" fontId="6" fillId="0" borderId="69" xfId="125" applyNumberFormat="1" applyFont="1" applyBorder="1" applyAlignment="1">
      <alignment horizontal="right"/>
    </xf>
    <xf numFmtId="1" fontId="6" fillId="0" borderId="69" xfId="125" applyNumberFormat="1" applyFont="1" applyBorder="1" applyAlignment="1">
      <alignment horizontal="right" vertical="center"/>
    </xf>
    <xf numFmtId="1" fontId="6" fillId="0" borderId="105" xfId="125" applyNumberFormat="1" applyFont="1" applyBorder="1" applyAlignment="1">
      <alignment horizontal="right"/>
    </xf>
    <xf numFmtId="1" fontId="6" fillId="0" borderId="218" xfId="125" applyNumberFormat="1" applyFont="1" applyBorder="1" applyAlignment="1">
      <alignment horizontal="center" vertical="center" wrapText="1"/>
    </xf>
    <xf numFmtId="1" fontId="6" fillId="0" borderId="81" xfId="125" applyNumberFormat="1" applyFont="1" applyBorder="1" applyAlignment="1">
      <alignment horizontal="center" vertical="center" wrapText="1"/>
    </xf>
    <xf numFmtId="1" fontId="6" fillId="0" borderId="219" xfId="125" applyNumberFormat="1" applyFont="1" applyBorder="1" applyAlignment="1">
      <alignment horizontal="center" vertical="center" wrapText="1"/>
    </xf>
    <xf numFmtId="1" fontId="6" fillId="0" borderId="82" xfId="127" applyNumberFormat="1" applyFont="1" applyBorder="1" applyAlignment="1" applyProtection="1">
      <alignment horizontal="center" vertical="center" wrapText="1"/>
      <protection hidden="1"/>
    </xf>
    <xf numFmtId="1" fontId="30" fillId="27" borderId="0" xfId="0" applyNumberFormat="1" applyFont="1" applyFill="1"/>
    <xf numFmtId="1" fontId="6" fillId="22" borderId="29" xfId="0" applyNumberFormat="1" applyFont="1" applyFill="1" applyBorder="1" applyAlignment="1">
      <alignment horizontal="center" vertical="center"/>
    </xf>
    <xf numFmtId="1" fontId="6" fillId="21" borderId="193" xfId="0" applyNumberFormat="1" applyFont="1" applyFill="1" applyBorder="1" applyAlignment="1">
      <alignment horizontal="center" vertical="center" wrapText="1"/>
    </xf>
    <xf numFmtId="1" fontId="6" fillId="0" borderId="228" xfId="0" applyNumberFormat="1" applyFont="1" applyBorder="1"/>
    <xf numFmtId="1" fontId="10" fillId="0" borderId="1" xfId="125" applyNumberFormat="1" applyFont="1" applyBorder="1"/>
    <xf numFmtId="1" fontId="6" fillId="0" borderId="229" xfId="125" applyNumberFormat="1" applyFont="1" applyBorder="1" applyAlignment="1">
      <alignment horizontal="center" vertical="center" wrapText="1"/>
    </xf>
    <xf numFmtId="1" fontId="6" fillId="22" borderId="67" xfId="125" applyNumberFormat="1" applyFont="1" applyFill="1" applyBorder="1" applyAlignment="1">
      <alignment horizontal="right"/>
    </xf>
    <xf numFmtId="1" fontId="6" fillId="22" borderId="86" xfId="125" applyNumberFormat="1" applyFont="1" applyFill="1" applyBorder="1" applyAlignment="1">
      <alignment horizontal="right"/>
    </xf>
    <xf numFmtId="1" fontId="6" fillId="22" borderId="103" xfId="125" applyNumberFormat="1" applyFont="1" applyFill="1" applyBorder="1" applyAlignment="1">
      <alignment horizontal="right"/>
    </xf>
    <xf numFmtId="1" fontId="6" fillId="17" borderId="67" xfId="0" applyNumberFormat="1" applyFont="1" applyFill="1" applyBorder="1" applyAlignment="1">
      <alignment horizontal="center" vertical="center" wrapText="1"/>
    </xf>
    <xf numFmtId="1" fontId="6" fillId="22" borderId="25" xfId="0" applyNumberFormat="1" applyFont="1" applyFill="1" applyBorder="1" applyAlignment="1">
      <alignment horizontal="center" vertical="center"/>
    </xf>
    <xf numFmtId="1" fontId="6" fillId="22" borderId="27" xfId="0" applyNumberFormat="1" applyFont="1" applyFill="1" applyBorder="1" applyAlignment="1">
      <alignment horizontal="center" vertical="center"/>
    </xf>
    <xf numFmtId="1" fontId="6" fillId="17" borderId="68" xfId="0" applyNumberFormat="1" applyFont="1" applyFill="1" applyBorder="1" applyAlignment="1">
      <alignment horizontal="center" vertical="center" wrapText="1"/>
    </xf>
    <xf numFmtId="1" fontId="6" fillId="22" borderId="21" xfId="0" applyNumberFormat="1" applyFont="1" applyFill="1" applyBorder="1" applyAlignment="1">
      <alignment horizontal="center" vertical="center"/>
    </xf>
    <xf numFmtId="1" fontId="6" fillId="22" borderId="39" xfId="0" applyNumberFormat="1" applyFont="1" applyFill="1" applyBorder="1" applyAlignment="1">
      <alignment horizontal="center" vertical="center"/>
    </xf>
    <xf numFmtId="1" fontId="6" fillId="17" borderId="82" xfId="0" applyNumberFormat="1" applyFont="1" applyFill="1" applyBorder="1" applyAlignment="1">
      <alignment horizontal="center" vertical="center" wrapText="1"/>
    </xf>
    <xf numFmtId="1" fontId="6" fillId="22" borderId="127" xfId="0" applyNumberFormat="1" applyFont="1" applyFill="1" applyBorder="1" applyAlignment="1">
      <alignment horizontal="center" vertical="center"/>
    </xf>
    <xf numFmtId="1" fontId="6" fillId="17" borderId="91" xfId="0" applyNumberFormat="1" applyFont="1" applyFill="1" applyBorder="1" applyAlignment="1">
      <alignment horizontal="center" vertical="center" wrapText="1"/>
    </xf>
    <xf numFmtId="1" fontId="6" fillId="22" borderId="32" xfId="0" applyNumberFormat="1" applyFont="1" applyFill="1" applyBorder="1" applyAlignment="1">
      <alignment horizontal="center" vertical="center"/>
    </xf>
    <xf numFmtId="1" fontId="6" fillId="22" borderId="34" xfId="0" applyNumberFormat="1" applyFont="1" applyFill="1" applyBorder="1" applyAlignment="1">
      <alignment horizontal="center" vertical="center"/>
    </xf>
    <xf numFmtId="1" fontId="6" fillId="21" borderId="207" xfId="0" applyNumberFormat="1" applyFont="1" applyFill="1" applyBorder="1"/>
    <xf numFmtId="1" fontId="6" fillId="29" borderId="207" xfId="0" applyNumberFormat="1" applyFont="1" applyFill="1" applyBorder="1" applyAlignment="1">
      <alignment horizontal="center" vertical="center"/>
    </xf>
    <xf numFmtId="1" fontId="6" fillId="29" borderId="207" xfId="0" applyNumberFormat="1" applyFont="1" applyFill="1" applyBorder="1" applyAlignment="1">
      <alignment horizontal="center" vertical="center" wrapText="1"/>
    </xf>
    <xf numFmtId="1" fontId="6" fillId="29" borderId="193" xfId="0" applyNumberFormat="1" applyFont="1" applyFill="1" applyBorder="1" applyAlignment="1">
      <alignment horizontal="center" vertical="center" wrapText="1"/>
    </xf>
    <xf numFmtId="1" fontId="6" fillId="21" borderId="207" xfId="0" applyNumberFormat="1" applyFont="1" applyFill="1" applyBorder="1" applyAlignment="1">
      <alignment horizontal="center" vertical="center"/>
    </xf>
    <xf numFmtId="1" fontId="6" fillId="21" borderId="207" xfId="0" applyNumberFormat="1" applyFont="1" applyFill="1" applyBorder="1" applyAlignment="1">
      <alignment horizontal="center" vertical="center" wrapText="1"/>
    </xf>
    <xf numFmtId="1" fontId="6" fillId="30" borderId="207" xfId="0" applyNumberFormat="1" applyFont="1" applyFill="1" applyBorder="1"/>
    <xf numFmtId="1" fontId="6" fillId="22" borderId="67" xfId="0" applyNumberFormat="1" applyFont="1" applyFill="1" applyBorder="1" applyAlignment="1">
      <alignment horizontal="right" wrapText="1"/>
    </xf>
    <xf numFmtId="1" fontId="6" fillId="15" borderId="24" xfId="73" applyNumberFormat="1" applyFont="1" applyFill="1" applyBorder="1" applyAlignment="1" applyProtection="1">
      <alignment horizontal="right"/>
      <protection locked="0"/>
    </xf>
    <xf numFmtId="1" fontId="6" fillId="15" borderId="87" xfId="73" applyNumberFormat="1" applyFont="1" applyFill="1" applyBorder="1" applyAlignment="1" applyProtection="1">
      <alignment horizontal="right"/>
      <protection locked="0"/>
    </xf>
    <xf numFmtId="1" fontId="6" fillId="24" borderId="67" xfId="125" applyNumberFormat="1" applyFont="1" applyFill="1" applyBorder="1" applyAlignment="1" applyProtection="1">
      <alignment horizontal="right"/>
      <protection locked="0"/>
    </xf>
    <xf numFmtId="1" fontId="6" fillId="24" borderId="27" xfId="125" applyNumberFormat="1" applyFont="1" applyFill="1" applyBorder="1" applyAlignment="1" applyProtection="1">
      <alignment horizontal="right"/>
      <protection locked="0"/>
    </xf>
    <xf numFmtId="1" fontId="6" fillId="24" borderId="120" xfId="125" applyNumberFormat="1" applyFont="1" applyFill="1" applyBorder="1" applyAlignment="1" applyProtection="1">
      <alignment horizontal="right"/>
      <protection locked="0"/>
    </xf>
    <xf numFmtId="1" fontId="6" fillId="24" borderId="103" xfId="125" applyNumberFormat="1" applyFont="1" applyFill="1" applyBorder="1" applyAlignment="1" applyProtection="1">
      <alignment horizontal="right"/>
      <protection locked="0"/>
    </xf>
    <xf numFmtId="1" fontId="6" fillId="24" borderId="27" xfId="125" applyNumberFormat="1" applyFont="1" applyFill="1" applyBorder="1" applyAlignment="1" applyProtection="1">
      <alignment horizontal="right" wrapText="1"/>
      <protection locked="0"/>
    </xf>
    <xf numFmtId="1" fontId="6" fillId="24" borderId="82" xfId="125" applyNumberFormat="1" applyFont="1" applyFill="1" applyBorder="1" applyAlignment="1" applyProtection="1">
      <alignment horizontal="right"/>
      <protection locked="0"/>
    </xf>
    <xf numFmtId="1" fontId="6" fillId="24" borderId="29" xfId="125" applyNumberFormat="1" applyFont="1" applyFill="1" applyBorder="1" applyAlignment="1" applyProtection="1">
      <alignment horizontal="right"/>
      <protection locked="0"/>
    </xf>
    <xf numFmtId="1" fontId="6" fillId="24" borderId="6" xfId="125" applyNumberFormat="1" applyFont="1" applyFill="1" applyBorder="1" applyAlignment="1" applyProtection="1">
      <alignment horizontal="right"/>
      <protection locked="0"/>
    </xf>
    <xf numFmtId="1" fontId="6" fillId="24" borderId="84" xfId="125" applyNumberFormat="1" applyFont="1" applyFill="1" applyBorder="1" applyAlignment="1" applyProtection="1">
      <alignment horizontal="right"/>
      <protection locked="0"/>
    </xf>
    <xf numFmtId="1" fontId="6" fillId="24" borderId="29" xfId="125" applyNumberFormat="1" applyFont="1" applyFill="1" applyBorder="1" applyAlignment="1" applyProtection="1">
      <alignment horizontal="right" wrapText="1"/>
      <protection locked="0"/>
    </xf>
    <xf numFmtId="1" fontId="6" fillId="24" borderId="68" xfId="125" applyNumberFormat="1" applyFont="1" applyFill="1" applyBorder="1" applyAlignment="1" applyProtection="1">
      <alignment horizontal="right"/>
      <protection locked="0"/>
    </xf>
    <xf numFmtId="1" fontId="6" fillId="24" borderId="39" xfId="125" applyNumberFormat="1" applyFont="1" applyFill="1" applyBorder="1" applyAlignment="1" applyProtection="1">
      <alignment horizontal="right"/>
      <protection locked="0"/>
    </xf>
    <xf numFmtId="1" fontId="6" fillId="24" borderId="125" xfId="125" applyNumberFormat="1" applyFont="1" applyFill="1" applyBorder="1" applyAlignment="1" applyProtection="1">
      <alignment horizontal="right"/>
      <protection locked="0"/>
    </xf>
    <xf numFmtId="1" fontId="6" fillId="24" borderId="95" xfId="125" applyNumberFormat="1" applyFont="1" applyFill="1" applyBorder="1" applyAlignment="1" applyProtection="1">
      <alignment horizontal="right"/>
      <protection locked="0"/>
    </xf>
    <xf numFmtId="1" fontId="6" fillId="24" borderId="39" xfId="125" applyNumberFormat="1" applyFont="1" applyFill="1" applyBorder="1" applyAlignment="1" applyProtection="1">
      <alignment horizontal="right" wrapText="1"/>
      <protection locked="0"/>
    </xf>
    <xf numFmtId="1" fontId="6" fillId="24" borderId="106" xfId="125" applyNumberFormat="1" applyFont="1" applyFill="1" applyBorder="1" applyAlignment="1" applyProtection="1">
      <alignment horizontal="right"/>
      <protection locked="0"/>
    </xf>
    <xf numFmtId="1" fontId="6" fillId="24" borderId="124" xfId="125" applyNumberFormat="1" applyFont="1" applyFill="1" applyBorder="1" applyAlignment="1" applyProtection="1">
      <alignment horizontal="right"/>
      <protection locked="0"/>
    </xf>
    <xf numFmtId="1" fontId="6" fillId="24" borderId="126" xfId="125" applyNumberFormat="1" applyFont="1" applyFill="1" applyBorder="1" applyAlignment="1" applyProtection="1">
      <alignment horizontal="right"/>
      <protection locked="0"/>
    </xf>
    <xf numFmtId="1" fontId="6" fillId="24" borderId="133" xfId="125" applyNumberFormat="1" applyFont="1" applyFill="1" applyBorder="1" applyAlignment="1" applyProtection="1">
      <alignment horizontal="right"/>
      <protection locked="0"/>
    </xf>
    <xf numFmtId="1" fontId="6" fillId="24" borderId="124" xfId="125" applyNumberFormat="1" applyFont="1" applyFill="1" applyBorder="1" applyAlignment="1" applyProtection="1">
      <alignment horizontal="right" wrapText="1"/>
      <protection locked="0"/>
    </xf>
    <xf numFmtId="1" fontId="6" fillId="24" borderId="7" xfId="125" applyNumberFormat="1" applyFont="1" applyFill="1" applyBorder="1" applyAlignment="1" applyProtection="1">
      <alignment horizontal="right"/>
      <protection locked="0"/>
    </xf>
    <xf numFmtId="1" fontId="6" fillId="24" borderId="209" xfId="125" applyNumberFormat="1" applyFont="1" applyFill="1" applyBorder="1" applyAlignment="1" applyProtection="1">
      <alignment horizontal="right"/>
      <protection locked="0"/>
    </xf>
    <xf numFmtId="1" fontId="6" fillId="24" borderId="191" xfId="125" applyNumberFormat="1" applyFont="1" applyFill="1" applyBorder="1" applyAlignment="1" applyProtection="1">
      <alignment horizontal="right"/>
      <protection locked="0"/>
    </xf>
    <xf numFmtId="1" fontId="6" fillId="24" borderId="81" xfId="125" applyNumberFormat="1" applyFont="1" applyFill="1" applyBorder="1" applyAlignment="1" applyProtection="1">
      <alignment horizontal="right"/>
      <protection locked="0"/>
    </xf>
    <xf numFmtId="1" fontId="6" fillId="24" borderId="5" xfId="125" applyNumberFormat="1" applyFont="1" applyFill="1" applyBorder="1" applyAlignment="1" applyProtection="1">
      <alignment horizontal="right" wrapText="1"/>
      <protection locked="0"/>
    </xf>
    <xf numFmtId="0" fontId="6" fillId="24" borderId="30" xfId="0" applyFont="1" applyFill="1" applyBorder="1" applyAlignment="1" applyProtection="1">
      <alignment horizontal="right" vertical="center"/>
      <protection locked="0"/>
    </xf>
    <xf numFmtId="0" fontId="6" fillId="24" borderId="27" xfId="0" applyFont="1" applyFill="1" applyBorder="1" applyAlignment="1" applyProtection="1">
      <alignment horizontal="right" vertical="center"/>
      <protection locked="0"/>
    </xf>
    <xf numFmtId="0" fontId="6" fillId="24" borderId="54" xfId="0" applyFont="1" applyFill="1" applyBorder="1" applyAlignment="1" applyProtection="1">
      <alignment horizontal="right" vertical="center"/>
      <protection locked="0"/>
    </xf>
    <xf numFmtId="0" fontId="6" fillId="24" borderId="35" xfId="0" applyFont="1" applyFill="1" applyBorder="1" applyAlignment="1" applyProtection="1">
      <alignment horizontal="right" vertical="center"/>
      <protection locked="0"/>
    </xf>
    <xf numFmtId="0" fontId="6" fillId="24" borderId="39" xfId="0" applyFont="1" applyFill="1" applyBorder="1" applyAlignment="1" applyProtection="1">
      <alignment horizontal="right" vertical="center"/>
      <protection locked="0"/>
    </xf>
    <xf numFmtId="0" fontId="6" fillId="24" borderId="57" xfId="0" applyFont="1" applyFill="1" applyBorder="1" applyAlignment="1" applyProtection="1">
      <alignment horizontal="right" vertical="center"/>
      <protection locked="0"/>
    </xf>
    <xf numFmtId="0" fontId="6" fillId="24" borderId="11" xfId="0" applyFont="1" applyFill="1" applyBorder="1" applyAlignment="1" applyProtection="1">
      <alignment horizontal="right" vertical="center"/>
      <protection locked="0"/>
    </xf>
    <xf numFmtId="0" fontId="6" fillId="24" borderId="29" xfId="0" applyFont="1" applyFill="1" applyBorder="1" applyAlignment="1" applyProtection="1">
      <alignment horizontal="right" vertical="center"/>
      <protection locked="0"/>
    </xf>
    <xf numFmtId="0" fontId="6" fillId="24" borderId="163" xfId="0" applyFont="1" applyFill="1" applyBorder="1" applyAlignment="1" applyProtection="1">
      <alignment horizontal="right" vertical="center"/>
      <protection locked="0"/>
    </xf>
    <xf numFmtId="0" fontId="6" fillId="24" borderId="209" xfId="0" applyFont="1" applyFill="1" applyBorder="1" applyAlignment="1" applyProtection="1">
      <alignment horizontal="right" vertical="center"/>
      <protection locked="0"/>
    </xf>
    <xf numFmtId="0" fontId="6" fillId="24" borderId="119" xfId="0" applyFont="1" applyFill="1" applyBorder="1" applyAlignment="1" applyProtection="1">
      <alignment horizontal="right" vertical="center"/>
      <protection locked="0"/>
    </xf>
    <xf numFmtId="0" fontId="6" fillId="24" borderId="207" xfId="0" applyFont="1" applyFill="1" applyBorder="1" applyAlignment="1" applyProtection="1">
      <alignment horizontal="right" vertical="center"/>
      <protection locked="0"/>
    </xf>
    <xf numFmtId="1" fontId="6" fillId="20" borderId="67" xfId="125" applyNumberFormat="1" applyFont="1" applyFill="1" applyBorder="1" applyAlignment="1">
      <alignment horizontal="right"/>
    </xf>
    <xf numFmtId="1" fontId="6" fillId="20" borderId="27" xfId="125" applyNumberFormat="1" applyFont="1" applyFill="1" applyBorder="1" applyAlignment="1">
      <alignment horizontal="right"/>
    </xf>
    <xf numFmtId="1" fontId="6" fillId="20" borderId="68" xfId="125" applyNumberFormat="1" applyFont="1" applyFill="1" applyBorder="1" applyAlignment="1">
      <alignment horizontal="right"/>
    </xf>
    <xf numFmtId="1" fontId="6" fillId="20" borderId="39" xfId="125" applyNumberFormat="1" applyFont="1" applyFill="1" applyBorder="1" applyAlignment="1">
      <alignment horizontal="right"/>
    </xf>
    <xf numFmtId="1" fontId="6" fillId="20" borderId="24" xfId="0" applyNumberFormat="1" applyFont="1" applyFill="1" applyBorder="1" applyAlignment="1">
      <alignment horizontal="right"/>
    </xf>
    <xf numFmtId="1" fontId="6" fillId="20" borderId="92" xfId="0" applyNumberFormat="1" applyFont="1" applyFill="1" applyBorder="1" applyAlignment="1">
      <alignment horizontal="right"/>
    </xf>
    <xf numFmtId="1" fontId="6" fillId="20" borderId="36" xfId="0" applyNumberFormat="1" applyFont="1" applyFill="1" applyBorder="1" applyAlignment="1">
      <alignment horizontal="right"/>
    </xf>
    <xf numFmtId="1" fontId="6" fillId="20" borderId="69" xfId="0" applyNumberFormat="1" applyFont="1" applyFill="1" applyBorder="1" applyAlignment="1">
      <alignment horizontal="right"/>
    </xf>
    <xf numFmtId="1" fontId="6" fillId="20" borderId="85" xfId="0" applyNumberFormat="1" applyFont="1" applyFill="1" applyBorder="1" applyAlignment="1">
      <alignment horizontal="right"/>
    </xf>
    <xf numFmtId="1" fontId="6" fillId="20" borderId="83" xfId="0" applyNumberFormat="1" applyFont="1" applyFill="1" applyBorder="1" applyAlignment="1">
      <alignment horizontal="right"/>
    </xf>
    <xf numFmtId="1" fontId="6" fillId="22" borderId="80" xfId="125" applyNumberFormat="1" applyFont="1" applyFill="1" applyBorder="1" applyAlignment="1">
      <alignment horizontal="right"/>
    </xf>
    <xf numFmtId="1" fontId="6" fillId="0" borderId="27" xfId="125" applyNumberFormat="1" applyFont="1" applyBorder="1" applyAlignment="1">
      <alignment horizontal="right" vertical="center"/>
    </xf>
    <xf numFmtId="1" fontId="6" fillId="0" borderId="39" xfId="125" applyNumberFormat="1" applyFont="1" applyBorder="1" applyAlignment="1">
      <alignment horizontal="right" vertical="center"/>
    </xf>
    <xf numFmtId="1" fontId="6" fillId="0" borderId="124" xfId="125" applyNumberFormat="1" applyFont="1" applyBorder="1" applyAlignment="1">
      <alignment horizontal="right" vertical="center"/>
    </xf>
    <xf numFmtId="1" fontId="6" fillId="22" borderId="1" xfId="14" applyNumberFormat="1" applyFont="1" applyFill="1" applyBorder="1" applyAlignment="1" applyProtection="1">
      <alignment horizontal="right"/>
    </xf>
    <xf numFmtId="1" fontId="40" fillId="17" borderId="0" xfId="0" applyNumberFormat="1" applyFont="1" applyFill="1"/>
    <xf numFmtId="1" fontId="29" fillId="0" borderId="0" xfId="0" applyNumberFormat="1" applyFont="1" applyAlignment="1">
      <alignment horizontal="center" vertical="center"/>
    </xf>
    <xf numFmtId="1" fontId="29" fillId="0" borderId="0" xfId="0" applyNumberFormat="1" applyFont="1" applyProtection="1">
      <protection hidden="1"/>
    </xf>
    <xf numFmtId="1" fontId="29" fillId="0" borderId="0" xfId="0" applyNumberFormat="1" applyFont="1" applyProtection="1">
      <protection locked="0"/>
    </xf>
    <xf numFmtId="0" fontId="29" fillId="0" borderId="0" xfId="0" applyFont="1" applyAlignment="1">
      <alignment horizontal="right"/>
    </xf>
    <xf numFmtId="1" fontId="29" fillId="0" borderId="9" xfId="0" applyNumberFormat="1" applyFont="1" applyBorder="1" applyAlignment="1" applyProtection="1">
      <alignment horizontal="center" vertical="center" wrapText="1"/>
      <protection hidden="1"/>
    </xf>
    <xf numFmtId="1" fontId="29" fillId="0" borderId="9" xfId="0" applyNumberFormat="1" applyFont="1" applyBorder="1" applyProtection="1">
      <protection hidden="1"/>
    </xf>
    <xf numFmtId="1" fontId="29" fillId="22" borderId="0" xfId="0" applyNumberFormat="1" applyFont="1" applyFill="1" applyProtection="1">
      <protection hidden="1"/>
    </xf>
    <xf numFmtId="1" fontId="29" fillId="17" borderId="0" xfId="0" applyNumberFormat="1" applyFont="1" applyFill="1"/>
    <xf numFmtId="1" fontId="39" fillId="0" borderId="0" xfId="0" applyNumberFormat="1" applyFont="1"/>
    <xf numFmtId="1" fontId="40" fillId="0" borderId="0" xfId="0" applyNumberFormat="1" applyFont="1" applyProtection="1">
      <protection hidden="1"/>
    </xf>
    <xf numFmtId="1" fontId="40" fillId="0" borderId="0" xfId="0" applyNumberFormat="1" applyFont="1"/>
    <xf numFmtId="0" fontId="39" fillId="0" borderId="0" xfId="0" applyFont="1"/>
    <xf numFmtId="1" fontId="29" fillId="0" borderId="0" xfId="126" applyNumberFormat="1" applyFont="1" applyProtection="1">
      <protection hidden="1"/>
    </xf>
    <xf numFmtId="1" fontId="40" fillId="22" borderId="0" xfId="0" applyNumberFormat="1" applyFont="1" applyFill="1" applyAlignment="1">
      <alignment horizontal="center" vertical="center" wrapText="1"/>
    </xf>
    <xf numFmtId="1" fontId="40" fillId="22" borderId="0" xfId="0" applyNumberFormat="1" applyFont="1" applyFill="1" applyAlignment="1">
      <alignment horizontal="center" wrapText="1"/>
    </xf>
    <xf numFmtId="1" fontId="6" fillId="0" borderId="218" xfId="125" applyNumberFormat="1" applyFont="1" applyBorder="1" applyAlignment="1">
      <alignment horizontal="right"/>
    </xf>
    <xf numFmtId="1" fontId="6" fillId="0" borderId="219" xfId="125" applyNumberFormat="1" applyFont="1" applyBorder="1" applyAlignment="1">
      <alignment horizontal="right"/>
    </xf>
    <xf numFmtId="1" fontId="6" fillId="15" borderId="68" xfId="125" applyNumberFormat="1" applyFont="1" applyFill="1" applyBorder="1" applyAlignment="1" applyProtection="1">
      <alignment horizontal="right" vertical="center"/>
      <protection locked="0"/>
    </xf>
    <xf numFmtId="1" fontId="6" fillId="0" borderId="80" xfId="125" applyNumberFormat="1" applyFont="1" applyBorder="1" applyAlignment="1">
      <alignment horizontal="right"/>
    </xf>
    <xf numFmtId="1" fontId="6" fillId="0" borderId="228" xfId="125" applyNumberFormat="1" applyFont="1" applyBorder="1" applyAlignment="1">
      <alignment horizontal="right"/>
    </xf>
    <xf numFmtId="0" fontId="13" fillId="14" borderId="135" xfId="124" applyFont="1" applyFill="1" applyBorder="1" applyAlignment="1" applyProtection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19" borderId="188" xfId="0" applyFont="1" applyFill="1" applyBorder="1" applyAlignment="1">
      <alignment horizontal="center" vertical="center" wrapText="1"/>
    </xf>
    <xf numFmtId="0" fontId="3" fillId="0" borderId="209" xfId="0" applyFont="1" applyBorder="1" applyAlignment="1">
      <alignment horizontal="center" vertical="center" wrapText="1"/>
    </xf>
    <xf numFmtId="0" fontId="4" fillId="19" borderId="207" xfId="124" applyFont="1" applyFill="1" applyBorder="1" applyAlignment="1" applyProtection="1">
      <alignment horizontal="center" vertical="center" wrapText="1"/>
    </xf>
    <xf numFmtId="0" fontId="11" fillId="14" borderId="208" xfId="120" applyFont="1" applyFill="1" applyBorder="1" applyAlignment="1">
      <alignment horizontal="center" vertical="center"/>
    </xf>
    <xf numFmtId="0" fontId="11" fillId="14" borderId="192" xfId="120" applyFont="1" applyFill="1" applyBorder="1" applyAlignment="1">
      <alignment horizontal="center" vertical="center"/>
    </xf>
    <xf numFmtId="0" fontId="7" fillId="19" borderId="10" xfId="124" applyFont="1" applyFill="1" applyBorder="1" applyAlignment="1" applyProtection="1">
      <alignment horizontal="center" vertical="center"/>
    </xf>
    <xf numFmtId="0" fontId="7" fillId="19" borderId="64" xfId="124" applyFont="1" applyFill="1" applyBorder="1" applyAlignment="1" applyProtection="1">
      <alignment horizontal="center" vertical="center"/>
    </xf>
    <xf numFmtId="1" fontId="30" fillId="0" borderId="200" xfId="0" applyNumberFormat="1" applyFont="1" applyBorder="1" applyAlignment="1">
      <alignment horizontal="center" vertical="center" wrapText="1"/>
    </xf>
    <xf numFmtId="1" fontId="30" fillId="0" borderId="146" xfId="0" applyNumberFormat="1" applyFont="1" applyBorder="1" applyAlignment="1">
      <alignment horizontal="center" vertical="center" wrapText="1"/>
    </xf>
    <xf numFmtId="1" fontId="6" fillId="0" borderId="135" xfId="0" applyNumberFormat="1" applyFont="1" applyBorder="1" applyAlignment="1" applyProtection="1">
      <alignment horizontal="center" vertical="center" wrapText="1"/>
      <protection hidden="1"/>
    </xf>
    <xf numFmtId="1" fontId="6" fillId="0" borderId="11" xfId="0" applyNumberFormat="1" applyFont="1" applyBorder="1" applyAlignment="1" applyProtection="1">
      <alignment horizontal="center" vertical="center" wrapText="1"/>
      <protection hidden="1"/>
    </xf>
    <xf numFmtId="1" fontId="6" fillId="0" borderId="188" xfId="0" applyNumberFormat="1" applyFont="1" applyBorder="1" applyAlignment="1" applyProtection="1">
      <alignment horizontal="center" vertical="center" wrapText="1"/>
      <protection hidden="1"/>
    </xf>
    <xf numFmtId="1" fontId="6" fillId="0" borderId="64" xfId="0" applyNumberFormat="1" applyFont="1" applyBorder="1" applyAlignment="1" applyProtection="1">
      <alignment horizontal="center" vertical="center" wrapText="1"/>
      <protection hidden="1"/>
    </xf>
    <xf numFmtId="1" fontId="6" fillId="0" borderId="46" xfId="0" applyNumberFormat="1" applyFont="1" applyBorder="1" applyAlignment="1" applyProtection="1">
      <alignment horizontal="center" vertical="center" wrapText="1"/>
      <protection hidden="1"/>
    </xf>
    <xf numFmtId="1" fontId="6" fillId="0" borderId="85" xfId="0" applyNumberFormat="1" applyFont="1" applyBorder="1" applyAlignment="1" applyProtection="1">
      <alignment horizontal="center" vertical="center" wrapText="1"/>
      <protection hidden="1"/>
    </xf>
    <xf numFmtId="1" fontId="6" fillId="0" borderId="102" xfId="0" applyNumberFormat="1" applyFont="1" applyBorder="1" applyAlignment="1" applyProtection="1">
      <alignment horizontal="center" vertical="center" wrapText="1"/>
      <protection hidden="1"/>
    </xf>
    <xf numFmtId="1" fontId="6" fillId="0" borderId="83" xfId="0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1" fontId="6" fillId="0" borderId="62" xfId="0" applyNumberFormat="1" applyFont="1" applyBorder="1" applyAlignment="1" applyProtection="1">
      <alignment horizontal="center" vertical="center" wrapText="1"/>
      <protection hidden="1"/>
    </xf>
    <xf numFmtId="1" fontId="30" fillId="0" borderId="74" xfId="0" applyNumberFormat="1" applyFont="1" applyBorder="1" applyAlignment="1" applyProtection="1">
      <alignment horizontal="left" vertical="center" wrapText="1"/>
      <protection hidden="1"/>
    </xf>
    <xf numFmtId="1" fontId="30" fillId="0" borderId="34" xfId="0" applyNumberFormat="1" applyFont="1" applyBorder="1" applyAlignment="1" applyProtection="1">
      <alignment horizontal="left" vertical="center" wrapText="1"/>
      <protection hidden="1"/>
    </xf>
    <xf numFmtId="1" fontId="30" fillId="0" borderId="73" xfId="0" applyNumberFormat="1" applyFont="1" applyBorder="1" applyAlignment="1" applyProtection="1">
      <alignment horizontal="left" vertical="center" wrapText="1"/>
      <protection hidden="1"/>
    </xf>
    <xf numFmtId="1" fontId="30" fillId="0" borderId="39" xfId="0" applyNumberFormat="1" applyFont="1" applyBorder="1" applyAlignment="1" applyProtection="1">
      <alignment horizontal="left" vertical="center" wrapText="1"/>
      <protection hidden="1"/>
    </xf>
    <xf numFmtId="1" fontId="30" fillId="0" borderId="67" xfId="0" applyNumberFormat="1" applyFont="1" applyBorder="1" applyAlignment="1" applyProtection="1">
      <alignment horizontal="left"/>
      <protection hidden="1"/>
    </xf>
    <xf numFmtId="1" fontId="30" fillId="0" borderId="86" xfId="0" quotePrefix="1" applyNumberFormat="1" applyFont="1" applyBorder="1" applyAlignment="1" applyProtection="1">
      <alignment horizontal="left"/>
      <protection hidden="1"/>
    </xf>
    <xf numFmtId="1" fontId="30" fillId="0" borderId="136" xfId="0" quotePrefix="1" applyNumberFormat="1" applyFont="1" applyBorder="1" applyAlignment="1" applyProtection="1">
      <alignment horizontal="center" vertical="center"/>
      <protection hidden="1"/>
    </xf>
    <xf numFmtId="1" fontId="30" fillId="0" borderId="49" xfId="0" quotePrefix="1" applyNumberFormat="1" applyFont="1" applyBorder="1" applyAlignment="1" applyProtection="1">
      <alignment horizontal="center" vertical="center"/>
      <protection hidden="1"/>
    </xf>
    <xf numFmtId="1" fontId="30" fillId="0" borderId="94" xfId="0" quotePrefix="1" applyNumberFormat="1" applyFont="1" applyBorder="1" applyAlignment="1" applyProtection="1">
      <alignment horizontal="center" vertical="center"/>
      <protection hidden="1"/>
    </xf>
    <xf numFmtId="1" fontId="30" fillId="0" borderId="29" xfId="0" quotePrefix="1" applyNumberFormat="1" applyFont="1" applyBorder="1" applyAlignment="1" applyProtection="1">
      <alignment horizontal="center" vertical="center"/>
      <protection hidden="1"/>
    </xf>
    <xf numFmtId="1" fontId="30" fillId="0" borderId="136" xfId="0" applyNumberFormat="1" applyFont="1" applyBorder="1" applyAlignment="1" applyProtection="1">
      <alignment horizontal="center" vertical="center"/>
      <protection hidden="1"/>
    </xf>
    <xf numFmtId="1" fontId="30" fillId="0" borderId="94" xfId="0" applyNumberFormat="1" applyFont="1" applyBorder="1" applyAlignment="1" applyProtection="1">
      <alignment horizontal="center" vertical="center"/>
      <protection hidden="1"/>
    </xf>
    <xf numFmtId="1" fontId="6" fillId="0" borderId="205" xfId="0" applyNumberFormat="1" applyFont="1" applyBorder="1" applyAlignment="1">
      <alignment horizontal="center" vertical="center" wrapText="1"/>
    </xf>
    <xf numFmtId="1" fontId="6" fillId="0" borderId="83" xfId="0" applyNumberFormat="1" applyFont="1" applyBorder="1" applyAlignment="1">
      <alignment horizontal="center" vertical="center" wrapText="1"/>
    </xf>
    <xf numFmtId="1" fontId="6" fillId="0" borderId="193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59" xfId="0" quotePrefix="1" applyNumberFormat="1" applyFont="1" applyBorder="1" applyAlignment="1" applyProtection="1">
      <alignment horizontal="center" vertical="center"/>
      <protection hidden="1"/>
    </xf>
    <xf numFmtId="1" fontId="6" fillId="0" borderId="160" xfId="0" quotePrefix="1" applyNumberFormat="1" applyFont="1" applyBorder="1" applyAlignment="1" applyProtection="1">
      <alignment horizontal="center" vertical="center"/>
      <protection hidden="1"/>
    </xf>
    <xf numFmtId="1" fontId="30" fillId="0" borderId="188" xfId="0" applyNumberFormat="1" applyFont="1" applyBorder="1" applyAlignment="1">
      <alignment horizontal="left" vertical="center"/>
    </xf>
    <xf numFmtId="1" fontId="30" fillId="0" borderId="64" xfId="0" applyNumberFormat="1" applyFont="1" applyBorder="1" applyAlignment="1">
      <alignment horizontal="left" vertical="center"/>
    </xf>
    <xf numFmtId="1" fontId="6" fillId="0" borderId="161" xfId="0" applyNumberFormat="1" applyFont="1" applyBorder="1" applyAlignment="1" applyProtection="1">
      <alignment horizontal="left" vertical="center" wrapText="1"/>
      <protection hidden="1"/>
    </xf>
    <xf numFmtId="1" fontId="6" fillId="0" borderId="53" xfId="0" applyNumberFormat="1" applyFont="1" applyBorder="1" applyAlignment="1" applyProtection="1">
      <alignment horizontal="left" vertical="center" wrapText="1"/>
      <protection hidden="1"/>
    </xf>
    <xf numFmtId="1" fontId="30" fillId="0" borderId="30" xfId="0" applyNumberFormat="1" applyFont="1" applyBorder="1" applyAlignment="1" applyProtection="1">
      <alignment horizontal="center" vertical="center" wrapText="1"/>
      <protection hidden="1"/>
    </xf>
    <xf numFmtId="1" fontId="30" fillId="0" borderId="66" xfId="0" applyNumberFormat="1" applyFont="1" applyBorder="1" applyAlignment="1" applyProtection="1">
      <alignment horizontal="center" vertical="center" wrapText="1"/>
      <protection hidden="1"/>
    </xf>
    <xf numFmtId="1" fontId="30" fillId="0" borderId="197" xfId="0" applyNumberFormat="1" applyFont="1" applyBorder="1" applyAlignment="1">
      <alignment horizontal="center" vertical="center" wrapText="1"/>
    </xf>
    <xf numFmtId="1" fontId="30" fillId="0" borderId="85" xfId="0" applyNumberFormat="1" applyFont="1" applyBorder="1" applyAlignment="1">
      <alignment horizontal="center" vertical="center" wrapText="1"/>
    </xf>
    <xf numFmtId="1" fontId="6" fillId="0" borderId="136" xfId="0" applyNumberFormat="1" applyFont="1" applyBorder="1" applyAlignment="1" applyProtection="1">
      <alignment horizontal="center" vertical="center"/>
      <protection hidden="1"/>
    </xf>
    <xf numFmtId="1" fontId="6" fillId="0" borderId="94" xfId="0" applyNumberFormat="1" applyFont="1" applyBorder="1" applyAlignment="1" applyProtection="1">
      <alignment horizontal="center" vertical="center"/>
      <protection hidden="1"/>
    </xf>
    <xf numFmtId="1" fontId="6" fillId="0" borderId="46" xfId="0" applyNumberFormat="1" applyFont="1" applyBorder="1" applyAlignment="1">
      <alignment horizontal="center" vertical="center" wrapText="1"/>
    </xf>
    <xf numFmtId="1" fontId="6" fillId="0" borderId="85" xfId="0" applyNumberFormat="1" applyFont="1" applyBorder="1" applyAlignment="1">
      <alignment horizontal="center" vertical="center" wrapText="1"/>
    </xf>
    <xf numFmtId="1" fontId="6" fillId="0" borderId="188" xfId="0" applyNumberFormat="1" applyFont="1" applyBorder="1" applyAlignment="1" applyProtection="1">
      <alignment horizontal="center" vertical="center"/>
      <protection hidden="1"/>
    </xf>
    <xf numFmtId="1" fontId="6" fillId="0" borderId="93" xfId="0" applyNumberFormat="1" applyFont="1" applyBorder="1" applyAlignment="1" applyProtection="1">
      <alignment horizontal="center" vertical="center"/>
      <protection hidden="1"/>
    </xf>
    <xf numFmtId="1" fontId="6" fillId="0" borderId="63" xfId="0" applyNumberFormat="1" applyFont="1" applyBorder="1" applyAlignment="1" applyProtection="1">
      <alignment horizontal="center" vertical="center"/>
      <protection hidden="1"/>
    </xf>
    <xf numFmtId="1" fontId="6" fillId="0" borderId="136" xfId="0" applyNumberFormat="1" applyFont="1" applyBorder="1" applyAlignment="1" applyProtection="1">
      <alignment horizontal="center" vertical="center" wrapText="1"/>
      <protection hidden="1"/>
    </xf>
    <xf numFmtId="1" fontId="6" fillId="0" borderId="187" xfId="0" applyNumberFormat="1" applyFont="1" applyBorder="1" applyAlignment="1" applyProtection="1">
      <alignment horizontal="center" vertical="center" wrapText="1"/>
      <protection hidden="1"/>
    </xf>
    <xf numFmtId="1" fontId="6" fillId="0" borderId="94" xfId="0" applyNumberFormat="1" applyFont="1" applyBorder="1" applyAlignment="1" applyProtection="1">
      <alignment horizontal="center" vertical="center" wrapText="1"/>
      <protection hidden="1"/>
    </xf>
    <xf numFmtId="1" fontId="6" fillId="0" borderId="136" xfId="0" quotePrefix="1" applyNumberFormat="1" applyFont="1" applyBorder="1" applyAlignment="1" applyProtection="1">
      <alignment horizontal="center" vertical="center"/>
      <protection hidden="1"/>
    </xf>
    <xf numFmtId="1" fontId="6" fillId="0" borderId="49" xfId="0" quotePrefix="1" applyNumberFormat="1" applyFont="1" applyBorder="1" applyAlignment="1" applyProtection="1">
      <alignment horizontal="center" vertical="center"/>
      <protection hidden="1"/>
    </xf>
    <xf numFmtId="1" fontId="6" fillId="0" borderId="94" xfId="0" quotePrefix="1" applyNumberFormat="1" applyFont="1" applyBorder="1" applyAlignment="1" applyProtection="1">
      <alignment horizontal="center" vertical="center"/>
      <protection hidden="1"/>
    </xf>
    <xf numFmtId="1" fontId="6" fillId="0" borderId="29" xfId="0" quotePrefix="1" applyNumberFormat="1" applyFont="1" applyBorder="1" applyAlignment="1" applyProtection="1">
      <alignment horizontal="center" vertical="center"/>
      <protection hidden="1"/>
    </xf>
    <xf numFmtId="1" fontId="30" fillId="0" borderId="94" xfId="0" applyNumberFormat="1" applyFont="1" applyBorder="1" applyAlignment="1">
      <alignment horizontal="left" vertical="center"/>
    </xf>
    <xf numFmtId="1" fontId="30" fillId="0" borderId="29" xfId="0" applyNumberFormat="1" applyFont="1" applyBorder="1" applyAlignment="1">
      <alignment horizontal="left" vertical="center"/>
    </xf>
    <xf numFmtId="1" fontId="30" fillId="0" borderId="194" xfId="0" applyNumberFormat="1" applyFont="1" applyBorder="1" applyAlignment="1">
      <alignment horizontal="center" vertical="center" wrapText="1"/>
    </xf>
    <xf numFmtId="1" fontId="30" fillId="0" borderId="29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 applyProtection="1">
      <alignment horizontal="center" vertical="center" wrapText="1"/>
      <protection hidden="1"/>
    </xf>
    <xf numFmtId="1" fontId="14" fillId="0" borderId="65" xfId="0" applyNumberFormat="1" applyFont="1" applyBorder="1" applyAlignment="1" applyProtection="1">
      <alignment horizontal="left"/>
      <protection hidden="1"/>
    </xf>
    <xf numFmtId="1" fontId="14" fillId="0" borderId="0" xfId="0" applyNumberFormat="1" applyFont="1" applyAlignment="1" applyProtection="1">
      <alignment horizontal="left"/>
      <protection hidden="1"/>
    </xf>
    <xf numFmtId="1" fontId="14" fillId="0" borderId="162" xfId="0" applyNumberFormat="1" applyFont="1" applyBorder="1" applyAlignment="1" applyProtection="1">
      <alignment horizontal="left"/>
      <protection hidden="1"/>
    </xf>
    <xf numFmtId="1" fontId="14" fillId="0" borderId="93" xfId="0" applyNumberFormat="1" applyFont="1" applyBorder="1" applyAlignment="1" applyProtection="1">
      <alignment horizontal="left"/>
      <protection hidden="1"/>
    </xf>
    <xf numFmtId="1" fontId="14" fillId="0" borderId="6" xfId="0" applyNumberFormat="1" applyFont="1" applyBorder="1" applyAlignment="1" applyProtection="1">
      <alignment horizontal="left"/>
      <protection hidden="1"/>
    </xf>
    <xf numFmtId="1" fontId="14" fillId="0" borderId="22" xfId="0" applyNumberFormat="1" applyFont="1" applyBorder="1" applyAlignment="1" applyProtection="1">
      <alignment horizontal="left"/>
      <protection hidden="1"/>
    </xf>
    <xf numFmtId="1" fontId="6" fillId="0" borderId="49" xfId="0" applyNumberFormat="1" applyFont="1" applyBorder="1" applyAlignment="1" applyProtection="1">
      <alignment horizontal="center" vertical="center" wrapText="1"/>
      <protection hidden="1"/>
    </xf>
    <xf numFmtId="1" fontId="6" fillId="0" borderId="29" xfId="0" applyNumberFormat="1" applyFont="1" applyBorder="1" applyAlignment="1" applyProtection="1">
      <alignment horizontal="center" vertical="center" wrapText="1"/>
      <protection hidden="1"/>
    </xf>
    <xf numFmtId="1" fontId="6" fillId="0" borderId="193" xfId="0" applyNumberFormat="1" applyFont="1" applyBorder="1" applyAlignment="1" applyProtection="1">
      <alignment horizontal="center" vertical="center" wrapText="1"/>
      <protection hidden="1"/>
    </xf>
    <xf numFmtId="1" fontId="6" fillId="0" borderId="119" xfId="0" applyNumberFormat="1" applyFont="1" applyBorder="1" applyAlignment="1" applyProtection="1">
      <alignment horizontal="center" vertical="center" wrapText="1"/>
      <protection hidden="1"/>
    </xf>
    <xf numFmtId="1" fontId="6" fillId="0" borderId="93" xfId="0" applyNumberFormat="1" applyFont="1" applyBorder="1" applyAlignment="1" applyProtection="1">
      <alignment horizontal="left" vertical="center" wrapText="1"/>
      <protection hidden="1"/>
    </xf>
    <xf numFmtId="1" fontId="6" fillId="0" borderId="64" xfId="0" applyNumberFormat="1" applyFont="1" applyBorder="1" applyAlignment="1" applyProtection="1">
      <alignment horizontal="left" vertical="center" wrapText="1"/>
      <protection hidden="1"/>
    </xf>
    <xf numFmtId="1" fontId="6" fillId="0" borderId="4" xfId="0" applyNumberFormat="1" applyFont="1" applyBorder="1" applyAlignment="1" applyProtection="1">
      <alignment horizontal="left" vertical="center" wrapText="1"/>
      <protection hidden="1"/>
    </xf>
    <xf numFmtId="1" fontId="6" fillId="0" borderId="135" xfId="0" applyNumberFormat="1" applyFont="1" applyBorder="1" applyAlignment="1" applyProtection="1">
      <alignment horizontal="center" vertical="center"/>
      <protection hidden="1"/>
    </xf>
    <xf numFmtId="1" fontId="6" fillId="0" borderId="11" xfId="0" applyNumberFormat="1" applyFont="1" applyBorder="1" applyAlignment="1" applyProtection="1">
      <alignment horizontal="center" vertical="center"/>
      <protection hidden="1"/>
    </xf>
    <xf numFmtId="1" fontId="6" fillId="0" borderId="76" xfId="0" applyNumberFormat="1" applyFont="1" applyBorder="1" applyAlignment="1" applyProtection="1">
      <alignment horizontal="center" vertical="center" wrapText="1"/>
      <protection hidden="1"/>
    </xf>
    <xf numFmtId="1" fontId="6" fillId="0" borderId="10" xfId="0" applyNumberFormat="1" applyFont="1" applyBorder="1" applyAlignment="1" applyProtection="1">
      <alignment horizontal="center" vertical="center" wrapText="1"/>
      <protection hidden="1"/>
    </xf>
    <xf numFmtId="1" fontId="6" fillId="0" borderId="93" xfId="0" applyNumberFormat="1" applyFont="1" applyBorder="1" applyAlignment="1" applyProtection="1">
      <alignment horizontal="center" vertical="center" wrapText="1"/>
      <protection hidden="1"/>
    </xf>
    <xf numFmtId="1" fontId="6" fillId="0" borderId="77" xfId="0" applyNumberFormat="1" applyFont="1" applyBorder="1" applyAlignment="1" applyProtection="1">
      <alignment horizontal="left" vertical="center" wrapText="1"/>
      <protection hidden="1"/>
    </xf>
    <xf numFmtId="1" fontId="6" fillId="0" borderId="124" xfId="0" applyNumberFormat="1" applyFont="1" applyBorder="1" applyAlignment="1" applyProtection="1">
      <alignment horizontal="left" vertical="center" wrapText="1"/>
      <protection hidden="1"/>
    </xf>
    <xf numFmtId="0" fontId="6" fillId="0" borderId="186" xfId="0" applyFont="1" applyBorder="1" applyAlignment="1">
      <alignment horizontal="center" wrapText="1"/>
    </xf>
    <xf numFmtId="0" fontId="6" fillId="0" borderId="13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30" fillId="0" borderId="10" xfId="0" applyNumberFormat="1" applyFont="1" applyBorder="1" applyAlignment="1" applyProtection="1">
      <alignment horizontal="center" vertical="center"/>
      <protection hidden="1"/>
    </xf>
    <xf numFmtId="1" fontId="30" fillId="0" borderId="93" xfId="0" applyNumberFormat="1" applyFont="1" applyBorder="1" applyAlignment="1" applyProtection="1">
      <alignment horizontal="center" vertical="center"/>
      <protection hidden="1"/>
    </xf>
    <xf numFmtId="1" fontId="30" fillId="0" borderId="63" xfId="0" applyNumberFormat="1" applyFont="1" applyBorder="1" applyAlignment="1" applyProtection="1">
      <alignment horizontal="center" vertical="center"/>
      <protection hidden="1"/>
    </xf>
    <xf numFmtId="1" fontId="6" fillId="0" borderId="164" xfId="0" applyNumberFormat="1" applyFont="1" applyBorder="1" applyAlignment="1">
      <alignment horizontal="center" vertical="center" wrapText="1"/>
    </xf>
    <xf numFmtId="1" fontId="6" fillId="0" borderId="166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9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 wrapText="1"/>
    </xf>
    <xf numFmtId="1" fontId="6" fillId="0" borderId="188" xfId="125" applyNumberFormat="1" applyFont="1" applyBorder="1" applyAlignment="1">
      <alignment horizontal="center" vertical="center" wrapText="1"/>
    </xf>
    <xf numFmtId="1" fontId="6" fillId="0" borderId="64" xfId="125" applyNumberFormat="1" applyFont="1" applyBorder="1" applyAlignment="1">
      <alignment horizontal="center" vertical="center" wrapText="1"/>
    </xf>
    <xf numFmtId="1" fontId="6" fillId="0" borderId="49" xfId="125" applyNumberFormat="1" applyFont="1" applyBorder="1" applyAlignment="1">
      <alignment horizontal="center" vertical="center" wrapText="1"/>
    </xf>
    <xf numFmtId="1" fontId="6" fillId="0" borderId="97" xfId="125" applyNumberFormat="1" applyFont="1" applyBorder="1" applyAlignment="1">
      <alignment horizontal="center" vertical="center" wrapText="1"/>
    </xf>
    <xf numFmtId="1" fontId="6" fillId="0" borderId="29" xfId="125" applyNumberFormat="1" applyFont="1" applyBorder="1" applyAlignment="1">
      <alignment horizontal="center" vertical="center" wrapText="1"/>
    </xf>
    <xf numFmtId="1" fontId="10" fillId="0" borderId="188" xfId="125" applyNumberFormat="1" applyFont="1" applyBorder="1" applyAlignment="1">
      <alignment horizontal="center" vertical="center" wrapText="1"/>
    </xf>
    <xf numFmtId="1" fontId="10" fillId="0" borderId="64" xfId="125" applyNumberFormat="1" applyFont="1" applyBorder="1" applyAlignment="1">
      <alignment horizontal="center" vertical="center" wrapText="1"/>
    </xf>
    <xf numFmtId="1" fontId="6" fillId="0" borderId="93" xfId="125" applyNumberFormat="1" applyFont="1" applyBorder="1" applyAlignment="1">
      <alignment horizontal="center" vertical="center" wrapText="1"/>
    </xf>
    <xf numFmtId="1" fontId="6" fillId="0" borderId="73" xfId="125" applyNumberFormat="1" applyFont="1" applyBorder="1" applyAlignment="1">
      <alignment horizontal="left" vertical="center" wrapText="1"/>
    </xf>
    <xf numFmtId="1" fontId="6" fillId="0" borderId="39" xfId="125" applyNumberFormat="1" applyFont="1" applyBorder="1" applyAlignment="1">
      <alignment horizontal="left" vertical="center" wrapText="1"/>
    </xf>
    <xf numFmtId="1" fontId="6" fillId="0" borderId="135" xfId="125" applyNumberFormat="1" applyFont="1" applyBorder="1" applyAlignment="1">
      <alignment horizontal="center" vertical="center" wrapText="1"/>
    </xf>
    <xf numFmtId="1" fontId="6" fillId="0" borderId="76" xfId="125" applyNumberFormat="1" applyFont="1" applyBorder="1" applyAlignment="1">
      <alignment horizontal="center" vertical="center" wrapText="1"/>
    </xf>
    <xf numFmtId="1" fontId="6" fillId="0" borderId="11" xfId="125" applyNumberFormat="1" applyFont="1" applyBorder="1" applyAlignment="1">
      <alignment horizontal="center" vertical="center" wrapText="1"/>
    </xf>
    <xf numFmtId="1" fontId="6" fillId="22" borderId="188" xfId="125" applyNumberFormat="1" applyFont="1" applyFill="1" applyBorder="1" applyAlignment="1">
      <alignment horizontal="center" vertical="center" wrapText="1"/>
    </xf>
    <xf numFmtId="1" fontId="6" fillId="22" borderId="64" xfId="125" applyNumberFormat="1" applyFont="1" applyFill="1" applyBorder="1" applyAlignment="1">
      <alignment horizontal="center" vertical="center" wrapText="1"/>
    </xf>
    <xf numFmtId="1" fontId="6" fillId="0" borderId="136" xfId="125" applyNumberFormat="1" applyFont="1" applyBorder="1" applyAlignment="1">
      <alignment horizontal="center" vertical="center" wrapText="1"/>
    </xf>
    <xf numFmtId="1" fontId="6" fillId="0" borderId="49" xfId="125" applyNumberFormat="1" applyFont="1" applyBorder="1" applyAlignment="1">
      <alignment horizontal="center" vertical="center"/>
    </xf>
    <xf numFmtId="1" fontId="6" fillId="0" borderId="187" xfId="125" applyNumberFormat="1" applyFont="1" applyBorder="1" applyAlignment="1">
      <alignment horizontal="center" vertical="center"/>
    </xf>
    <xf numFmtId="1" fontId="6" fillId="0" borderId="97" xfId="125" applyNumberFormat="1" applyFont="1" applyBorder="1" applyAlignment="1">
      <alignment horizontal="center" vertical="center"/>
    </xf>
    <xf numFmtId="1" fontId="6" fillId="0" borderId="94" xfId="125" applyNumberFormat="1" applyFont="1" applyBorder="1" applyAlignment="1">
      <alignment horizontal="center" vertical="center"/>
    </xf>
    <xf numFmtId="1" fontId="6" fillId="0" borderId="29" xfId="125" applyNumberFormat="1" applyFont="1" applyBorder="1" applyAlignment="1">
      <alignment horizontal="center" vertical="center"/>
    </xf>
    <xf numFmtId="1" fontId="6" fillId="0" borderId="208" xfId="125" applyNumberFormat="1" applyFont="1" applyBorder="1" applyAlignment="1">
      <alignment horizontal="center" vertical="center" wrapText="1"/>
    </xf>
    <xf numFmtId="1" fontId="6" fillId="0" borderId="209" xfId="125" applyNumberFormat="1" applyFont="1" applyBorder="1" applyAlignment="1">
      <alignment horizontal="center" vertical="center" wrapText="1"/>
    </xf>
    <xf numFmtId="1" fontId="6" fillId="0" borderId="72" xfId="125" applyNumberFormat="1" applyFont="1" applyBorder="1" applyAlignment="1">
      <alignment horizontal="left" vertical="center"/>
    </xf>
    <xf numFmtId="1" fontId="6" fillId="0" borderId="27" xfId="125" applyNumberFormat="1" applyFont="1" applyBorder="1" applyAlignment="1">
      <alignment horizontal="left" vertical="center"/>
    </xf>
    <xf numFmtId="1" fontId="6" fillId="0" borderId="74" xfId="125" applyNumberFormat="1" applyFont="1" applyBorder="1" applyAlignment="1">
      <alignment horizontal="left" vertical="center"/>
    </xf>
    <xf numFmtId="1" fontId="6" fillId="0" borderId="34" xfId="125" applyNumberFormat="1" applyFont="1" applyBorder="1" applyAlignment="1">
      <alignment horizontal="left" vertical="center"/>
    </xf>
    <xf numFmtId="1" fontId="6" fillId="0" borderId="77" xfId="125" applyNumberFormat="1" applyFont="1" applyBorder="1" applyAlignment="1">
      <alignment horizontal="left" vertical="center"/>
    </xf>
    <xf numFmtId="1" fontId="6" fillId="0" borderId="124" xfId="125" applyNumberFormat="1" applyFont="1" applyBorder="1" applyAlignment="1">
      <alignment horizontal="left" vertical="center"/>
    </xf>
    <xf numFmtId="1" fontId="6" fillId="0" borderId="136" xfId="126" applyNumberFormat="1" applyFont="1" applyBorder="1" applyAlignment="1">
      <alignment horizontal="center" vertical="center"/>
    </xf>
    <xf numFmtId="1" fontId="6" fillId="0" borderId="4" xfId="126" applyNumberFormat="1" applyFont="1" applyBorder="1" applyAlignment="1">
      <alignment horizontal="center" vertical="center"/>
    </xf>
    <xf numFmtId="1" fontId="6" fillId="0" borderId="49" xfId="126" applyNumberFormat="1" applyFont="1" applyBorder="1" applyAlignment="1">
      <alignment horizontal="center" vertical="center"/>
    </xf>
    <xf numFmtId="1" fontId="6" fillId="0" borderId="94" xfId="126" applyNumberFormat="1" applyFont="1" applyBorder="1" applyAlignment="1">
      <alignment horizontal="center" vertical="center"/>
    </xf>
    <xf numFmtId="1" fontId="6" fillId="0" borderId="6" xfId="126" applyNumberFormat="1" applyFont="1" applyBorder="1" applyAlignment="1">
      <alignment horizontal="center" vertical="center"/>
    </xf>
    <xf numFmtId="1" fontId="6" fillId="0" borderId="29" xfId="126" applyNumberFormat="1" applyFont="1" applyBorder="1" applyAlignment="1">
      <alignment horizontal="center" vertical="center"/>
    </xf>
    <xf numFmtId="1" fontId="6" fillId="0" borderId="188" xfId="125" quotePrefix="1" applyNumberFormat="1" applyFont="1" applyBorder="1" applyAlignment="1">
      <alignment horizontal="center" vertical="center" wrapText="1"/>
    </xf>
    <xf numFmtId="1" fontId="6" fillId="0" borderId="93" xfId="125" quotePrefix="1" applyNumberFormat="1" applyFont="1" applyBorder="1" applyAlignment="1">
      <alignment horizontal="center" vertical="center" wrapText="1"/>
    </xf>
    <xf numFmtId="1" fontId="6" fillId="0" borderId="77" xfId="125" applyNumberFormat="1" applyFont="1" applyBorder="1" applyAlignment="1">
      <alignment horizontal="left" vertical="center" wrapText="1"/>
    </xf>
    <xf numFmtId="1" fontId="6" fillId="0" borderId="124" xfId="125" applyNumberFormat="1" applyFont="1" applyBorder="1" applyAlignment="1">
      <alignment horizontal="left" vertical="center" wrapText="1"/>
    </xf>
    <xf numFmtId="1" fontId="6" fillId="0" borderId="201" xfId="126" applyNumberFormat="1" applyFont="1" applyBorder="1" applyAlignment="1">
      <alignment horizontal="center" vertical="center"/>
    </xf>
    <xf numFmtId="1" fontId="6" fillId="0" borderId="199" xfId="0" applyNumberFormat="1" applyFont="1" applyBorder="1" applyAlignment="1">
      <alignment horizontal="center" vertical="center" wrapText="1"/>
    </xf>
    <xf numFmtId="1" fontId="6" fillId="0" borderId="136" xfId="0" applyNumberFormat="1" applyFont="1" applyBorder="1" applyAlignment="1">
      <alignment horizontal="center" vertical="center" wrapText="1"/>
    </xf>
    <xf numFmtId="1" fontId="6" fillId="0" borderId="94" xfId="0" applyNumberFormat="1" applyFont="1" applyBorder="1" applyAlignment="1">
      <alignment horizontal="center" vertical="center" wrapText="1"/>
    </xf>
    <xf numFmtId="1" fontId="6" fillId="0" borderId="191" xfId="125" applyNumberFormat="1" applyFont="1" applyBorder="1" applyAlignment="1">
      <alignment horizontal="center" vertical="center" wrapText="1"/>
    </xf>
    <xf numFmtId="1" fontId="6" fillId="0" borderId="195" xfId="125" applyNumberFormat="1" applyFont="1" applyBorder="1" applyAlignment="1">
      <alignment horizontal="center" vertical="center" wrapText="1"/>
    </xf>
    <xf numFmtId="1" fontId="6" fillId="0" borderId="208" xfId="125" quotePrefix="1" applyNumberFormat="1" applyFont="1" applyBorder="1" applyAlignment="1">
      <alignment horizontal="center" vertical="center" wrapText="1"/>
    </xf>
    <xf numFmtId="1" fontId="6" fillId="0" borderId="191" xfId="125" quotePrefix="1" applyNumberFormat="1" applyFont="1" applyBorder="1" applyAlignment="1">
      <alignment horizontal="center" vertical="center" wrapText="1"/>
    </xf>
    <xf numFmtId="1" fontId="6" fillId="0" borderId="195" xfId="125" quotePrefix="1" applyNumberFormat="1" applyFont="1" applyBorder="1" applyAlignment="1">
      <alignment horizontal="center" vertical="center" wrapText="1"/>
    </xf>
    <xf numFmtId="1" fontId="6" fillId="0" borderId="73" xfId="125" applyNumberFormat="1" applyFont="1" applyBorder="1" applyAlignment="1">
      <alignment horizontal="left" vertical="center"/>
    </xf>
    <xf numFmtId="1" fontId="6" fillId="0" borderId="39" xfId="125" applyNumberFormat="1" applyFont="1" applyBorder="1" applyAlignment="1">
      <alignment horizontal="left" vertical="center"/>
    </xf>
    <xf numFmtId="1" fontId="6" fillId="0" borderId="135" xfId="125" applyNumberFormat="1" applyFont="1" applyBorder="1" applyAlignment="1">
      <alignment horizontal="center" vertical="center"/>
    </xf>
    <xf numFmtId="1" fontId="6" fillId="0" borderId="11" xfId="125" applyNumberFormat="1" applyFont="1" applyBorder="1" applyAlignment="1">
      <alignment horizontal="center" vertical="center"/>
    </xf>
    <xf numFmtId="1" fontId="6" fillId="22" borderId="72" xfId="0" applyNumberFormat="1" applyFont="1" applyFill="1" applyBorder="1" applyAlignment="1">
      <alignment horizontal="left"/>
    </xf>
    <xf numFmtId="1" fontId="6" fillId="22" borderId="27" xfId="0" applyNumberFormat="1" applyFont="1" applyFill="1" applyBorder="1" applyAlignment="1">
      <alignment horizontal="left"/>
    </xf>
    <xf numFmtId="1" fontId="6" fillId="22" borderId="73" xfId="110" applyNumberFormat="1" applyFont="1" applyFill="1" applyBorder="1" applyAlignment="1">
      <alignment horizontal="left"/>
    </xf>
    <xf numFmtId="1" fontId="6" fillId="22" borderId="39" xfId="110" applyNumberFormat="1" applyFont="1" applyFill="1" applyBorder="1" applyAlignment="1">
      <alignment horizontal="left"/>
    </xf>
    <xf numFmtId="1" fontId="6" fillId="22" borderId="135" xfId="125" applyNumberFormat="1" applyFont="1" applyFill="1" applyBorder="1" applyAlignment="1">
      <alignment horizontal="center" vertical="center"/>
    </xf>
    <xf numFmtId="1" fontId="6" fillId="22" borderId="11" xfId="125" applyNumberFormat="1" applyFont="1" applyFill="1" applyBorder="1" applyAlignment="1">
      <alignment horizontal="center" vertical="center"/>
    </xf>
    <xf numFmtId="1" fontId="6" fillId="22" borderId="136" xfId="125" applyNumberFormat="1" applyFont="1" applyFill="1" applyBorder="1" applyAlignment="1">
      <alignment horizontal="center" vertical="center" wrapText="1"/>
    </xf>
    <xf numFmtId="1" fontId="6" fillId="22" borderId="49" xfId="125" applyNumberFormat="1" applyFont="1" applyFill="1" applyBorder="1" applyAlignment="1">
      <alignment horizontal="center" vertical="center" wrapText="1"/>
    </xf>
    <xf numFmtId="1" fontId="6" fillId="22" borderId="94" xfId="125" applyNumberFormat="1" applyFont="1" applyFill="1" applyBorder="1" applyAlignment="1">
      <alignment horizontal="center" vertical="center" wrapText="1"/>
    </xf>
    <xf numFmtId="1" fontId="6" fillId="22" borderId="29" xfId="125" applyNumberFormat="1" applyFont="1" applyFill="1" applyBorder="1" applyAlignment="1">
      <alignment horizontal="center" vertical="center" wrapText="1"/>
    </xf>
    <xf numFmtId="1" fontId="6" fillId="0" borderId="77" xfId="0" applyNumberFormat="1" applyFont="1" applyBorder="1" applyAlignment="1">
      <alignment horizontal="left"/>
    </xf>
    <xf numFmtId="1" fontId="6" fillId="0" borderId="124" xfId="0" applyNumberFormat="1" applyFont="1" applyBorder="1" applyAlignment="1">
      <alignment horizontal="left"/>
    </xf>
    <xf numFmtId="1" fontId="6" fillId="0" borderId="201" xfId="125" applyNumberFormat="1" applyFont="1" applyBorder="1" applyAlignment="1">
      <alignment horizontal="center" vertical="center" wrapText="1"/>
    </xf>
    <xf numFmtId="1" fontId="6" fillId="0" borderId="4" xfId="125" applyNumberFormat="1" applyFont="1" applyBorder="1" applyAlignment="1">
      <alignment horizontal="center" vertical="center" wrapText="1"/>
    </xf>
    <xf numFmtId="1" fontId="6" fillId="0" borderId="194" xfId="125" applyNumberFormat="1" applyFont="1" applyBorder="1" applyAlignment="1">
      <alignment horizontal="center" vertical="center" wrapText="1"/>
    </xf>
    <xf numFmtId="1" fontId="6" fillId="0" borderId="94" xfId="125" applyNumberFormat="1" applyFont="1" applyBorder="1" applyAlignment="1">
      <alignment horizontal="center" vertical="center" wrapText="1"/>
    </xf>
    <xf numFmtId="1" fontId="6" fillId="0" borderId="6" xfId="125" applyNumberFormat="1" applyFont="1" applyBorder="1" applyAlignment="1">
      <alignment horizontal="center" vertical="center" wrapText="1"/>
    </xf>
    <xf numFmtId="1" fontId="6" fillId="0" borderId="10" xfId="125" applyNumberFormat="1" applyFont="1" applyBorder="1" applyAlignment="1">
      <alignment horizontal="center" vertical="center"/>
    </xf>
    <xf numFmtId="1" fontId="6" fillId="0" borderId="93" xfId="125" applyNumberFormat="1" applyFont="1" applyBorder="1" applyAlignment="1">
      <alignment horizontal="center" vertical="center"/>
    </xf>
    <xf numFmtId="1" fontId="6" fillId="0" borderId="64" xfId="125" applyNumberFormat="1" applyFont="1" applyBorder="1" applyAlignment="1">
      <alignment horizontal="center" vertical="center"/>
    </xf>
    <xf numFmtId="1" fontId="6" fillId="0" borderId="72" xfId="0" applyNumberFormat="1" applyFont="1" applyBorder="1" applyAlignment="1">
      <alignment horizontal="left"/>
    </xf>
    <xf numFmtId="1" fontId="6" fillId="0" borderId="27" xfId="0" applyNumberFormat="1" applyFont="1" applyBorder="1" applyAlignment="1">
      <alignment horizontal="left"/>
    </xf>
    <xf numFmtId="1" fontId="6" fillId="22" borderId="10" xfId="0" applyNumberFormat="1" applyFont="1" applyFill="1" applyBorder="1"/>
    <xf numFmtId="1" fontId="6" fillId="22" borderId="64" xfId="0" applyNumberFormat="1" applyFont="1" applyFill="1" applyBorder="1"/>
    <xf numFmtId="1" fontId="6" fillId="0" borderId="10" xfId="0" applyNumberFormat="1" applyFont="1" applyBorder="1"/>
    <xf numFmtId="1" fontId="6" fillId="0" borderId="64" xfId="0" applyNumberFormat="1" applyFont="1" applyBorder="1"/>
    <xf numFmtId="1" fontId="6" fillId="0" borderId="187" xfId="125" applyNumberFormat="1" applyFont="1" applyBorder="1" applyAlignment="1">
      <alignment horizontal="center" vertical="center" wrapText="1"/>
    </xf>
    <xf numFmtId="1" fontId="6" fillId="22" borderId="73" xfId="0" applyNumberFormat="1" applyFont="1" applyFill="1" applyBorder="1" applyAlignment="1">
      <alignment horizontal="left"/>
    </xf>
    <xf numFmtId="1" fontId="6" fillId="22" borderId="39" xfId="0" applyNumberFormat="1" applyFont="1" applyFill="1" applyBorder="1" applyAlignment="1">
      <alignment horizontal="left"/>
    </xf>
    <xf numFmtId="1" fontId="6" fillId="0" borderId="67" xfId="125" applyNumberFormat="1" applyFont="1" applyBorder="1" applyAlignment="1">
      <alignment horizontal="center" vertical="center" wrapText="1"/>
    </xf>
    <xf numFmtId="1" fontId="6" fillId="0" borderId="86" xfId="125" applyNumberFormat="1" applyFont="1" applyBorder="1" applyAlignment="1">
      <alignment horizontal="center" vertical="center" wrapText="1"/>
    </xf>
    <xf numFmtId="1" fontId="6" fillId="0" borderId="68" xfId="125" applyNumberFormat="1" applyFont="1" applyBorder="1" applyAlignment="1">
      <alignment horizontal="center" vertical="center" wrapText="1"/>
    </xf>
    <xf numFmtId="1" fontId="6" fillId="0" borderId="69" xfId="125" applyNumberFormat="1" applyFont="1" applyBorder="1" applyAlignment="1">
      <alignment horizontal="center" vertical="center" wrapText="1"/>
    </xf>
    <xf numFmtId="1" fontId="6" fillId="0" borderId="106" xfId="125" applyNumberFormat="1" applyFont="1" applyBorder="1" applyAlignment="1">
      <alignment horizontal="center" vertical="center" wrapText="1"/>
    </xf>
    <xf numFmtId="1" fontId="6" fillId="0" borderId="105" xfId="125" applyNumberFormat="1" applyFont="1" applyBorder="1" applyAlignment="1">
      <alignment horizontal="center" vertical="center" wrapText="1"/>
    </xf>
    <xf numFmtId="1" fontId="6" fillId="0" borderId="67" xfId="126" applyNumberFormat="1" applyFont="1" applyBorder="1" applyAlignment="1">
      <alignment horizontal="center" vertical="center"/>
    </xf>
    <xf numFmtId="1" fontId="6" fillId="0" borderId="25" xfId="126" applyNumberFormat="1" applyFont="1" applyBorder="1" applyAlignment="1">
      <alignment horizontal="center" vertical="center"/>
    </xf>
    <xf numFmtId="1" fontId="6" fillId="0" borderId="86" xfId="126" applyNumberFormat="1" applyFont="1" applyBorder="1" applyAlignment="1">
      <alignment horizontal="center" vertical="center"/>
    </xf>
    <xf numFmtId="1" fontId="6" fillId="0" borderId="106" xfId="126" applyNumberFormat="1" applyFont="1" applyBorder="1" applyAlignment="1">
      <alignment horizontal="center" vertical="center"/>
    </xf>
    <xf numFmtId="1" fontId="6" fillId="0" borderId="123" xfId="126" applyNumberFormat="1" applyFont="1" applyBorder="1" applyAlignment="1">
      <alignment horizontal="center" vertical="center"/>
    </xf>
    <xf numFmtId="1" fontId="6" fillId="0" borderId="105" xfId="126" applyNumberFormat="1" applyFont="1" applyBorder="1" applyAlignment="1">
      <alignment horizontal="center" vertical="center"/>
    </xf>
    <xf numFmtId="1" fontId="6" fillId="0" borderId="7" xfId="125" applyNumberFormat="1" applyFont="1" applyBorder="1" applyAlignment="1">
      <alignment horizontal="center" vertical="center" wrapText="1"/>
    </xf>
    <xf numFmtId="1" fontId="6" fillId="0" borderId="219" xfId="125" applyNumberFormat="1" applyFont="1" applyBorder="1" applyAlignment="1">
      <alignment horizontal="center" vertical="center" wrapText="1"/>
    </xf>
    <xf numFmtId="1" fontId="6" fillId="0" borderId="206" xfId="125" applyNumberFormat="1" applyFont="1" applyBorder="1" applyAlignment="1">
      <alignment horizontal="center" vertical="center" wrapText="1"/>
    </xf>
    <xf numFmtId="1" fontId="6" fillId="0" borderId="141" xfId="0" applyNumberFormat="1" applyFont="1" applyBorder="1" applyAlignment="1">
      <alignment horizontal="center" vertical="center" wrapText="1"/>
    </xf>
    <xf numFmtId="1" fontId="6" fillId="0" borderId="100" xfId="125" applyNumberFormat="1" applyFont="1" applyBorder="1" applyAlignment="1">
      <alignment horizontal="center" vertical="center" wrapText="1"/>
    </xf>
    <xf numFmtId="1" fontId="6" fillId="0" borderId="127" xfId="0" applyNumberFormat="1" applyFont="1" applyBorder="1" applyAlignment="1">
      <alignment horizontal="center" vertical="center" wrapText="1"/>
    </xf>
    <xf numFmtId="1" fontId="6" fillId="0" borderId="205" xfId="125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left" vertical="top" wrapText="1"/>
    </xf>
    <xf numFmtId="1" fontId="6" fillId="0" borderId="210" xfId="125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 applyProtection="1">
      <alignment horizontal="center" vertical="center" wrapText="1"/>
      <protection hidden="1"/>
    </xf>
    <xf numFmtId="1" fontId="6" fillId="0" borderId="35" xfId="0" applyNumberFormat="1" applyFont="1" applyBorder="1" applyAlignment="1" applyProtection="1">
      <alignment horizontal="center" vertical="center" wrapText="1"/>
      <protection hidden="1"/>
    </xf>
    <xf numFmtId="1" fontId="6" fillId="0" borderId="45" xfId="0" applyNumberFormat="1" applyFont="1" applyBorder="1" applyAlignment="1" applyProtection="1">
      <alignment horizontal="center" vertical="center" wrapText="1"/>
      <protection hidden="1"/>
    </xf>
    <xf numFmtId="1" fontId="6" fillId="0" borderId="66" xfId="0" applyNumberFormat="1" applyFont="1" applyBorder="1" applyAlignment="1" applyProtection="1">
      <alignment horizontal="center" vertical="center" wrapText="1"/>
      <protection hidden="1"/>
    </xf>
    <xf numFmtId="1" fontId="6" fillId="0" borderId="170" xfId="125" applyNumberFormat="1" applyFont="1" applyBorder="1" applyAlignment="1">
      <alignment horizontal="center" vertical="center" wrapText="1"/>
    </xf>
    <xf numFmtId="1" fontId="6" fillId="0" borderId="146" xfId="125" applyNumberFormat="1" applyFont="1" applyBorder="1" applyAlignment="1">
      <alignment horizontal="center" vertical="center" wrapText="1"/>
    </xf>
    <xf numFmtId="1" fontId="6" fillId="0" borderId="10" xfId="125" applyNumberFormat="1" applyFont="1" applyBorder="1" applyAlignment="1">
      <alignment horizontal="center" vertical="center" wrapText="1"/>
    </xf>
    <xf numFmtId="1" fontId="6" fillId="22" borderId="169" xfId="0" applyNumberFormat="1" applyFont="1" applyFill="1" applyBorder="1" applyAlignment="1">
      <alignment horizontal="center" vertical="center" wrapText="1"/>
    </xf>
    <xf numFmtId="1" fontId="6" fillId="22" borderId="167" xfId="0" applyNumberFormat="1" applyFont="1" applyFill="1" applyBorder="1" applyAlignment="1">
      <alignment horizontal="center" vertical="center" wrapText="1"/>
    </xf>
    <xf numFmtId="1" fontId="6" fillId="22" borderId="168" xfId="0" applyNumberFormat="1" applyFont="1" applyFill="1" applyBorder="1" applyAlignment="1">
      <alignment horizontal="center" vertical="center" wrapText="1"/>
    </xf>
    <xf numFmtId="1" fontId="6" fillId="0" borderId="169" xfId="0" applyNumberFormat="1" applyFont="1" applyBorder="1" applyAlignment="1">
      <alignment horizontal="center" vertical="center" wrapText="1"/>
    </xf>
    <xf numFmtId="1" fontId="6" fillId="0" borderId="167" xfId="0" applyNumberFormat="1" applyFont="1" applyBorder="1" applyAlignment="1">
      <alignment horizontal="center" vertical="center" wrapText="1"/>
    </xf>
    <xf numFmtId="1" fontId="6" fillId="0" borderId="168" xfId="0" applyNumberFormat="1" applyFont="1" applyBorder="1" applyAlignment="1">
      <alignment horizontal="center" vertical="center" wrapText="1"/>
    </xf>
    <xf numFmtId="1" fontId="6" fillId="0" borderId="19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9" xfId="125" applyNumberFormat="1" applyFont="1" applyBorder="1" applyAlignment="1">
      <alignment horizontal="center" vertical="center"/>
    </xf>
    <xf numFmtId="1" fontId="6" fillId="0" borderId="62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92" xfId="125" quotePrefix="1" applyNumberFormat="1" applyFont="1" applyBorder="1" applyAlignment="1">
      <alignment horizontal="center" vertical="center" wrapText="1"/>
    </xf>
    <xf numFmtId="1" fontId="10" fillId="0" borderId="10" xfId="125" applyNumberFormat="1" applyFont="1" applyBorder="1" applyAlignment="1">
      <alignment horizontal="center" vertical="center" wrapText="1"/>
    </xf>
    <xf numFmtId="1" fontId="6" fillId="0" borderId="0" xfId="126" applyNumberFormat="1" applyFont="1" applyAlignment="1">
      <alignment horizontal="center" vertical="center"/>
    </xf>
    <xf numFmtId="1" fontId="6" fillId="0" borderId="97" xfId="126" applyNumberFormat="1" applyFont="1" applyBorder="1" applyAlignment="1">
      <alignment horizontal="center" vertical="center"/>
    </xf>
    <xf numFmtId="1" fontId="14" fillId="17" borderId="6" xfId="125" quotePrefix="1" applyNumberFormat="1" applyFont="1" applyFill="1" applyBorder="1" applyAlignment="1">
      <alignment horizontal="left"/>
    </xf>
    <xf numFmtId="1" fontId="14" fillId="17" borderId="0" xfId="125" quotePrefix="1" applyNumberFormat="1" applyFont="1" applyFill="1" applyAlignment="1">
      <alignment horizontal="left"/>
    </xf>
    <xf numFmtId="1" fontId="6" fillId="0" borderId="169" xfId="125" applyNumberFormat="1" applyFont="1" applyBorder="1" applyAlignment="1">
      <alignment horizontal="center" vertical="center" wrapText="1"/>
    </xf>
    <xf numFmtId="1" fontId="6" fillId="0" borderId="167" xfId="125" applyNumberFormat="1" applyFont="1" applyBorder="1" applyAlignment="1">
      <alignment horizontal="center" vertical="center" wrapText="1"/>
    </xf>
    <xf numFmtId="1" fontId="6" fillId="0" borderId="168" xfId="125" applyNumberFormat="1" applyFont="1" applyBorder="1" applyAlignment="1">
      <alignment horizontal="center" vertical="center" wrapText="1"/>
    </xf>
    <xf numFmtId="1" fontId="10" fillId="0" borderId="171" xfId="125" applyNumberFormat="1" applyFont="1" applyBorder="1" applyAlignment="1">
      <alignment horizontal="center" vertical="center" wrapText="1"/>
    </xf>
    <xf numFmtId="1" fontId="10" fillId="0" borderId="29" xfId="125" applyNumberFormat="1" applyFont="1" applyBorder="1" applyAlignment="1">
      <alignment horizontal="center" vertical="center" wrapText="1"/>
    </xf>
    <xf numFmtId="1" fontId="14" fillId="17" borderId="0" xfId="125" applyNumberFormat="1" applyFont="1" applyFill="1" applyAlignment="1">
      <alignment horizontal="center" vertical="center" wrapText="1"/>
    </xf>
    <xf numFmtId="1" fontId="6" fillId="0" borderId="188" xfId="125" applyNumberFormat="1" applyFont="1" applyBorder="1" applyAlignment="1">
      <alignment horizontal="left" vertical="center" wrapText="1"/>
    </xf>
    <xf numFmtId="1" fontId="6" fillId="0" borderId="64" xfId="125" applyNumberFormat="1" applyFont="1" applyBorder="1" applyAlignment="1">
      <alignment horizontal="left" vertical="center" wrapText="1"/>
    </xf>
    <xf numFmtId="1" fontId="6" fillId="0" borderId="10" xfId="125" quotePrefix="1" applyNumberFormat="1" applyFont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" fontId="6" fillId="0" borderId="86" xfId="0" applyNumberFormat="1" applyFont="1" applyBorder="1" applyAlignment="1">
      <alignment horizontal="center" vertical="center" wrapText="1"/>
    </xf>
    <xf numFmtId="1" fontId="6" fillId="0" borderId="70" xfId="0" applyNumberFormat="1" applyFont="1" applyBorder="1" applyAlignment="1">
      <alignment horizontal="center" vertical="center" wrapText="1"/>
    </xf>
    <xf numFmtId="1" fontId="6" fillId="0" borderId="90" xfId="0" applyNumberFormat="1" applyFont="1" applyBorder="1" applyAlignment="1">
      <alignment horizontal="center" vertical="center" wrapText="1"/>
    </xf>
    <xf numFmtId="1" fontId="6" fillId="0" borderId="128" xfId="125" applyNumberFormat="1" applyFont="1" applyBorder="1" applyAlignment="1">
      <alignment horizontal="center" vertical="center" wrapText="1"/>
    </xf>
    <xf numFmtId="1" fontId="6" fillId="0" borderId="145" xfId="125" applyNumberFormat="1" applyFont="1" applyBorder="1" applyAlignment="1">
      <alignment horizontal="center" vertical="center" wrapText="1"/>
    </xf>
    <xf numFmtId="1" fontId="6" fillId="0" borderId="7" xfId="125" quotePrefix="1" applyNumberFormat="1" applyFont="1" applyBorder="1" applyAlignment="1">
      <alignment horizontal="center" vertical="center" wrapText="1"/>
    </xf>
    <xf numFmtId="1" fontId="6" fillId="0" borderId="218" xfId="125" quotePrefix="1" applyNumberFormat="1" applyFont="1" applyBorder="1" applyAlignment="1">
      <alignment horizontal="center" vertical="center" wrapText="1"/>
    </xf>
    <xf numFmtId="1" fontId="6" fillId="0" borderId="80" xfId="125" quotePrefix="1" applyNumberFormat="1" applyFont="1" applyBorder="1" applyAlignment="1">
      <alignment horizontal="center" vertical="center" wrapText="1"/>
    </xf>
    <xf numFmtId="1" fontId="6" fillId="0" borderId="103" xfId="0" applyNumberFormat="1" applyFont="1" applyBorder="1" applyAlignment="1">
      <alignment horizontal="center" vertical="center" wrapText="1"/>
    </xf>
    <xf numFmtId="1" fontId="6" fillId="0" borderId="129" xfId="0" applyNumberFormat="1" applyFont="1" applyBorder="1" applyAlignment="1">
      <alignment horizontal="center" vertical="center" wrapText="1"/>
    </xf>
    <xf numFmtId="1" fontId="6" fillId="0" borderId="140" xfId="0" applyNumberFormat="1" applyFont="1" applyBorder="1" applyAlignment="1">
      <alignment horizontal="center" vertical="center" wrapText="1"/>
    </xf>
    <xf numFmtId="1" fontId="6" fillId="0" borderId="131" xfId="0" applyNumberFormat="1" applyFont="1" applyBorder="1" applyAlignment="1">
      <alignment horizontal="center" vertical="center" wrapText="1"/>
    </xf>
    <xf numFmtId="1" fontId="6" fillId="0" borderId="74" xfId="125" applyNumberFormat="1" applyFont="1" applyBorder="1" applyAlignment="1">
      <alignment horizontal="left" vertical="center" wrapText="1"/>
    </xf>
    <xf numFmtId="1" fontId="6" fillId="0" borderId="34" xfId="125" applyNumberFormat="1" applyFont="1" applyBorder="1" applyAlignment="1">
      <alignment horizontal="left" vertical="center" wrapText="1"/>
    </xf>
    <xf numFmtId="1" fontId="6" fillId="0" borderId="23" xfId="125" applyNumberFormat="1" applyFont="1" applyBorder="1" applyAlignment="1">
      <alignment horizontal="center" vertical="center" wrapText="1"/>
    </xf>
    <xf numFmtId="1" fontId="6" fillId="0" borderId="192" xfId="125" applyNumberFormat="1" applyFont="1" applyBorder="1" applyAlignment="1">
      <alignment horizontal="center" vertical="center" wrapText="1"/>
    </xf>
    <xf numFmtId="1" fontId="6" fillId="0" borderId="117" xfId="125" applyNumberFormat="1" applyFont="1" applyBorder="1" applyAlignment="1">
      <alignment horizontal="center" vertical="center" wrapText="1"/>
    </xf>
    <xf numFmtId="1" fontId="6" fillId="0" borderId="191" xfId="125" applyNumberFormat="1" applyFont="1" applyBorder="1" applyAlignment="1">
      <alignment horizontal="center" vertical="center"/>
    </xf>
    <xf numFmtId="1" fontId="6" fillId="0" borderId="192" xfId="125" applyNumberFormat="1" applyFont="1" applyBorder="1" applyAlignment="1">
      <alignment horizontal="center" vertical="center"/>
    </xf>
    <xf numFmtId="1" fontId="6" fillId="0" borderId="193" xfId="125" applyNumberFormat="1" applyFont="1" applyBorder="1" applyAlignment="1">
      <alignment horizontal="center" vertical="center" wrapText="1"/>
    </xf>
    <xf numFmtId="1" fontId="6" fillId="0" borderId="99" xfId="125" applyNumberFormat="1" applyFont="1" applyBorder="1" applyAlignment="1">
      <alignment horizontal="center" vertical="center" wrapText="1"/>
    </xf>
    <xf numFmtId="1" fontId="6" fillId="0" borderId="82" xfId="125" applyNumberFormat="1" applyFont="1" applyBorder="1" applyAlignment="1">
      <alignment horizontal="center" vertical="center" wrapText="1"/>
    </xf>
    <xf numFmtId="1" fontId="6" fillId="0" borderId="30" xfId="125" applyNumberFormat="1" applyFont="1" applyBorder="1" applyAlignment="1">
      <alignment horizontal="center" vertical="center" wrapText="1"/>
    </xf>
    <xf numFmtId="1" fontId="6" fillId="0" borderId="35" xfId="125" applyNumberFormat="1" applyFont="1" applyBorder="1" applyAlignment="1">
      <alignment horizontal="center" vertical="center" wrapText="1"/>
    </xf>
    <xf numFmtId="1" fontId="6" fillId="0" borderId="66" xfId="125" applyNumberFormat="1" applyFont="1" applyBorder="1" applyAlignment="1">
      <alignment horizontal="center" vertical="center" wrapText="1"/>
    </xf>
    <xf numFmtId="1" fontId="6" fillId="0" borderId="4" xfId="109" applyNumberFormat="1" applyFont="1" applyBorder="1" applyAlignment="1">
      <alignment horizontal="center" vertical="center" wrapText="1"/>
    </xf>
    <xf numFmtId="1" fontId="6" fillId="0" borderId="49" xfId="109" applyNumberFormat="1" applyFont="1" applyBorder="1" applyAlignment="1">
      <alignment horizontal="center" vertical="center" wrapText="1"/>
    </xf>
    <xf numFmtId="1" fontId="6" fillId="0" borderId="6" xfId="109" applyNumberFormat="1" applyFont="1" applyBorder="1" applyAlignment="1">
      <alignment horizontal="center" vertical="center" wrapText="1"/>
    </xf>
    <xf numFmtId="1" fontId="6" fillId="0" borderId="29" xfId="109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/>
    </xf>
    <xf numFmtId="1" fontId="6" fillId="0" borderId="64" xfId="0" applyNumberFormat="1" applyFont="1" applyBorder="1" applyAlignment="1">
      <alignment horizontal="center"/>
    </xf>
    <xf numFmtId="1" fontId="6" fillId="0" borderId="1" xfId="126" quotePrefix="1" applyNumberFormat="1" applyFont="1" applyBorder="1" applyAlignment="1" applyProtection="1">
      <alignment horizontal="center" vertical="center"/>
      <protection hidden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64" xfId="0" applyNumberFormat="1" applyFont="1" applyBorder="1" applyAlignment="1">
      <alignment horizontal="center" vertical="center" wrapText="1"/>
    </xf>
    <xf numFmtId="1" fontId="6" fillId="0" borderId="10" xfId="109" applyNumberFormat="1" applyFont="1" applyBorder="1" applyAlignment="1">
      <alignment horizontal="center" vertical="center" wrapText="1"/>
    </xf>
    <xf numFmtId="1" fontId="6" fillId="0" borderId="64" xfId="109" applyNumberFormat="1" applyFont="1" applyBorder="1" applyAlignment="1">
      <alignment horizontal="center" vertical="center" wrapText="1"/>
    </xf>
    <xf numFmtId="1" fontId="6" fillId="0" borderId="48" xfId="109" applyNumberFormat="1" applyFont="1" applyBorder="1" applyAlignment="1">
      <alignment horizontal="center" vertical="center" wrapText="1"/>
    </xf>
    <xf numFmtId="1" fontId="6" fillId="0" borderId="153" xfId="109" applyNumberFormat="1" applyFont="1" applyBorder="1" applyAlignment="1">
      <alignment horizontal="center" vertical="center" wrapText="1"/>
    </xf>
    <xf numFmtId="1" fontId="6" fillId="0" borderId="28" xfId="109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/>
    </xf>
    <xf numFmtId="1" fontId="6" fillId="0" borderId="64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93" xfId="109" applyNumberFormat="1" applyFont="1" applyBorder="1" applyAlignment="1">
      <alignment horizontal="center" vertical="center" wrapText="1"/>
    </xf>
    <xf numFmtId="1" fontId="14" fillId="22" borderId="93" xfId="126" applyNumberFormat="1" applyFont="1" applyFill="1" applyBorder="1" applyAlignment="1">
      <alignment horizontal="left"/>
    </xf>
    <xf numFmtId="1" fontId="6" fillId="0" borderId="193" xfId="127" applyNumberFormat="1" applyFont="1" applyBorder="1" applyAlignment="1">
      <alignment horizontal="center" vertical="center" wrapText="1"/>
    </xf>
    <xf numFmtId="1" fontId="6" fillId="0" borderId="76" xfId="127" applyNumberFormat="1" applyFont="1" applyBorder="1" applyAlignment="1">
      <alignment horizontal="center" vertical="center" wrapText="1"/>
    </xf>
    <xf numFmtId="1" fontId="6" fillId="0" borderId="76" xfId="0" applyNumberFormat="1" applyFont="1" applyBorder="1" applyAlignment="1">
      <alignment horizontal="center" vertical="center" wrapText="1"/>
    </xf>
    <xf numFmtId="1" fontId="6" fillId="0" borderId="1" xfId="126" applyNumberFormat="1" applyFont="1" applyBorder="1" applyAlignment="1">
      <alignment horizontal="center" vertical="center" wrapText="1"/>
    </xf>
    <xf numFmtId="1" fontId="6" fillId="0" borderId="135" xfId="0" applyNumberFormat="1" applyFont="1" applyBorder="1" applyAlignment="1">
      <alignment horizontal="center"/>
    </xf>
    <xf numFmtId="1" fontId="6" fillId="0" borderId="1" xfId="126" applyNumberFormat="1" applyFont="1" applyBorder="1" applyAlignment="1">
      <alignment horizontal="center" vertical="center"/>
    </xf>
    <xf numFmtId="1" fontId="6" fillId="0" borderId="135" xfId="125" applyNumberFormat="1" applyFont="1" applyBorder="1" applyAlignment="1">
      <alignment horizontal="left" vertical="center" wrapText="1"/>
    </xf>
    <xf numFmtId="1" fontId="6" fillId="0" borderId="76" xfId="0" applyNumberFormat="1" applyFont="1" applyBorder="1" applyAlignment="1">
      <alignment horizontal="left" vertical="center" wrapText="1"/>
    </xf>
    <xf numFmtId="1" fontId="6" fillId="0" borderId="11" xfId="0" applyNumberFormat="1" applyFont="1" applyBorder="1" applyAlignment="1">
      <alignment horizontal="left" vertical="center" wrapText="1"/>
    </xf>
    <xf numFmtId="1" fontId="6" fillId="0" borderId="49" xfId="127" applyNumberFormat="1" applyFont="1" applyBorder="1" applyAlignment="1">
      <alignment horizontal="left" vertical="center" wrapText="1"/>
    </xf>
    <xf numFmtId="1" fontId="6" fillId="0" borderId="97" xfId="0" applyNumberFormat="1" applyFont="1" applyBorder="1" applyAlignment="1">
      <alignment horizontal="left" vertical="center" wrapText="1"/>
    </xf>
    <xf numFmtId="1" fontId="6" fillId="0" borderId="29" xfId="0" applyNumberFormat="1" applyFont="1" applyBorder="1" applyAlignment="1">
      <alignment horizontal="left" vertical="center" wrapText="1"/>
    </xf>
    <xf numFmtId="1" fontId="6" fillId="0" borderId="135" xfId="127" applyNumberFormat="1" applyFont="1" applyBorder="1" applyAlignment="1">
      <alignment horizontal="left" vertical="center" wrapText="1"/>
    </xf>
    <xf numFmtId="1" fontId="6" fillId="0" borderId="73" xfId="126" applyNumberFormat="1" applyFont="1" applyBorder="1" applyAlignment="1">
      <alignment horizontal="left" vertical="center" wrapText="1"/>
    </xf>
    <xf numFmtId="1" fontId="6" fillId="0" borderId="39" xfId="126" applyNumberFormat="1" applyFont="1" applyBorder="1" applyAlignment="1">
      <alignment horizontal="left" vertical="center" wrapText="1"/>
    </xf>
    <xf numFmtId="1" fontId="6" fillId="0" borderId="66" xfId="126" applyNumberFormat="1" applyFont="1" applyBorder="1" applyAlignment="1">
      <alignment horizontal="left" vertical="center" wrapText="1"/>
    </xf>
    <xf numFmtId="1" fontId="6" fillId="0" borderId="50" xfId="126" applyNumberFormat="1" applyFont="1" applyBorder="1" applyAlignment="1">
      <alignment horizontal="center" vertical="center" wrapText="1"/>
    </xf>
    <xf numFmtId="1" fontId="6" fillId="0" borderId="97" xfId="126" applyNumberFormat="1" applyFont="1" applyBorder="1" applyAlignment="1">
      <alignment horizontal="center" vertical="center" wrapText="1"/>
    </xf>
    <xf numFmtId="1" fontId="6" fillId="0" borderId="29" xfId="126" applyNumberFormat="1" applyFont="1" applyBorder="1" applyAlignment="1">
      <alignment horizontal="center" vertical="center" wrapText="1"/>
    </xf>
    <xf numFmtId="1" fontId="6" fillId="0" borderId="80" xfId="0" applyNumberFormat="1" applyFont="1" applyBorder="1" applyAlignment="1">
      <alignment horizontal="center" vertical="center" wrapText="1"/>
    </xf>
    <xf numFmtId="1" fontId="6" fillId="0" borderId="73" xfId="127" applyNumberFormat="1" applyFont="1" applyBorder="1" applyAlignment="1">
      <alignment horizontal="left" vertical="center" wrapText="1"/>
    </xf>
    <xf numFmtId="1" fontId="6" fillId="0" borderId="39" xfId="127" applyNumberFormat="1" applyFont="1" applyBorder="1" applyAlignment="1">
      <alignment horizontal="left" vertical="center" wrapText="1"/>
    </xf>
    <xf numFmtId="1" fontId="6" fillId="0" borderId="35" xfId="126" applyNumberFormat="1" applyFont="1" applyBorder="1" applyAlignment="1">
      <alignment horizontal="left" vertical="center" wrapText="1"/>
    </xf>
    <xf numFmtId="1" fontId="6" fillId="0" borderId="125" xfId="0" applyNumberFormat="1" applyFont="1" applyBorder="1" applyAlignment="1">
      <alignment horizontal="left" vertical="center"/>
    </xf>
    <xf numFmtId="1" fontId="6" fillId="0" borderId="39" xfId="0" applyNumberFormat="1" applyFont="1" applyBorder="1" applyAlignment="1">
      <alignment horizontal="left" vertical="center"/>
    </xf>
    <xf numFmtId="1" fontId="6" fillId="0" borderId="73" xfId="125" applyNumberFormat="1" applyFont="1" applyBorder="1" applyAlignment="1">
      <alignment vertical="center" wrapText="1"/>
    </xf>
    <xf numFmtId="1" fontId="6" fillId="0" borderId="39" xfId="125" applyNumberFormat="1" applyFont="1" applyBorder="1" applyAlignment="1">
      <alignment vertical="center" wrapText="1"/>
    </xf>
    <xf numFmtId="1" fontId="6" fillId="0" borderId="96" xfId="126" applyNumberFormat="1" applyFont="1" applyBorder="1" applyAlignment="1">
      <alignment horizontal="center" vertical="center" wrapText="1"/>
    </xf>
    <xf numFmtId="1" fontId="6" fillId="0" borderId="111" xfId="126" applyNumberFormat="1" applyFont="1" applyBorder="1" applyAlignment="1">
      <alignment horizontal="center" vertical="center" wrapText="1"/>
    </xf>
    <xf numFmtId="1" fontId="6" fillId="0" borderId="125" xfId="126" applyNumberFormat="1" applyFont="1" applyBorder="1" applyAlignment="1">
      <alignment horizontal="left" vertical="center" wrapText="1"/>
    </xf>
    <xf numFmtId="1" fontId="6" fillId="0" borderId="125" xfId="127" applyNumberFormat="1" applyFont="1" applyBorder="1" applyAlignment="1">
      <alignment horizontal="left" vertical="center" wrapText="1"/>
    </xf>
    <xf numFmtId="1" fontId="14" fillId="0" borderId="0" xfId="126" applyNumberFormat="1" applyFont="1" applyAlignment="1">
      <alignment horizontal="left"/>
    </xf>
    <xf numFmtId="1" fontId="6" fillId="0" borderId="191" xfId="0" applyNumberFormat="1" applyFont="1" applyBorder="1" applyAlignment="1">
      <alignment horizontal="center" vertical="center" wrapText="1"/>
    </xf>
    <xf numFmtId="1" fontId="6" fillId="0" borderId="209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1" fontId="6" fillId="0" borderId="199" xfId="109" applyNumberFormat="1" applyFont="1" applyBorder="1" applyAlignment="1">
      <alignment horizontal="center" vertical="center" wrapText="1"/>
    </xf>
    <xf numFmtId="1" fontId="6" fillId="0" borderId="206" xfId="109" applyNumberFormat="1" applyFont="1" applyBorder="1" applyAlignment="1">
      <alignment horizontal="center" vertical="center" wrapText="1"/>
    </xf>
    <xf numFmtId="1" fontId="6" fillId="0" borderId="166" xfId="109" applyNumberFormat="1" applyFont="1" applyBorder="1" applyAlignment="1">
      <alignment horizontal="center" vertical="center" wrapText="1"/>
    </xf>
    <xf numFmtId="1" fontId="6" fillId="0" borderId="141" xfId="109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17" borderId="1" xfId="0" applyNumberFormat="1" applyFont="1" applyFill="1" applyBorder="1" applyAlignment="1">
      <alignment horizontal="center" vertical="center"/>
    </xf>
    <xf numFmtId="1" fontId="14" fillId="0" borderId="0" xfId="126" applyNumberFormat="1" applyFont="1" applyAlignment="1">
      <alignment horizontal="center" vertical="center" wrapText="1"/>
    </xf>
    <xf numFmtId="1" fontId="10" fillId="0" borderId="135" xfId="126" applyNumberFormat="1" applyFont="1" applyBorder="1" applyAlignment="1">
      <alignment horizontal="center" vertical="center" wrapText="1"/>
    </xf>
    <xf numFmtId="1" fontId="10" fillId="0" borderId="76" xfId="126" applyNumberFormat="1" applyFont="1" applyBorder="1" applyAlignment="1">
      <alignment horizontal="center" vertical="center" wrapText="1"/>
    </xf>
    <xf numFmtId="1" fontId="14" fillId="0" borderId="6" xfId="126" applyNumberFormat="1" applyFont="1" applyBorder="1" applyAlignment="1">
      <alignment horizontal="left"/>
    </xf>
    <xf numFmtId="1" fontId="6" fillId="0" borderId="75" xfId="125" applyNumberFormat="1" applyFont="1" applyBorder="1" applyAlignment="1">
      <alignment horizontal="left" vertical="center" wrapText="1"/>
    </xf>
    <xf numFmtId="1" fontId="6" fillId="0" borderId="193" xfId="0" applyNumberFormat="1" applyFont="1" applyBorder="1" applyAlignment="1">
      <alignment horizontal="center" vertical="center"/>
    </xf>
    <xf numFmtId="1" fontId="6" fillId="0" borderId="76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93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6" fillId="0" borderId="201" xfId="126" applyNumberFormat="1" applyFont="1" applyBorder="1" applyAlignment="1">
      <alignment horizontal="center" vertical="center" wrapText="1"/>
    </xf>
    <xf numFmtId="1" fontId="6" fillId="0" borderId="210" xfId="126" applyNumberFormat="1" applyFont="1" applyBorder="1" applyAlignment="1">
      <alignment horizontal="center" vertical="center" wrapText="1"/>
    </xf>
    <xf numFmtId="1" fontId="6" fillId="0" borderId="187" xfId="126" applyNumberFormat="1" applyFont="1" applyBorder="1" applyAlignment="1">
      <alignment horizontal="center" vertical="center" wrapText="1"/>
    </xf>
    <xf numFmtId="1" fontId="6" fillId="0" borderId="94" xfId="126" applyNumberFormat="1" applyFont="1" applyBorder="1" applyAlignment="1">
      <alignment horizontal="center" vertical="center" wrapText="1"/>
    </xf>
    <xf numFmtId="168" fontId="6" fillId="0" borderId="210" xfId="125" applyNumberFormat="1" applyFont="1" applyBorder="1" applyAlignment="1">
      <alignment horizontal="center" vertical="center"/>
    </xf>
    <xf numFmtId="168" fontId="6" fillId="0" borderId="97" xfId="125" applyNumberFormat="1" applyFont="1" applyBorder="1" applyAlignment="1">
      <alignment horizontal="center" vertical="center"/>
    </xf>
    <xf numFmtId="168" fontId="6" fillId="0" borderId="29" xfId="125" applyNumberFormat="1" applyFont="1" applyBorder="1" applyAlignment="1">
      <alignment horizontal="center" vertical="center"/>
    </xf>
    <xf numFmtId="1" fontId="6" fillId="0" borderId="193" xfId="126" applyNumberFormat="1" applyFont="1" applyBorder="1" applyAlignment="1">
      <alignment horizontal="center" vertical="center" wrapText="1"/>
    </xf>
    <xf numFmtId="1" fontId="6" fillId="0" borderId="11" xfId="126" applyNumberFormat="1" applyFont="1" applyBorder="1" applyAlignment="1">
      <alignment horizontal="center" vertical="center" wrapText="1"/>
    </xf>
    <xf numFmtId="1" fontId="6" fillId="17" borderId="10" xfId="0" applyNumberFormat="1" applyFont="1" applyFill="1" applyBorder="1" applyAlignment="1">
      <alignment horizontal="center" vertical="center"/>
    </xf>
    <xf numFmtId="1" fontId="6" fillId="17" borderId="191" xfId="0" applyNumberFormat="1" applyFont="1" applyFill="1" applyBorder="1" applyAlignment="1">
      <alignment horizontal="center" vertical="center"/>
    </xf>
    <xf numFmtId="1" fontId="6" fillId="17" borderId="192" xfId="0" applyNumberFormat="1" applyFont="1" applyFill="1" applyBorder="1" applyAlignment="1">
      <alignment horizontal="center" vertical="center"/>
    </xf>
    <xf numFmtId="1" fontId="6" fillId="0" borderId="201" xfId="0" applyNumberFormat="1" applyFont="1" applyBorder="1" applyAlignment="1">
      <alignment horizontal="center" vertical="center"/>
    </xf>
    <xf numFmtId="1" fontId="6" fillId="0" borderId="194" xfId="0" applyNumberFormat="1" applyFont="1" applyBorder="1" applyAlignment="1">
      <alignment horizontal="center" vertical="center"/>
    </xf>
    <xf numFmtId="1" fontId="6" fillId="0" borderId="192" xfId="0" applyNumberFormat="1" applyFont="1" applyBorder="1" applyAlignment="1">
      <alignment horizontal="center" vertical="center"/>
    </xf>
    <xf numFmtId="1" fontId="6" fillId="0" borderId="191" xfId="0" applyNumberFormat="1" applyFont="1" applyBorder="1" applyAlignment="1">
      <alignment horizontal="center" vertical="center"/>
    </xf>
    <xf numFmtId="1" fontId="6" fillId="0" borderId="1" xfId="126" applyNumberFormat="1" applyFont="1" applyBorder="1" applyAlignment="1" applyProtection="1">
      <alignment horizontal="center" vertical="center" wrapText="1"/>
      <protection hidden="1"/>
    </xf>
    <xf numFmtId="1" fontId="6" fillId="0" borderId="229" xfId="109" applyNumberFormat="1" applyFont="1" applyBorder="1" applyAlignment="1">
      <alignment horizontal="center" vertical="center" wrapText="1"/>
    </xf>
    <xf numFmtId="1" fontId="6" fillId="22" borderId="73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39" xfId="126" applyNumberFormat="1" applyFont="1" applyFill="1" applyBorder="1" applyAlignment="1" applyProtection="1">
      <alignment horizontal="left" vertical="center" wrapText="1"/>
      <protection hidden="1"/>
    </xf>
    <xf numFmtId="0" fontId="6" fillId="22" borderId="74" xfId="126" applyFont="1" applyFill="1" applyBorder="1" applyAlignment="1">
      <alignment horizontal="left"/>
    </xf>
    <xf numFmtId="0" fontId="6" fillId="22" borderId="34" xfId="126" applyFont="1" applyFill="1" applyBorder="1" applyAlignment="1">
      <alignment horizontal="left"/>
    </xf>
    <xf numFmtId="1" fontId="6" fillId="0" borderId="73" xfId="126" applyNumberFormat="1" applyFont="1" applyBorder="1" applyAlignment="1" applyProtection="1">
      <alignment horizontal="left" wrapText="1"/>
      <protection hidden="1"/>
    </xf>
    <xf numFmtId="1" fontId="6" fillId="0" borderId="39" xfId="126" applyNumberFormat="1" applyFont="1" applyBorder="1" applyAlignment="1" applyProtection="1">
      <alignment horizontal="left" wrapText="1"/>
      <protection hidden="1"/>
    </xf>
    <xf numFmtId="1" fontId="6" fillId="22" borderId="74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34" xfId="126" applyNumberFormat="1" applyFont="1" applyFill="1" applyBorder="1" applyAlignment="1" applyProtection="1">
      <alignment horizontal="left" vertical="center" wrapText="1"/>
      <protection hidden="1"/>
    </xf>
    <xf numFmtId="1" fontId="10" fillId="0" borderId="201" xfId="126" applyNumberFormat="1" applyFont="1" applyBorder="1" applyAlignment="1" applyProtection="1">
      <alignment horizontal="center" vertical="center"/>
      <protection hidden="1"/>
    </xf>
    <xf numFmtId="1" fontId="10" fillId="0" borderId="194" xfId="126" applyNumberFormat="1" applyFont="1" applyBorder="1" applyAlignment="1" applyProtection="1">
      <alignment horizontal="center" vertical="center"/>
      <protection hidden="1"/>
    </xf>
    <xf numFmtId="1" fontId="10" fillId="0" borderId="187" xfId="126" applyNumberFormat="1" applyFont="1" applyBorder="1" applyAlignment="1" applyProtection="1">
      <alignment horizontal="center" vertical="center"/>
      <protection hidden="1"/>
    </xf>
    <xf numFmtId="1" fontId="10" fillId="0" borderId="97" xfId="126" applyNumberFormat="1" applyFont="1" applyBorder="1" applyAlignment="1" applyProtection="1">
      <alignment horizontal="center" vertical="center"/>
      <protection hidden="1"/>
    </xf>
    <xf numFmtId="1" fontId="10" fillId="0" borderId="94" xfId="126" applyNumberFormat="1" applyFont="1" applyBorder="1" applyAlignment="1" applyProtection="1">
      <alignment horizontal="center" vertical="center"/>
      <protection hidden="1"/>
    </xf>
    <xf numFmtId="1" fontId="10" fillId="0" borderId="29" xfId="126" applyNumberFormat="1" applyFont="1" applyBorder="1" applyAlignment="1" applyProtection="1">
      <alignment horizontal="center" vertical="center"/>
      <protection hidden="1"/>
    </xf>
    <xf numFmtId="1" fontId="6" fillId="0" borderId="73" xfId="126" applyNumberFormat="1" applyFont="1" applyBorder="1" applyAlignment="1" applyProtection="1">
      <alignment horizontal="left" vertical="center" wrapText="1"/>
      <protection hidden="1"/>
    </xf>
    <xf numFmtId="1" fontId="6" fillId="0" borderId="39" xfId="126" applyNumberFormat="1" applyFont="1" applyBorder="1" applyAlignment="1" applyProtection="1">
      <alignment horizontal="left" vertical="center" wrapText="1"/>
      <protection hidden="1"/>
    </xf>
    <xf numFmtId="1" fontId="6" fillId="0" borderId="7" xfId="126" applyNumberFormat="1" applyFont="1" applyBorder="1" applyAlignment="1" applyProtection="1">
      <alignment horizontal="left" vertical="center" wrapText="1"/>
      <protection hidden="1"/>
    </xf>
    <xf numFmtId="1" fontId="6" fillId="0" borderId="5" xfId="126" applyNumberFormat="1" applyFont="1" applyBorder="1" applyAlignment="1" applyProtection="1">
      <alignment horizontal="left" vertical="center" wrapText="1"/>
      <protection hidden="1"/>
    </xf>
    <xf numFmtId="1" fontId="6" fillId="0" borderId="200" xfId="0" applyNumberFormat="1" applyFont="1" applyBorder="1" applyAlignment="1">
      <alignment horizontal="center" vertical="center" wrapText="1"/>
    </xf>
    <xf numFmtId="1" fontId="6" fillId="0" borderId="146" xfId="0" applyNumberFormat="1" applyFont="1" applyBorder="1" applyAlignment="1">
      <alignment horizontal="center" vertical="center" wrapText="1"/>
    </xf>
    <xf numFmtId="1" fontId="6" fillId="0" borderId="72" xfId="126" applyNumberFormat="1" applyFont="1" applyBorder="1" applyAlignment="1" applyProtection="1">
      <alignment horizontal="left" vertical="center" wrapText="1"/>
      <protection hidden="1"/>
    </xf>
    <xf numFmtId="1" fontId="6" fillId="0" borderId="27" xfId="126" applyNumberFormat="1" applyFont="1" applyBorder="1" applyAlignment="1" applyProtection="1">
      <alignment horizontal="left" vertical="center" wrapText="1"/>
      <protection hidden="1"/>
    </xf>
    <xf numFmtId="1" fontId="6" fillId="0" borderId="230" xfId="109" applyNumberFormat="1" applyFont="1" applyBorder="1" applyAlignment="1">
      <alignment horizontal="center" vertical="center" wrapText="1"/>
    </xf>
    <xf numFmtId="1" fontId="6" fillId="0" borderId="229" xfId="0" applyNumberFormat="1" applyFont="1" applyBorder="1" applyAlignment="1">
      <alignment horizontal="center" vertical="center" wrapText="1"/>
    </xf>
    <xf numFmtId="1" fontId="6" fillId="0" borderId="10" xfId="126" quotePrefix="1" applyNumberFormat="1" applyFont="1" applyBorder="1" applyAlignment="1">
      <alignment horizontal="center" vertical="center"/>
    </xf>
    <xf numFmtId="1" fontId="6" fillId="0" borderId="229" xfId="126" quotePrefix="1" applyNumberFormat="1" applyFont="1" applyBorder="1" applyAlignment="1">
      <alignment horizontal="center" vertical="center"/>
    </xf>
    <xf numFmtId="1" fontId="6" fillId="0" borderId="136" xfId="126" applyNumberFormat="1" applyFont="1" applyBorder="1" applyAlignment="1" applyProtection="1">
      <alignment horizontal="center" vertical="center" wrapText="1"/>
      <protection hidden="1"/>
    </xf>
    <xf numFmtId="1" fontId="6" fillId="0" borderId="4" xfId="126" applyNumberFormat="1" applyFont="1" applyBorder="1" applyAlignment="1" applyProtection="1">
      <alignment horizontal="center" vertical="center" wrapText="1"/>
      <protection hidden="1"/>
    </xf>
    <xf numFmtId="1" fontId="6" fillId="0" borderId="49" xfId="126" applyNumberFormat="1" applyFont="1" applyBorder="1" applyAlignment="1" applyProtection="1">
      <alignment horizontal="center" vertical="center" wrapText="1"/>
      <protection hidden="1"/>
    </xf>
    <xf numFmtId="1" fontId="6" fillId="0" borderId="94" xfId="126" applyNumberFormat="1" applyFont="1" applyBorder="1" applyAlignment="1" applyProtection="1">
      <alignment horizontal="center" vertical="center" wrapText="1"/>
      <protection hidden="1"/>
    </xf>
    <xf numFmtId="1" fontId="6" fillId="0" borderId="6" xfId="126" applyNumberFormat="1" applyFont="1" applyBorder="1" applyAlignment="1" applyProtection="1">
      <alignment horizontal="center" vertical="center" wrapText="1"/>
      <protection hidden="1"/>
    </xf>
    <xf numFmtId="1" fontId="6" fillId="0" borderId="29" xfId="126" applyNumberFormat="1" applyFont="1" applyBorder="1" applyAlignment="1" applyProtection="1">
      <alignment horizontal="center" vertical="center" wrapText="1"/>
      <protection hidden="1"/>
    </xf>
    <xf numFmtId="1" fontId="6" fillId="0" borderId="228" xfId="0" applyNumberFormat="1" applyFont="1" applyBorder="1" applyAlignment="1">
      <alignment horizontal="center"/>
    </xf>
    <xf numFmtId="1" fontId="6" fillId="0" borderId="229" xfId="0" applyNumberFormat="1" applyFont="1" applyBorder="1" applyAlignment="1">
      <alignment horizontal="center"/>
    </xf>
    <xf numFmtId="1" fontId="6" fillId="0" borderId="193" xfId="126" applyNumberFormat="1" applyFont="1" applyBorder="1" applyAlignment="1" applyProtection="1">
      <alignment horizontal="left" vertical="center" wrapText="1"/>
      <protection hidden="1"/>
    </xf>
    <xf numFmtId="1" fontId="6" fillId="0" borderId="76" xfId="126" applyNumberFormat="1" applyFont="1" applyBorder="1" applyAlignment="1" applyProtection="1">
      <alignment horizontal="left" vertical="center" wrapText="1"/>
      <protection hidden="1"/>
    </xf>
    <xf numFmtId="1" fontId="6" fillId="0" borderId="11" xfId="126" applyNumberFormat="1" applyFont="1" applyBorder="1" applyAlignment="1" applyProtection="1">
      <alignment horizontal="left" vertical="center" wrapText="1"/>
      <protection hidden="1"/>
    </xf>
    <xf numFmtId="1" fontId="6" fillId="22" borderId="73" xfId="126" applyNumberFormat="1" applyFont="1" applyFill="1" applyBorder="1" applyAlignment="1" applyProtection="1">
      <alignment horizontal="left" vertical="center"/>
      <protection hidden="1"/>
    </xf>
    <xf numFmtId="1" fontId="6" fillId="22" borderId="39" xfId="126" applyNumberFormat="1" applyFont="1" applyFill="1" applyBorder="1" applyAlignment="1" applyProtection="1">
      <alignment horizontal="left" vertical="center"/>
      <protection hidden="1"/>
    </xf>
    <xf numFmtId="1" fontId="6" fillId="0" borderId="10" xfId="126" quotePrefix="1" applyNumberFormat="1" applyFont="1" applyBorder="1" applyAlignment="1" applyProtection="1">
      <alignment horizontal="center" vertical="center"/>
      <protection hidden="1"/>
    </xf>
    <xf numFmtId="1" fontId="6" fillId="0" borderId="229" xfId="126" quotePrefix="1" applyNumberFormat="1" applyFont="1" applyBorder="1" applyAlignment="1" applyProtection="1">
      <alignment horizontal="center" vertical="center"/>
      <protection hidden="1"/>
    </xf>
    <xf numFmtId="1" fontId="6" fillId="0" borderId="77" xfId="126" applyNumberFormat="1" applyFont="1" applyBorder="1" applyAlignment="1" applyProtection="1">
      <alignment horizontal="left" vertical="center" wrapText="1"/>
      <protection hidden="1"/>
    </xf>
    <xf numFmtId="1" fontId="6" fillId="0" borderId="124" xfId="126" applyNumberFormat="1" applyFont="1" applyBorder="1" applyAlignment="1" applyProtection="1">
      <alignment horizontal="left" vertical="center" wrapText="1"/>
      <protection hidden="1"/>
    </xf>
    <xf numFmtId="1" fontId="6" fillId="0" borderId="10" xfId="127" applyNumberFormat="1" applyFont="1" applyBorder="1" applyAlignment="1" applyProtection="1">
      <alignment horizontal="center" vertical="center" wrapText="1"/>
      <protection hidden="1"/>
    </xf>
    <xf numFmtId="1" fontId="6" fillId="0" borderId="228" xfId="127" applyNumberFormat="1" applyFont="1" applyBorder="1" applyAlignment="1" applyProtection="1">
      <alignment horizontal="center" vertical="center" wrapText="1"/>
      <protection hidden="1"/>
    </xf>
    <xf numFmtId="1" fontId="6" fillId="0" borderId="229" xfId="127" applyNumberFormat="1" applyFont="1" applyBorder="1" applyAlignment="1" applyProtection="1">
      <alignment horizontal="center" vertical="center" wrapText="1"/>
      <protection hidden="1"/>
    </xf>
    <xf numFmtId="1" fontId="6" fillId="0" borderId="228" xfId="0" applyNumberFormat="1" applyFont="1" applyBorder="1" applyAlignment="1" applyProtection="1">
      <alignment horizontal="center"/>
      <protection hidden="1"/>
    </xf>
    <xf numFmtId="1" fontId="6" fillId="0" borderId="229" xfId="0" applyNumberFormat="1" applyFont="1" applyBorder="1" applyAlignment="1" applyProtection="1">
      <alignment horizontal="center"/>
      <protection hidden="1"/>
    </xf>
    <xf numFmtId="1" fontId="6" fillId="0" borderId="76" xfId="126" applyNumberFormat="1" applyFont="1" applyBorder="1" applyAlignment="1" applyProtection="1">
      <alignment horizontal="center" vertical="center" wrapText="1"/>
      <protection hidden="1"/>
    </xf>
    <xf numFmtId="1" fontId="6" fillId="0" borderId="11" xfId="126" applyNumberFormat="1" applyFont="1" applyBorder="1" applyAlignment="1" applyProtection="1">
      <alignment horizontal="center" vertical="center" wrapText="1"/>
      <protection hidden="1"/>
    </xf>
    <xf numFmtId="1" fontId="6" fillId="22" borderId="77" xfId="126" applyNumberFormat="1" applyFont="1" applyFill="1" applyBorder="1" applyAlignment="1" applyProtection="1">
      <alignment horizontal="left" vertical="center"/>
      <protection hidden="1"/>
    </xf>
    <xf numFmtId="1" fontId="6" fillId="22" borderId="124" xfId="126" applyNumberFormat="1" applyFont="1" applyFill="1" applyBorder="1" applyAlignment="1" applyProtection="1">
      <alignment horizontal="left" vertical="center"/>
      <protection hidden="1"/>
    </xf>
    <xf numFmtId="1" fontId="6" fillId="0" borderId="135" xfId="126" applyNumberFormat="1" applyFont="1" applyBorder="1" applyAlignment="1" applyProtection="1">
      <alignment horizontal="center" vertical="center" wrapText="1"/>
      <protection hidden="1"/>
    </xf>
    <xf numFmtId="1" fontId="6" fillId="0" borderId="74" xfId="126" applyNumberFormat="1" applyFont="1" applyBorder="1" applyAlignment="1" applyProtection="1">
      <alignment horizontal="left" vertical="center" wrapText="1"/>
      <protection hidden="1"/>
    </xf>
    <xf numFmtId="1" fontId="6" fillId="0" borderId="34" xfId="126" applyNumberFormat="1" applyFont="1" applyBorder="1" applyAlignment="1" applyProtection="1">
      <alignment horizontal="left" vertical="center" wrapText="1"/>
      <protection hidden="1"/>
    </xf>
    <xf numFmtId="1" fontId="6" fillId="17" borderId="193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76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11" xfId="126" applyNumberFormat="1" applyFont="1" applyFill="1" applyBorder="1" applyAlignment="1" applyProtection="1">
      <alignment horizontal="center" vertical="center" wrapText="1"/>
      <protection hidden="1"/>
    </xf>
    <xf numFmtId="1" fontId="6" fillId="0" borderId="135" xfId="0" applyNumberFormat="1" applyFont="1" applyBorder="1" applyAlignment="1">
      <alignment horizontal="center" vertical="center" wrapText="1"/>
    </xf>
    <xf numFmtId="1" fontId="14" fillId="0" borderId="6" xfId="126" applyNumberFormat="1" applyFont="1" applyBorder="1" applyAlignment="1" applyProtection="1">
      <alignment horizontal="left" wrapText="1"/>
      <protection hidden="1"/>
    </xf>
    <xf numFmtId="1" fontId="6" fillId="0" borderId="193" xfId="126" applyNumberFormat="1" applyFont="1" applyBorder="1" applyAlignment="1" applyProtection="1">
      <alignment horizontal="center" vertical="center" wrapText="1"/>
      <protection hidden="1"/>
    </xf>
    <xf numFmtId="1" fontId="6" fillId="0" borderId="230" xfId="0" applyNumberFormat="1" applyFont="1" applyBorder="1" applyAlignment="1">
      <alignment horizontal="center"/>
    </xf>
    <xf numFmtId="1" fontId="6" fillId="21" borderId="1" xfId="0" applyNumberFormat="1" applyFont="1" applyFill="1" applyBorder="1" applyAlignment="1">
      <alignment horizontal="center" vertical="center" wrapText="1"/>
    </xf>
    <xf numFmtId="1" fontId="6" fillId="0" borderId="97" xfId="0" applyNumberFormat="1" applyFont="1" applyBorder="1" applyAlignment="1">
      <alignment horizontal="center" vertical="center" wrapText="1"/>
    </xf>
    <xf numFmtId="1" fontId="14" fillId="0" borderId="0" xfId="126" applyNumberFormat="1" applyFont="1" applyAlignment="1" applyProtection="1">
      <alignment horizontal="center" vertical="center" wrapText="1"/>
      <protection hidden="1"/>
    </xf>
    <xf numFmtId="1" fontId="6" fillId="0" borderId="201" xfId="126" applyNumberFormat="1" applyFont="1" applyBorder="1" applyAlignment="1" applyProtection="1">
      <alignment horizontal="center" vertical="center" wrapText="1"/>
      <protection hidden="1"/>
    </xf>
    <xf numFmtId="1" fontId="6" fillId="0" borderId="187" xfId="126" applyNumberFormat="1" applyFont="1" applyBorder="1" applyAlignment="1" applyProtection="1">
      <alignment horizontal="center" vertical="center" wrapText="1"/>
      <protection hidden="1"/>
    </xf>
    <xf numFmtId="1" fontId="6" fillId="0" borderId="97" xfId="126" applyNumberFormat="1" applyFont="1" applyBorder="1" applyAlignment="1" applyProtection="1">
      <alignment horizontal="center" vertical="center" wrapText="1"/>
      <protection hidden="1"/>
    </xf>
    <xf numFmtId="1" fontId="6" fillId="0" borderId="93" xfId="0" applyNumberFormat="1" applyFont="1" applyBorder="1" applyAlignment="1">
      <alignment horizontal="center"/>
    </xf>
    <xf numFmtId="1" fontId="6" fillId="0" borderId="64" xfId="126" quotePrefix="1" applyNumberFormat="1" applyFont="1" applyBorder="1" applyAlignment="1" applyProtection="1">
      <alignment horizontal="center" vertical="center"/>
      <protection hidden="1"/>
    </xf>
    <xf numFmtId="1" fontId="6" fillId="22" borderId="77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124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73" xfId="126" applyNumberFormat="1" applyFont="1" applyBorder="1" applyAlignment="1" applyProtection="1">
      <alignment horizontal="left" vertical="center"/>
      <protection hidden="1"/>
    </xf>
    <xf numFmtId="1" fontId="6" fillId="0" borderId="39" xfId="126" applyNumberFormat="1" applyFont="1" applyBorder="1" applyAlignment="1" applyProtection="1">
      <alignment horizontal="left" vertical="center"/>
      <protection hidden="1"/>
    </xf>
    <xf numFmtId="1" fontId="10" fillId="0" borderId="94" xfId="126" applyNumberFormat="1" applyFont="1" applyBorder="1" applyAlignment="1" applyProtection="1">
      <alignment horizontal="left" vertical="center" wrapText="1"/>
      <protection hidden="1"/>
    </xf>
    <xf numFmtId="1" fontId="10" fillId="0" borderId="6" xfId="126" applyNumberFormat="1" applyFont="1" applyBorder="1" applyAlignment="1" applyProtection="1">
      <alignment horizontal="left" vertical="center" wrapText="1"/>
      <protection hidden="1"/>
    </xf>
    <xf numFmtId="1" fontId="6" fillId="0" borderId="194" xfId="109" applyNumberFormat="1" applyFont="1" applyBorder="1" applyAlignment="1">
      <alignment horizontal="center" vertical="center" wrapText="1"/>
    </xf>
    <xf numFmtId="1" fontId="6" fillId="0" borderId="211" xfId="109" applyNumberFormat="1" applyFont="1" applyBorder="1" applyAlignment="1">
      <alignment horizontal="center" vertical="center" wrapText="1"/>
    </xf>
    <xf numFmtId="1" fontId="6" fillId="0" borderId="208" xfId="109" applyNumberFormat="1" applyFont="1" applyBorder="1" applyAlignment="1">
      <alignment horizontal="center" vertical="center" wrapText="1"/>
    </xf>
    <xf numFmtId="1" fontId="6" fillId="0" borderId="191" xfId="109" applyNumberFormat="1" applyFont="1" applyBorder="1" applyAlignment="1">
      <alignment horizontal="center" vertical="center" wrapText="1"/>
    </xf>
    <xf numFmtId="1" fontId="6" fillId="0" borderId="192" xfId="109" applyNumberFormat="1" applyFont="1" applyBorder="1" applyAlignment="1">
      <alignment horizontal="center" vertical="center" wrapText="1"/>
    </xf>
    <xf numFmtId="1" fontId="6" fillId="0" borderId="195" xfId="109" applyNumberFormat="1" applyFont="1" applyBorder="1" applyAlignment="1">
      <alignment horizontal="center" vertical="center" wrapText="1"/>
    </xf>
    <xf numFmtId="1" fontId="6" fillId="29" borderId="1" xfId="0" applyNumberFormat="1" applyFont="1" applyFill="1" applyBorder="1" applyAlignment="1">
      <alignment horizontal="center" vertical="center" wrapText="1"/>
    </xf>
    <xf numFmtId="1" fontId="6" fillId="0" borderId="94" xfId="127" quotePrefix="1" applyNumberFormat="1" applyFont="1" applyBorder="1" applyAlignment="1" applyProtection="1">
      <alignment horizontal="center" vertical="center"/>
      <protection hidden="1"/>
    </xf>
    <xf numFmtId="1" fontId="6" fillId="0" borderId="6" xfId="127" quotePrefix="1" applyNumberFormat="1" applyFont="1" applyBorder="1" applyAlignment="1" applyProtection="1">
      <alignment horizontal="center" vertical="center"/>
      <protection hidden="1"/>
    </xf>
    <xf numFmtId="1" fontId="6" fillId="0" borderId="141" xfId="127" quotePrefix="1" applyNumberFormat="1" applyFont="1" applyBorder="1" applyAlignment="1" applyProtection="1">
      <alignment horizontal="center" vertical="center"/>
      <protection hidden="1"/>
    </xf>
    <xf numFmtId="1" fontId="6" fillId="0" borderId="208" xfId="127" quotePrefix="1" applyNumberFormat="1" applyFont="1" applyBorder="1" applyAlignment="1" applyProtection="1">
      <alignment horizontal="center" vertical="center"/>
      <protection hidden="1"/>
    </xf>
    <xf numFmtId="1" fontId="6" fillId="0" borderId="191" xfId="127" quotePrefix="1" applyNumberFormat="1" applyFont="1" applyBorder="1" applyAlignment="1" applyProtection="1">
      <alignment horizontal="center" vertical="center"/>
      <protection hidden="1"/>
    </xf>
    <xf numFmtId="1" fontId="6" fillId="0" borderId="195" xfId="127" quotePrefix="1" applyNumberFormat="1" applyFont="1" applyBorder="1" applyAlignment="1" applyProtection="1">
      <alignment horizontal="center" vertical="center"/>
      <protection hidden="1"/>
    </xf>
    <xf numFmtId="1" fontId="14" fillId="0" borderId="0" xfId="127" applyNumberFormat="1" applyFont="1" applyAlignment="1" applyProtection="1">
      <alignment horizontal="left" vertical="center" wrapText="1"/>
      <protection hidden="1"/>
    </xf>
    <xf numFmtId="1" fontId="6" fillId="0" borderId="1" xfId="127" applyNumberFormat="1" applyFont="1" applyBorder="1" applyAlignment="1" applyProtection="1">
      <alignment horizontal="center" vertical="center"/>
      <protection hidden="1"/>
    </xf>
    <xf numFmtId="1" fontId="6" fillId="0" borderId="1" xfId="127" applyNumberFormat="1" applyFont="1" applyBorder="1" applyAlignment="1" applyProtection="1">
      <alignment horizontal="center" vertical="center" wrapText="1"/>
      <protection hidden="1"/>
    </xf>
    <xf numFmtId="1" fontId="14" fillId="0" borderId="93" xfId="127" applyNumberFormat="1" applyFont="1" applyBorder="1" applyAlignment="1" applyProtection="1">
      <alignment horizontal="left"/>
      <protection hidden="1"/>
    </xf>
    <xf numFmtId="1" fontId="14" fillId="0" borderId="4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left"/>
      <protection hidden="1"/>
    </xf>
    <xf numFmtId="1" fontId="6" fillId="0" borderId="64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left" vertical="center" wrapText="1"/>
      <protection hidden="1"/>
    </xf>
    <xf numFmtId="1" fontId="6" fillId="0" borderId="64" xfId="127" applyNumberFormat="1" applyFont="1" applyBorder="1" applyAlignment="1" applyProtection="1">
      <alignment horizontal="left" vertical="center" wrapText="1"/>
      <protection hidden="1"/>
    </xf>
    <xf numFmtId="1" fontId="14" fillId="0" borderId="93" xfId="0" applyNumberFormat="1" applyFont="1" applyBorder="1" applyAlignment="1">
      <alignment horizontal="left"/>
    </xf>
    <xf numFmtId="1" fontId="14" fillId="0" borderId="93" xfId="127" quotePrefix="1" applyNumberFormat="1" applyFont="1" applyBorder="1" applyAlignment="1" applyProtection="1">
      <alignment horizontal="left"/>
      <protection hidden="1"/>
    </xf>
    <xf numFmtId="1" fontId="14" fillId="0" borderId="4" xfId="127" quotePrefix="1" applyNumberFormat="1" applyFont="1" applyBorder="1" applyAlignment="1" applyProtection="1">
      <alignment horizontal="left"/>
      <protection hidden="1"/>
    </xf>
    <xf numFmtId="1" fontId="6" fillId="0" borderId="193" xfId="127" applyNumberFormat="1" applyFont="1" applyBorder="1" applyAlignment="1" applyProtection="1">
      <alignment horizontal="center" vertical="center" wrapText="1"/>
      <protection hidden="1"/>
    </xf>
    <xf numFmtId="1" fontId="6" fillId="0" borderId="76" xfId="127" applyNumberFormat="1" applyFont="1" applyBorder="1" applyAlignment="1" applyProtection="1">
      <alignment horizontal="center" vertical="center" wrapText="1"/>
      <protection hidden="1"/>
    </xf>
    <xf numFmtId="1" fontId="6" fillId="0" borderId="11" xfId="127" applyNumberFormat="1" applyFont="1" applyBorder="1" applyAlignment="1" applyProtection="1">
      <alignment horizontal="center" vertical="center" wrapText="1"/>
      <protection hidden="1"/>
    </xf>
    <xf numFmtId="1" fontId="6" fillId="0" borderId="70" xfId="127" applyNumberFormat="1" applyFont="1" applyBorder="1" applyAlignment="1" applyProtection="1">
      <alignment horizontal="left"/>
      <protection hidden="1"/>
    </xf>
    <xf numFmtId="1" fontId="6" fillId="0" borderId="131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center"/>
      <protection hidden="1"/>
    </xf>
    <xf numFmtId="1" fontId="6" fillId="0" borderId="64" xfId="127" applyNumberFormat="1" applyFont="1" applyBorder="1" applyAlignment="1" applyProtection="1">
      <alignment horizontal="center"/>
      <protection hidden="1"/>
    </xf>
    <xf numFmtId="1" fontId="6" fillId="0" borderId="67" xfId="127" applyNumberFormat="1" applyFont="1" applyBorder="1" applyAlignment="1" applyProtection="1">
      <alignment horizontal="left"/>
      <protection hidden="1"/>
    </xf>
    <xf numFmtId="1" fontId="6" fillId="0" borderId="129" xfId="127" applyNumberFormat="1" applyFont="1" applyBorder="1" applyAlignment="1" applyProtection="1">
      <alignment horizontal="left"/>
      <protection hidden="1"/>
    </xf>
    <xf numFmtId="1" fontId="6" fillId="0" borderId="201" xfId="127" applyNumberFormat="1" applyFont="1" applyBorder="1" applyAlignment="1" applyProtection="1">
      <alignment horizontal="center" vertical="center" wrapText="1"/>
      <protection hidden="1"/>
    </xf>
    <xf numFmtId="1" fontId="6" fillId="0" borderId="210" xfId="127" applyNumberFormat="1" applyFont="1" applyBorder="1" applyAlignment="1" applyProtection="1">
      <alignment horizontal="center" vertical="center" wrapText="1"/>
      <protection hidden="1"/>
    </xf>
    <xf numFmtId="1" fontId="6" fillId="0" borderId="187" xfId="127" applyNumberFormat="1" applyFont="1" applyBorder="1" applyAlignment="1" applyProtection="1">
      <alignment horizontal="center" vertical="center" wrapText="1"/>
      <protection hidden="1"/>
    </xf>
    <xf numFmtId="1" fontId="6" fillId="0" borderId="97" xfId="127" applyNumberFormat="1" applyFont="1" applyBorder="1" applyAlignment="1" applyProtection="1">
      <alignment horizontal="center" vertical="center" wrapText="1"/>
      <protection hidden="1"/>
    </xf>
    <xf numFmtId="1" fontId="6" fillId="0" borderId="94" xfId="127" applyNumberFormat="1" applyFont="1" applyBorder="1" applyAlignment="1" applyProtection="1">
      <alignment horizontal="center" vertical="center" wrapText="1"/>
      <protection hidden="1"/>
    </xf>
    <xf numFmtId="1" fontId="6" fillId="0" borderId="29" xfId="127" applyNumberFormat="1" applyFont="1" applyBorder="1" applyAlignment="1" applyProtection="1">
      <alignment horizontal="center" vertical="center" wrapText="1"/>
      <protection hidden="1"/>
    </xf>
    <xf numFmtId="1" fontId="6" fillId="0" borderId="72" xfId="127" applyNumberFormat="1" applyFont="1" applyBorder="1" applyAlignment="1" applyProtection="1">
      <alignment horizontal="left" vertical="center" wrapText="1"/>
      <protection hidden="1"/>
    </xf>
    <xf numFmtId="1" fontId="6" fillId="0" borderId="27" xfId="127" applyNumberFormat="1" applyFont="1" applyBorder="1" applyAlignment="1" applyProtection="1">
      <alignment horizontal="left" vertical="center" wrapText="1"/>
      <protection hidden="1"/>
    </xf>
    <xf numFmtId="1" fontId="6" fillId="0" borderId="73" xfId="127" applyNumberFormat="1" applyFont="1" applyBorder="1" applyAlignment="1" applyProtection="1">
      <alignment horizontal="left" vertical="center" wrapText="1"/>
      <protection hidden="1"/>
    </xf>
    <xf numFmtId="1" fontId="6" fillId="0" borderId="39" xfId="127" applyNumberFormat="1" applyFont="1" applyBorder="1" applyAlignment="1" applyProtection="1">
      <alignment horizontal="left" vertical="center" wrapText="1"/>
      <protection hidden="1"/>
    </xf>
    <xf numFmtId="1" fontId="6" fillId="0" borderId="77" xfId="127" applyNumberFormat="1" applyFont="1" applyBorder="1" applyAlignment="1" applyProtection="1">
      <alignment horizontal="left" vertical="center" wrapText="1"/>
      <protection hidden="1"/>
    </xf>
    <xf numFmtId="1" fontId="6" fillId="0" borderId="124" xfId="127" applyNumberFormat="1" applyFont="1" applyBorder="1" applyAlignment="1" applyProtection="1">
      <alignment horizontal="left" vertical="center" wrapText="1"/>
      <protection hidden="1"/>
    </xf>
    <xf numFmtId="1" fontId="10" fillId="0" borderId="208" xfId="127" applyNumberFormat="1" applyFont="1" applyBorder="1" applyAlignment="1" applyProtection="1">
      <alignment horizontal="center" vertical="center" wrapText="1"/>
      <protection hidden="1"/>
    </xf>
    <xf numFmtId="1" fontId="10" fillId="0" borderId="209" xfId="127" applyNumberFormat="1" applyFont="1" applyBorder="1" applyAlignment="1" applyProtection="1">
      <alignment horizontal="center" vertical="center" wrapText="1"/>
      <protection hidden="1"/>
    </xf>
    <xf numFmtId="1" fontId="10" fillId="0" borderId="208" xfId="127" quotePrefix="1" applyNumberFormat="1" applyFont="1" applyBorder="1" applyAlignment="1" applyProtection="1">
      <alignment horizontal="center" vertical="center" wrapText="1"/>
      <protection hidden="1"/>
    </xf>
    <xf numFmtId="1" fontId="10" fillId="0" borderId="209" xfId="127" quotePrefix="1" applyNumberFormat="1" applyFont="1" applyBorder="1" applyAlignment="1" applyProtection="1">
      <alignment horizontal="center" vertical="center" wrapText="1"/>
      <protection hidden="1"/>
    </xf>
    <xf numFmtId="1" fontId="6" fillId="0" borderId="68" xfId="127" applyNumberFormat="1" applyFont="1" applyBorder="1" applyAlignment="1" applyProtection="1">
      <alignment horizontal="left"/>
      <protection hidden="1"/>
    </xf>
    <xf numFmtId="1" fontId="6" fillId="0" borderId="107" xfId="127" applyNumberFormat="1" applyFont="1" applyBorder="1" applyAlignment="1" applyProtection="1">
      <alignment horizontal="left"/>
      <protection hidden="1"/>
    </xf>
    <xf numFmtId="1" fontId="6" fillId="0" borderId="73" xfId="127" applyNumberFormat="1" applyFont="1" applyBorder="1" applyAlignment="1" applyProtection="1">
      <alignment horizontal="left"/>
      <protection hidden="1"/>
    </xf>
    <xf numFmtId="1" fontId="6" fillId="0" borderId="39" xfId="127" applyNumberFormat="1" applyFont="1" applyBorder="1" applyAlignment="1" applyProtection="1">
      <alignment horizontal="left"/>
      <protection hidden="1"/>
    </xf>
    <xf numFmtId="1" fontId="6" fillId="0" borderId="77" xfId="127" applyNumberFormat="1" applyFont="1" applyBorder="1" applyAlignment="1" applyProtection="1">
      <alignment horizontal="left"/>
      <protection hidden="1"/>
    </xf>
    <xf numFmtId="1" fontId="6" fillId="0" borderId="124" xfId="127" applyNumberFormat="1" applyFont="1" applyBorder="1" applyAlignment="1" applyProtection="1">
      <alignment horizontal="left"/>
      <protection hidden="1"/>
    </xf>
    <xf numFmtId="1" fontId="6" fillId="0" borderId="1" xfId="129" applyNumberFormat="1" applyFont="1" applyBorder="1" applyAlignment="1" applyProtection="1">
      <alignment vertical="center" wrapText="1"/>
      <protection hidden="1"/>
    </xf>
    <xf numFmtId="1" fontId="6" fillId="0" borderId="11" xfId="129" applyNumberFormat="1" applyFont="1" applyBorder="1" applyAlignment="1" applyProtection="1">
      <alignment vertical="center" wrapText="1"/>
      <protection hidden="1"/>
    </xf>
    <xf numFmtId="1" fontId="6" fillId="0" borderId="72" xfId="129" quotePrefix="1" applyNumberFormat="1" applyFont="1" applyBorder="1" applyAlignment="1" applyProtection="1">
      <alignment horizontal="left" vertical="center" wrapText="1"/>
      <protection hidden="1"/>
    </xf>
    <xf numFmtId="1" fontId="6" fillId="0" borderId="77" xfId="129" applyNumberFormat="1" applyFont="1" applyBorder="1" applyAlignment="1" applyProtection="1">
      <alignment horizontal="left" vertical="center" wrapText="1"/>
      <protection hidden="1"/>
    </xf>
    <xf numFmtId="1" fontId="10" fillId="0" borderId="10" xfId="126" applyNumberFormat="1" applyFont="1" applyBorder="1" applyAlignment="1" applyProtection="1">
      <alignment horizontal="left" vertical="center" wrapText="1"/>
      <protection hidden="1"/>
    </xf>
    <xf numFmtId="1" fontId="6" fillId="0" borderId="93" xfId="0" applyNumberFormat="1" applyFont="1" applyBorder="1" applyAlignment="1">
      <alignment horizontal="left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49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97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" fontId="10" fillId="0" borderId="29" xfId="0" applyNumberFormat="1" applyFont="1" applyBorder="1" applyAlignment="1">
      <alignment horizontal="center" vertical="center" wrapText="1"/>
    </xf>
    <xf numFmtId="1" fontId="6" fillId="0" borderId="74" xfId="0" applyNumberFormat="1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" fontId="6" fillId="0" borderId="64" xfId="0" applyNumberFormat="1" applyFont="1" applyBorder="1" applyAlignment="1">
      <alignment horizontal="left" wrapText="1"/>
    </xf>
    <xf numFmtId="1" fontId="6" fillId="0" borderId="35" xfId="129" applyNumberFormat="1" applyFont="1" applyBorder="1" applyAlignment="1" applyProtection="1">
      <alignment vertical="center" wrapText="1"/>
      <protection hidden="1"/>
    </xf>
    <xf numFmtId="1" fontId="6" fillId="0" borderId="66" xfId="129" applyNumberFormat="1" applyFont="1" applyBorder="1" applyAlignment="1" applyProtection="1">
      <alignment vertical="center" wrapText="1"/>
      <protection hidden="1"/>
    </xf>
    <xf numFmtId="1" fontId="6" fillId="0" borderId="194" xfId="129" applyNumberFormat="1" applyFont="1" applyBorder="1" applyAlignment="1" applyProtection="1">
      <alignment horizontal="center" vertical="center" wrapText="1"/>
      <protection hidden="1"/>
    </xf>
    <xf numFmtId="1" fontId="6" fillId="0" borderId="97" xfId="129" applyNumberFormat="1" applyFont="1" applyBorder="1" applyAlignment="1" applyProtection="1">
      <alignment horizontal="center" vertical="center" wrapText="1"/>
      <protection hidden="1"/>
    </xf>
    <xf numFmtId="1" fontId="6" fillId="0" borderId="29" xfId="129" applyNumberFormat="1" applyFont="1" applyBorder="1" applyAlignment="1" applyProtection="1">
      <alignment horizontal="center" vertical="center" wrapText="1"/>
      <protection hidden="1"/>
    </xf>
    <xf numFmtId="1" fontId="6" fillId="0" borderId="1" xfId="113" applyNumberFormat="1" applyFont="1" applyBorder="1" applyAlignment="1" applyProtection="1">
      <alignment horizontal="center" vertical="center"/>
      <protection hidden="1"/>
    </xf>
    <xf numFmtId="1" fontId="6" fillId="0" borderId="124" xfId="129" applyNumberFormat="1" applyFont="1" applyBorder="1" applyAlignment="1" applyProtection="1">
      <alignment horizontal="left" vertical="center" wrapText="1"/>
      <protection hidden="1"/>
    </xf>
    <xf numFmtId="1" fontId="10" fillId="0" borderId="64" xfId="126" applyNumberFormat="1" applyFont="1" applyBorder="1" applyAlignment="1" applyProtection="1">
      <alignment horizontal="left" vertical="center" wrapText="1"/>
      <protection hidden="1"/>
    </xf>
    <xf numFmtId="1" fontId="6" fillId="0" borderId="30" xfId="129" applyNumberFormat="1" applyFont="1" applyBorder="1" applyAlignment="1" applyProtection="1">
      <alignment horizontal="center" vertical="center" wrapText="1"/>
      <protection hidden="1"/>
    </xf>
    <xf numFmtId="1" fontId="6" fillId="0" borderId="75" xfId="129" applyNumberFormat="1" applyFont="1" applyBorder="1" applyAlignment="1" applyProtection="1">
      <alignment horizontal="center" vertical="center" wrapText="1"/>
      <protection hidden="1"/>
    </xf>
    <xf numFmtId="1" fontId="6" fillId="0" borderId="35" xfId="129" quotePrefix="1" applyNumberFormat="1" applyFont="1" applyBorder="1" applyAlignment="1" applyProtection="1">
      <alignment horizontal="center" vertical="center" wrapText="1"/>
      <protection hidden="1"/>
    </xf>
    <xf numFmtId="1" fontId="6" fillId="0" borderId="66" xfId="129" applyNumberFormat="1" applyFont="1" applyBorder="1" applyAlignment="1" applyProtection="1">
      <alignment horizontal="center" vertical="center" wrapText="1"/>
      <protection hidden="1"/>
    </xf>
    <xf numFmtId="1" fontId="6" fillId="0" borderId="35" xfId="129" applyNumberFormat="1" applyFont="1" applyBorder="1" applyAlignment="1" applyProtection="1">
      <alignment horizontal="center" vertical="center" wrapText="1"/>
      <protection hidden="1"/>
    </xf>
    <xf numFmtId="1" fontId="6" fillId="0" borderId="45" xfId="129" applyNumberFormat="1" applyFont="1" applyBorder="1" applyAlignment="1" applyProtection="1">
      <alignment horizontal="center" vertical="center" wrapText="1"/>
      <protection hidden="1"/>
    </xf>
    <xf numFmtId="1" fontId="6" fillId="0" borderId="136" xfId="129" applyNumberFormat="1" applyFont="1" applyBorder="1" applyAlignment="1" applyProtection="1">
      <alignment horizontal="center" vertical="center" wrapText="1"/>
      <protection hidden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95" xfId="0" applyNumberFormat="1" applyFont="1" applyBorder="1" applyAlignment="1">
      <alignment horizontal="center" vertical="center" wrapText="1"/>
    </xf>
    <xf numFmtId="1" fontId="6" fillId="22" borderId="136" xfId="0" applyNumberFormat="1" applyFont="1" applyFill="1" applyBorder="1" applyAlignment="1">
      <alignment horizontal="center" vertical="center"/>
    </xf>
    <xf numFmtId="1" fontId="6" fillId="22" borderId="4" xfId="0" applyNumberFormat="1" applyFont="1" applyFill="1" applyBorder="1" applyAlignment="1">
      <alignment horizontal="center" vertical="center"/>
    </xf>
    <xf numFmtId="1" fontId="6" fillId="22" borderId="49" xfId="0" applyNumberFormat="1" applyFont="1" applyFill="1" applyBorder="1" applyAlignment="1">
      <alignment horizontal="center" vertical="center"/>
    </xf>
    <xf numFmtId="1" fontId="6" fillId="22" borderId="94" xfId="0" applyNumberFormat="1" applyFont="1" applyFill="1" applyBorder="1" applyAlignment="1">
      <alignment horizontal="center" vertical="center"/>
    </xf>
    <xf numFmtId="1" fontId="6" fillId="22" borderId="6" xfId="0" applyNumberFormat="1" applyFont="1" applyFill="1" applyBorder="1" applyAlignment="1">
      <alignment horizontal="center" vertical="center"/>
    </xf>
    <xf numFmtId="1" fontId="6" fillId="22" borderId="29" xfId="0" applyNumberFormat="1" applyFont="1" applyFill="1" applyBorder="1" applyAlignment="1">
      <alignment horizontal="center" vertical="center"/>
    </xf>
    <xf numFmtId="1" fontId="6" fillId="0" borderId="10" xfId="0" applyNumberFormat="1" applyFont="1" applyBorder="1" applyAlignment="1">
      <alignment horizontal="left" vertical="center" wrapText="1"/>
    </xf>
    <xf numFmtId="1" fontId="6" fillId="0" borderId="64" xfId="0" applyNumberFormat="1" applyFont="1" applyBorder="1" applyAlignment="1">
      <alignment horizontal="left" vertical="center" wrapText="1"/>
    </xf>
    <xf numFmtId="1" fontId="14" fillId="0" borderId="0" xfId="126" applyNumberFormat="1" applyFont="1" applyAlignment="1" applyProtection="1">
      <alignment horizontal="left" wrapText="1"/>
      <protection hidden="1"/>
    </xf>
    <xf numFmtId="1" fontId="14" fillId="0" borderId="0" xfId="126" applyNumberFormat="1" applyFont="1" applyAlignment="1" applyProtection="1">
      <alignment horizontal="left"/>
      <protection hidden="1"/>
    </xf>
    <xf numFmtId="1" fontId="10" fillId="0" borderId="93" xfId="126" applyNumberFormat="1" applyFont="1" applyBorder="1" applyAlignment="1" applyProtection="1">
      <alignment horizontal="left" vertical="center" wrapText="1"/>
      <protection hidden="1"/>
    </xf>
    <xf numFmtId="1" fontId="6" fillId="0" borderId="73" xfId="0" applyNumberFormat="1" applyFont="1" applyBorder="1" applyAlignment="1">
      <alignment horizontal="left" vertical="center" wrapText="1"/>
    </xf>
    <xf numFmtId="1" fontId="6" fillId="0" borderId="39" xfId="0" applyNumberFormat="1" applyFont="1" applyBorder="1" applyAlignment="1">
      <alignment horizontal="left" vertical="center" wrapText="1"/>
    </xf>
    <xf numFmtId="1" fontId="6" fillId="0" borderId="77" xfId="0" applyNumberFormat="1" applyFont="1" applyBorder="1" applyAlignment="1">
      <alignment horizontal="left" vertical="center" wrapText="1"/>
    </xf>
    <xf numFmtId="1" fontId="6" fillId="0" borderId="124" xfId="0" applyNumberFormat="1" applyFont="1" applyBorder="1" applyAlignment="1">
      <alignment horizontal="left" vertical="center" wrapText="1"/>
    </xf>
    <xf numFmtId="1" fontId="6" fillId="0" borderId="135" xfId="129" applyNumberFormat="1" applyFont="1" applyBorder="1" applyAlignment="1" applyProtection="1">
      <alignment horizontal="center" vertical="center" wrapText="1"/>
      <protection hidden="1"/>
    </xf>
    <xf numFmtId="1" fontId="6" fillId="0" borderId="76" xfId="129" applyNumberFormat="1" applyFont="1" applyBorder="1" applyAlignment="1" applyProtection="1">
      <alignment horizontal="center" vertical="center" wrapText="1"/>
      <protection hidden="1"/>
    </xf>
    <xf numFmtId="1" fontId="6" fillId="0" borderId="11" xfId="129" applyNumberFormat="1" applyFont="1" applyBorder="1" applyAlignment="1" applyProtection="1">
      <alignment horizontal="center" vertical="center" wrapText="1"/>
      <protection hidden="1"/>
    </xf>
    <xf numFmtId="1" fontId="6" fillId="0" borderId="194" xfId="0" applyNumberFormat="1" applyFont="1" applyBorder="1" applyAlignment="1">
      <alignment horizontal="center" vertical="center" wrapText="1"/>
    </xf>
    <xf numFmtId="1" fontId="14" fillId="0" borderId="0" xfId="126" applyNumberFormat="1" applyFont="1" applyAlignment="1" applyProtection="1">
      <alignment horizontal="center" vertical="center"/>
      <protection hidden="1"/>
    </xf>
    <xf numFmtId="1" fontId="6" fillId="0" borderId="6" xfId="0" applyNumberFormat="1" applyFont="1" applyBorder="1" applyAlignment="1">
      <alignment horizontal="center" vertical="center"/>
    </xf>
    <xf numFmtId="1" fontId="6" fillId="0" borderId="136" xfId="0" applyNumberFormat="1" applyFont="1" applyBorder="1" applyAlignment="1">
      <alignment horizontal="center" vertical="center"/>
    </xf>
    <xf numFmtId="1" fontId="6" fillId="0" borderId="49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6" fillId="0" borderId="97" xfId="0" applyNumberFormat="1" applyFont="1" applyBorder="1" applyAlignment="1">
      <alignment horizontal="center" vertical="center"/>
    </xf>
    <xf numFmtId="1" fontId="6" fillId="0" borderId="94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" fontId="14" fillId="0" borderId="6" xfId="126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center" vertical="center"/>
      <protection hidden="1"/>
    </xf>
    <xf numFmtId="1" fontId="6" fillId="0" borderId="93" xfId="127" applyNumberFormat="1" applyFont="1" applyBorder="1" applyAlignment="1" applyProtection="1">
      <alignment horizontal="center" vertical="center"/>
      <protection hidden="1"/>
    </xf>
    <xf numFmtId="1" fontId="6" fillId="22" borderId="164" xfId="0" applyNumberFormat="1" applyFont="1" applyFill="1" applyBorder="1" applyAlignment="1">
      <alignment horizontal="center" vertical="center" wrapText="1"/>
    </xf>
    <xf numFmtId="1" fontId="6" fillId="22" borderId="49" xfId="0" applyNumberFormat="1" applyFont="1" applyFill="1" applyBorder="1" applyAlignment="1">
      <alignment horizontal="center" vertical="center" wrapText="1"/>
    </xf>
    <xf numFmtId="1" fontId="6" fillId="22" borderId="166" xfId="0" applyNumberFormat="1" applyFont="1" applyFill="1" applyBorder="1" applyAlignment="1">
      <alignment horizontal="center" vertical="center" wrapText="1"/>
    </xf>
    <xf numFmtId="1" fontId="6" fillId="22" borderId="29" xfId="0" applyNumberFormat="1" applyFont="1" applyFill="1" applyBorder="1" applyAlignment="1">
      <alignment horizontal="center" vertical="center" wrapText="1"/>
    </xf>
    <xf numFmtId="1" fontId="6" fillId="0" borderId="1" xfId="109" applyNumberFormat="1" applyFont="1" applyBorder="1" applyAlignment="1">
      <alignment horizontal="center" vertical="center" wrapText="1"/>
    </xf>
    <xf numFmtId="1" fontId="6" fillId="22" borderId="4" xfId="0" applyNumberFormat="1" applyFont="1" applyFill="1" applyBorder="1" applyAlignment="1">
      <alignment horizontal="center" vertical="center" wrapText="1"/>
    </xf>
    <xf numFmtId="1" fontId="6" fillId="22" borderId="6" xfId="0" applyNumberFormat="1" applyFont="1" applyFill="1" applyBorder="1" applyAlignment="1">
      <alignment horizontal="center" vertical="center" wrapText="1"/>
    </xf>
    <xf numFmtId="1" fontId="6" fillId="22" borderId="200" xfId="0" applyNumberFormat="1" applyFont="1" applyFill="1" applyBorder="1" applyAlignment="1">
      <alignment horizontal="center" vertical="center" wrapText="1"/>
    </xf>
    <xf numFmtId="1" fontId="6" fillId="22" borderId="156" xfId="0" applyNumberFormat="1" applyFont="1" applyFill="1" applyBorder="1" applyAlignment="1">
      <alignment horizontal="center" vertical="center" wrapText="1"/>
    </xf>
    <xf numFmtId="1" fontId="6" fillId="22" borderId="193" xfId="0" applyNumberFormat="1" applyFont="1" applyFill="1" applyBorder="1" applyAlignment="1">
      <alignment horizontal="center" vertical="center" wrapText="1"/>
    </xf>
    <xf numFmtId="1" fontId="6" fillId="22" borderId="76" xfId="0" applyNumberFormat="1" applyFont="1" applyFill="1" applyBorder="1" applyAlignment="1">
      <alignment horizontal="center" vertical="center" wrapText="1"/>
    </xf>
    <xf numFmtId="1" fontId="6" fillId="22" borderId="11" xfId="0" applyNumberFormat="1" applyFont="1" applyFill="1" applyBorder="1" applyAlignment="1">
      <alignment horizontal="center" vertical="center" wrapText="1"/>
    </xf>
    <xf numFmtId="1" fontId="6" fillId="22" borderId="97" xfId="0" applyNumberFormat="1" applyFont="1" applyFill="1" applyBorder="1" applyAlignment="1">
      <alignment horizontal="center" vertical="center" wrapText="1"/>
    </xf>
    <xf numFmtId="1" fontId="6" fillId="22" borderId="136" xfId="0" applyNumberFormat="1" applyFont="1" applyFill="1" applyBorder="1" applyAlignment="1">
      <alignment horizontal="center" vertical="center" wrapText="1"/>
    </xf>
    <xf numFmtId="1" fontId="6" fillId="22" borderId="94" xfId="0" applyNumberFormat="1" applyFont="1" applyFill="1" applyBorder="1" applyAlignment="1">
      <alignment horizontal="center" vertical="center" wrapText="1"/>
    </xf>
    <xf numFmtId="1" fontId="6" fillId="22" borderId="135" xfId="0" applyNumberFormat="1" applyFont="1" applyFill="1" applyBorder="1" applyAlignment="1">
      <alignment horizontal="center" vertical="center" wrapText="1"/>
    </xf>
    <xf numFmtId="1" fontId="6" fillId="21" borderId="193" xfId="0" applyNumberFormat="1" applyFont="1" applyFill="1" applyBorder="1" applyAlignment="1">
      <alignment horizontal="center" vertical="center" wrapText="1"/>
    </xf>
    <xf numFmtId="1" fontId="6" fillId="21" borderId="11" xfId="0" applyNumberFormat="1" applyFont="1" applyFill="1" applyBorder="1" applyAlignment="1">
      <alignment horizontal="center" vertical="center" wrapText="1"/>
    </xf>
    <xf numFmtId="1" fontId="6" fillId="21" borderId="208" xfId="0" applyNumberFormat="1" applyFont="1" applyFill="1" applyBorder="1" applyAlignment="1">
      <alignment horizontal="center" vertical="center" wrapText="1"/>
    </xf>
    <xf numFmtId="1" fontId="6" fillId="21" borderId="229" xfId="0" applyNumberFormat="1" applyFont="1" applyFill="1" applyBorder="1" applyAlignment="1">
      <alignment horizontal="center" vertical="center" wrapText="1"/>
    </xf>
    <xf numFmtId="1" fontId="6" fillId="22" borderId="199" xfId="0" applyNumberFormat="1" applyFont="1" applyFill="1" applyBorder="1" applyAlignment="1">
      <alignment horizontal="center" vertical="center" wrapText="1"/>
    </xf>
    <xf numFmtId="1" fontId="6" fillId="22" borderId="172" xfId="0" applyNumberFormat="1" applyFont="1" applyFill="1" applyBorder="1" applyAlignment="1">
      <alignment horizontal="center" vertical="center" wrapText="1"/>
    </xf>
    <xf numFmtId="0" fontId="32" fillId="0" borderId="182" xfId="0" applyFont="1" applyBorder="1" applyAlignment="1">
      <alignment horizontal="center" vertical="center"/>
    </xf>
    <xf numFmtId="0" fontId="32" fillId="0" borderId="93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center"/>
    </xf>
    <xf numFmtId="1" fontId="14" fillId="0" borderId="0" xfId="128" applyNumberFormat="1" applyFont="1" applyAlignment="1" applyProtection="1">
      <alignment horizontal="center" vertical="center" wrapText="1"/>
      <protection hidden="1"/>
    </xf>
    <xf numFmtId="0" fontId="30" fillId="0" borderId="36" xfId="0" applyFont="1" applyBorder="1" applyAlignment="1">
      <alignment vertical="center" wrapText="1"/>
    </xf>
    <xf numFmtId="0" fontId="30" fillId="0" borderId="69" xfId="0" applyFont="1" applyBorder="1" applyAlignment="1">
      <alignment vertical="center" wrapText="1"/>
    </xf>
    <xf numFmtId="0" fontId="30" fillId="0" borderId="24" xfId="0" applyFont="1" applyBorder="1" applyAlignment="1">
      <alignment vertical="center" wrapText="1"/>
    </xf>
    <xf numFmtId="0" fontId="30" fillId="0" borderId="86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0" fillId="0" borderId="29" xfId="0" applyFont="1" applyBorder="1" applyAlignment="1">
      <alignment vertical="center" wrapText="1"/>
    </xf>
    <xf numFmtId="0" fontId="30" fillId="0" borderId="125" xfId="0" applyFont="1" applyBorder="1" applyAlignment="1">
      <alignment vertical="center" wrapText="1"/>
    </xf>
    <xf numFmtId="0" fontId="30" fillId="0" borderId="39" xfId="0" applyFont="1" applyBorder="1" applyAlignment="1">
      <alignment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97" xfId="0" applyFont="1" applyBorder="1" applyAlignment="1">
      <alignment horizontal="center" vertical="center" wrapText="1"/>
    </xf>
    <xf numFmtId="0" fontId="30" fillId="0" borderId="85" xfId="0" applyFont="1" applyBorder="1" applyAlignment="1">
      <alignment vertical="center" wrapText="1"/>
    </xf>
    <xf numFmtId="0" fontId="30" fillId="0" borderId="83" xfId="0" applyFont="1" applyBorder="1" applyAlignment="1">
      <alignment vertical="center" wrapText="1"/>
    </xf>
    <xf numFmtId="0" fontId="30" fillId="0" borderId="204" xfId="0" applyFont="1" applyBorder="1" applyAlignment="1">
      <alignment horizontal="center" vertical="center" wrapText="1"/>
    </xf>
    <xf numFmtId="0" fontId="30" fillId="0" borderId="167" xfId="0" applyFont="1" applyBorder="1" applyAlignment="1">
      <alignment horizontal="center" vertical="center" wrapText="1"/>
    </xf>
    <xf numFmtId="0" fontId="30" fillId="0" borderId="168" xfId="0" applyFont="1" applyBorder="1" applyAlignment="1">
      <alignment horizontal="center" vertical="center" wrapText="1"/>
    </xf>
    <xf numFmtId="1" fontId="14" fillId="22" borderId="0" xfId="0" applyNumberFormat="1" applyFont="1" applyFill="1" applyAlignment="1">
      <alignment horizontal="center"/>
    </xf>
    <xf numFmtId="1" fontId="6" fillId="0" borderId="9" xfId="126" applyNumberFormat="1" applyFont="1" applyBorder="1" applyAlignment="1" applyProtection="1">
      <alignment horizontal="center" vertical="center" wrapText="1"/>
      <protection hidden="1"/>
    </xf>
    <xf numFmtId="1" fontId="6" fillId="0" borderId="0" xfId="126" applyNumberFormat="1" applyFont="1" applyAlignment="1" applyProtection="1">
      <alignment horizontal="center" vertical="center" wrapText="1"/>
      <protection hidden="1"/>
    </xf>
    <xf numFmtId="1" fontId="6" fillId="22" borderId="0" xfId="0" applyNumberFormat="1" applyFont="1" applyFill="1" applyAlignment="1">
      <alignment horizontal="center" vertical="center" wrapText="1"/>
    </xf>
    <xf numFmtId="1" fontId="6" fillId="22" borderId="64" xfId="0" applyNumberFormat="1" applyFont="1" applyFill="1" applyBorder="1" applyAlignment="1">
      <alignment horizontal="center" vertical="center" wrapText="1"/>
    </xf>
    <xf numFmtId="1" fontId="6" fillId="22" borderId="1" xfId="0" applyNumberFormat="1" applyFont="1" applyFill="1" applyBorder="1" applyAlignment="1">
      <alignment horizontal="center" vertical="center" wrapText="1"/>
    </xf>
    <xf numFmtId="1" fontId="6" fillId="0" borderId="191" xfId="126" applyNumberFormat="1" applyFont="1" applyBorder="1" applyAlignment="1" applyProtection="1">
      <alignment horizontal="center" vertical="center" wrapText="1"/>
      <protection hidden="1"/>
    </xf>
    <xf numFmtId="1" fontId="6" fillId="0" borderId="93" xfId="126" applyNumberFormat="1" applyFont="1" applyBorder="1" applyAlignment="1" applyProtection="1">
      <alignment horizontal="center" vertical="center" wrapText="1"/>
      <protection hidden="1"/>
    </xf>
    <xf numFmtId="1" fontId="6" fillId="0" borderId="64" xfId="126" applyNumberFormat="1" applyFont="1" applyBorder="1" applyAlignment="1" applyProtection="1">
      <alignment horizontal="center" vertical="center" wrapText="1"/>
      <protection hidden="1"/>
    </xf>
    <xf numFmtId="1" fontId="6" fillId="0" borderId="122" xfId="126" applyNumberFormat="1" applyFont="1" applyBorder="1" applyAlignment="1" applyProtection="1">
      <alignment horizontal="center" vertical="center" wrapText="1"/>
      <protection hidden="1"/>
    </xf>
    <xf numFmtId="1" fontId="6" fillId="0" borderId="192" xfId="126" applyNumberFormat="1" applyFont="1" applyBorder="1" applyAlignment="1" applyProtection="1">
      <alignment horizontal="center" vertical="center" wrapText="1"/>
      <protection hidden="1"/>
    </xf>
    <xf numFmtId="1" fontId="6" fillId="0" borderId="10" xfId="126" applyNumberFormat="1" applyFont="1" applyBorder="1" applyAlignment="1" applyProtection="1">
      <alignment horizontal="center" vertical="center" wrapText="1"/>
      <protection hidden="1"/>
    </xf>
    <xf numFmtId="1" fontId="6" fillId="22" borderId="165" xfId="0" applyNumberFormat="1" applyFont="1" applyFill="1" applyBorder="1" applyAlignment="1">
      <alignment horizontal="center" vertical="center" wrapText="1"/>
    </xf>
    <xf numFmtId="1" fontId="6" fillId="22" borderId="9" xfId="0" applyNumberFormat="1" applyFont="1" applyFill="1" applyBorder="1" applyAlignment="1">
      <alignment horizontal="center" vertical="center" wrapText="1"/>
    </xf>
    <xf numFmtId="1" fontId="6" fillId="22" borderId="158" xfId="0" applyNumberFormat="1" applyFont="1" applyFill="1" applyBorder="1" applyAlignment="1">
      <alignment horizontal="center" vertical="center" wrapText="1"/>
    </xf>
    <xf numFmtId="1" fontId="6" fillId="22" borderId="141" xfId="0" applyNumberFormat="1" applyFont="1" applyFill="1" applyBorder="1" applyAlignment="1">
      <alignment horizontal="center" vertical="center" wrapText="1"/>
    </xf>
    <xf numFmtId="1" fontId="6" fillId="22" borderId="201" xfId="0" applyNumberFormat="1" applyFont="1" applyFill="1" applyBorder="1" applyAlignment="1">
      <alignment horizontal="center" vertical="center" wrapText="1"/>
    </xf>
    <xf numFmtId="1" fontId="6" fillId="22" borderId="187" xfId="0" applyNumberFormat="1" applyFont="1" applyFill="1" applyBorder="1" applyAlignment="1">
      <alignment horizontal="center" vertical="center" wrapText="1"/>
    </xf>
    <xf numFmtId="1" fontId="6" fillId="22" borderId="62" xfId="0" applyNumberFormat="1" applyFont="1" applyFill="1" applyBorder="1" applyAlignment="1">
      <alignment horizontal="center" vertical="center" wrapText="1"/>
    </xf>
    <xf numFmtId="1" fontId="6" fillId="22" borderId="207" xfId="0" applyNumberFormat="1" applyFont="1" applyFill="1" applyBorder="1" applyAlignment="1">
      <alignment horizontal="center" vertical="center" wrapText="1"/>
    </xf>
    <xf numFmtId="1" fontId="6" fillId="22" borderId="35" xfId="0" applyNumberFormat="1" applyFont="1" applyFill="1" applyBorder="1" applyAlignment="1">
      <alignment horizontal="left"/>
    </xf>
    <xf numFmtId="1" fontId="6" fillId="22" borderId="10" xfId="0" applyNumberFormat="1" applyFont="1" applyFill="1" applyBorder="1" applyAlignment="1">
      <alignment horizontal="center" vertical="center" wrapText="1"/>
    </xf>
    <xf numFmtId="1" fontId="6" fillId="22" borderId="35" xfId="0" applyNumberFormat="1" applyFont="1" applyFill="1" applyBorder="1" applyAlignment="1">
      <alignment horizontal="left" wrapText="1"/>
    </xf>
    <xf numFmtId="1" fontId="6" fillId="22" borderId="11" xfId="0" applyNumberFormat="1" applyFont="1" applyFill="1" applyBorder="1" applyAlignment="1">
      <alignment horizontal="left" wrapText="1"/>
    </xf>
    <xf numFmtId="1" fontId="6" fillId="22" borderId="73" xfId="0" applyNumberFormat="1" applyFont="1" applyFill="1" applyBorder="1" applyAlignment="1">
      <alignment horizontal="left" wrapText="1"/>
    </xf>
    <xf numFmtId="1" fontId="6" fillId="22" borderId="39" xfId="0" applyNumberFormat="1" applyFont="1" applyFill="1" applyBorder="1" applyAlignment="1">
      <alignment horizontal="left" wrapText="1"/>
    </xf>
    <xf numFmtId="1" fontId="6" fillId="22" borderId="76" xfId="0" applyNumberFormat="1" applyFont="1" applyFill="1" applyBorder="1" applyAlignment="1">
      <alignment vertical="center" wrapText="1"/>
    </xf>
    <xf numFmtId="1" fontId="6" fillId="22" borderId="11" xfId="0" applyNumberFormat="1" applyFont="1" applyFill="1" applyBorder="1" applyAlignment="1">
      <alignment vertical="center" wrapText="1"/>
    </xf>
    <xf numFmtId="1" fontId="6" fillId="22" borderId="135" xfId="0" applyNumberFormat="1" applyFont="1" applyFill="1" applyBorder="1" applyAlignment="1">
      <alignment vertical="center" wrapText="1"/>
    </xf>
    <xf numFmtId="1" fontId="6" fillId="22" borderId="135" xfId="0" applyNumberFormat="1" applyFont="1" applyFill="1" applyBorder="1" applyAlignment="1">
      <alignment vertical="center"/>
    </xf>
    <xf numFmtId="1" fontId="6" fillId="22" borderId="11" xfId="0" applyNumberFormat="1" applyFont="1" applyFill="1" applyBorder="1" applyAlignment="1">
      <alignment vertical="center"/>
    </xf>
    <xf numFmtId="1" fontId="6" fillId="22" borderId="135" xfId="0" applyNumberFormat="1" applyFont="1" applyFill="1" applyBorder="1" applyAlignment="1">
      <alignment horizontal="left" vertical="center" wrapText="1"/>
    </xf>
    <xf numFmtId="1" fontId="6" fillId="22" borderId="76" xfId="0" applyNumberFormat="1" applyFont="1" applyFill="1" applyBorder="1" applyAlignment="1">
      <alignment horizontal="left" vertical="center" wrapText="1"/>
    </xf>
    <xf numFmtId="1" fontId="6" fillId="22" borderId="77" xfId="0" applyNumberFormat="1" applyFont="1" applyFill="1" applyBorder="1" applyAlignment="1">
      <alignment horizontal="left" wrapText="1"/>
    </xf>
    <xf numFmtId="1" fontId="6" fillId="22" borderId="124" xfId="0" applyNumberFormat="1" applyFont="1" applyFill="1" applyBorder="1" applyAlignment="1">
      <alignment horizontal="left" wrapText="1"/>
    </xf>
    <xf numFmtId="1" fontId="6" fillId="22" borderId="72" xfId="0" applyNumberFormat="1" applyFont="1" applyFill="1" applyBorder="1" applyAlignment="1">
      <alignment horizontal="left" wrapText="1"/>
    </xf>
    <xf numFmtId="1" fontId="6" fillId="22" borderId="27" xfId="0" applyNumberFormat="1" applyFont="1" applyFill="1" applyBorder="1" applyAlignment="1">
      <alignment horizontal="left" wrapText="1"/>
    </xf>
    <xf numFmtId="1" fontId="10" fillId="22" borderId="201" xfId="0" applyNumberFormat="1" applyFont="1" applyFill="1" applyBorder="1" applyAlignment="1">
      <alignment horizontal="center" vertical="center" wrapText="1"/>
    </xf>
    <xf numFmtId="1" fontId="10" fillId="22" borderId="49" xfId="0" applyNumberFormat="1" applyFont="1" applyFill="1" applyBorder="1" applyAlignment="1">
      <alignment horizontal="center" vertical="center" wrapText="1"/>
    </xf>
    <xf numFmtId="1" fontId="10" fillId="22" borderId="187" xfId="0" applyNumberFormat="1" applyFont="1" applyFill="1" applyBorder="1" applyAlignment="1">
      <alignment horizontal="center" vertical="center" wrapText="1"/>
    </xf>
    <xf numFmtId="1" fontId="10" fillId="22" borderId="97" xfId="0" applyNumberFormat="1" applyFont="1" applyFill="1" applyBorder="1" applyAlignment="1">
      <alignment horizontal="center" vertical="center" wrapText="1"/>
    </xf>
    <xf numFmtId="1" fontId="10" fillId="22" borderId="94" xfId="0" applyNumberFormat="1" applyFont="1" applyFill="1" applyBorder="1" applyAlignment="1">
      <alignment horizontal="center" vertical="center" wrapText="1"/>
    </xf>
    <xf numFmtId="1" fontId="10" fillId="22" borderId="29" xfId="0" applyNumberFormat="1" applyFont="1" applyFill="1" applyBorder="1" applyAlignment="1">
      <alignment horizontal="center" vertical="center" wrapText="1"/>
    </xf>
    <xf numFmtId="1" fontId="6" fillId="22" borderId="89" xfId="0" applyNumberFormat="1" applyFont="1" applyFill="1" applyBorder="1" applyAlignment="1">
      <alignment horizontal="left" wrapText="1"/>
    </xf>
    <xf numFmtId="1" fontId="6" fillId="22" borderId="44" xfId="0" applyNumberFormat="1" applyFont="1" applyFill="1" applyBorder="1" applyAlignment="1">
      <alignment horizontal="left" wrapText="1"/>
    </xf>
    <xf numFmtId="1" fontId="10" fillId="22" borderId="136" xfId="0" applyNumberFormat="1" applyFont="1" applyFill="1" applyBorder="1" applyAlignment="1">
      <alignment horizontal="center" vertical="center" wrapText="1"/>
    </xf>
    <xf numFmtId="1" fontId="10" fillId="22" borderId="9" xfId="0" applyNumberFormat="1" applyFont="1" applyFill="1" applyBorder="1" applyAlignment="1">
      <alignment horizontal="center" vertical="center" wrapText="1"/>
    </xf>
    <xf numFmtId="1" fontId="6" fillId="22" borderId="119" xfId="0" applyNumberFormat="1" applyFont="1" applyFill="1" applyBorder="1" applyAlignment="1">
      <alignment horizontal="center" vertical="center" wrapText="1"/>
    </xf>
    <xf numFmtId="1" fontId="6" fillId="22" borderId="209" xfId="0" applyNumberFormat="1" applyFont="1" applyFill="1" applyBorder="1" applyAlignment="1">
      <alignment horizontal="center" vertical="center" wrapText="1"/>
    </xf>
    <xf numFmtId="1" fontId="10" fillId="22" borderId="1" xfId="0" applyNumberFormat="1" applyFont="1" applyFill="1" applyBorder="1" applyAlignment="1">
      <alignment horizontal="center" vertical="center" wrapText="1"/>
    </xf>
    <xf numFmtId="1" fontId="6" fillId="22" borderId="35" xfId="0" applyNumberFormat="1" applyFont="1" applyFill="1" applyBorder="1" applyAlignment="1">
      <alignment horizontal="left" vertical="center" wrapText="1"/>
    </xf>
    <xf numFmtId="1" fontId="6" fillId="22" borderId="77" xfId="0" applyNumberFormat="1" applyFont="1" applyFill="1" applyBorder="1" applyAlignment="1">
      <alignment horizontal="left" vertical="center" wrapText="1"/>
    </xf>
    <xf numFmtId="1" fontId="6" fillId="22" borderId="124" xfId="0" applyNumberFormat="1" applyFont="1" applyFill="1" applyBorder="1" applyAlignment="1">
      <alignment horizontal="left" vertical="center" wrapText="1"/>
    </xf>
    <xf numFmtId="1" fontId="10" fillId="0" borderId="10" xfId="126" applyNumberFormat="1" applyFont="1" applyBorder="1" applyAlignment="1" applyProtection="1">
      <alignment horizontal="center" vertical="center" wrapText="1"/>
      <protection hidden="1"/>
    </xf>
    <xf numFmtId="1" fontId="10" fillId="0" borderId="64" xfId="126" applyNumberFormat="1" applyFont="1" applyBorder="1" applyAlignment="1" applyProtection="1">
      <alignment horizontal="center" vertical="center" wrapText="1"/>
      <protection hidden="1"/>
    </xf>
    <xf numFmtId="1" fontId="6" fillId="29" borderId="135" xfId="0" applyNumberFormat="1" applyFont="1" applyFill="1" applyBorder="1" applyAlignment="1">
      <alignment horizontal="center" vertical="center" wrapText="1"/>
    </xf>
    <xf numFmtId="1" fontId="6" fillId="29" borderId="11" xfId="0" applyNumberFormat="1" applyFont="1" applyFill="1" applyBorder="1" applyAlignment="1">
      <alignment horizontal="center" vertical="center" wrapText="1"/>
    </xf>
    <xf numFmtId="1" fontId="6" fillId="21" borderId="135" xfId="0" applyNumberFormat="1" applyFont="1" applyFill="1" applyBorder="1" applyAlignment="1">
      <alignment horizontal="center" vertical="center" wrapText="1"/>
    </xf>
    <xf numFmtId="1" fontId="6" fillId="21" borderId="76" xfId="0" applyNumberFormat="1" applyFont="1" applyFill="1" applyBorder="1" applyAlignment="1">
      <alignment horizontal="center" vertical="center" wrapText="1"/>
    </xf>
    <xf numFmtId="1" fontId="6" fillId="0" borderId="198" xfId="0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>
      <alignment horizontal="center" vertical="center" wrapText="1"/>
    </xf>
    <xf numFmtId="1" fontId="6" fillId="0" borderId="96" xfId="0" applyNumberFormat="1" applyFont="1" applyBorder="1" applyAlignment="1">
      <alignment horizontal="center" vertical="center" wrapText="1"/>
    </xf>
    <xf numFmtId="1" fontId="6" fillId="17" borderId="1" xfId="109" applyNumberFormat="1" applyFont="1" applyFill="1" applyBorder="1" applyAlignment="1">
      <alignment horizontal="center" vertical="center" wrapText="1"/>
    </xf>
    <xf numFmtId="1" fontId="6" fillId="17" borderId="136" xfId="109" applyNumberFormat="1" applyFont="1" applyFill="1" applyBorder="1" applyAlignment="1">
      <alignment horizontal="center" vertical="center" wrapText="1"/>
    </xf>
    <xf numFmtId="1" fontId="6" fillId="17" borderId="4" xfId="109" applyNumberFormat="1" applyFont="1" applyFill="1" applyBorder="1" applyAlignment="1">
      <alignment horizontal="center" vertical="center" wrapText="1"/>
    </xf>
    <xf numFmtId="1" fontId="6" fillId="17" borderId="49" xfId="109" applyNumberFormat="1" applyFont="1" applyFill="1" applyBorder="1" applyAlignment="1">
      <alignment horizontal="center" vertical="center" wrapText="1"/>
    </xf>
    <xf numFmtId="1" fontId="6" fillId="17" borderId="94" xfId="109" applyNumberFormat="1" applyFont="1" applyFill="1" applyBorder="1" applyAlignment="1">
      <alignment horizontal="center" vertical="center" wrapText="1"/>
    </xf>
    <xf numFmtId="1" fontId="6" fillId="17" borderId="6" xfId="109" applyNumberFormat="1" applyFont="1" applyFill="1" applyBorder="1" applyAlignment="1">
      <alignment horizontal="center" vertical="center" wrapText="1"/>
    </xf>
    <xf numFmtId="1" fontId="6" fillId="17" borderId="29" xfId="109" applyNumberFormat="1" applyFont="1" applyFill="1" applyBorder="1" applyAlignment="1">
      <alignment horizontal="center" vertical="center" wrapText="1"/>
    </xf>
    <xf numFmtId="1" fontId="6" fillId="0" borderId="93" xfId="0" applyNumberFormat="1" applyFont="1" applyBorder="1" applyAlignment="1">
      <alignment horizontal="center" vertical="center"/>
    </xf>
    <xf numFmtId="1" fontId="6" fillId="0" borderId="63" xfId="0" applyNumberFormat="1" applyFont="1" applyBorder="1" applyAlignment="1">
      <alignment horizontal="center" vertical="center"/>
    </xf>
    <xf numFmtId="1" fontId="6" fillId="17" borderId="10" xfId="109" applyNumberFormat="1" applyFont="1" applyFill="1" applyBorder="1" applyAlignment="1">
      <alignment horizontal="center" vertical="center" wrapText="1"/>
    </xf>
    <xf numFmtId="1" fontId="6" fillId="17" borderId="93" xfId="109" applyNumberFormat="1" applyFont="1" applyFill="1" applyBorder="1" applyAlignment="1">
      <alignment horizontal="center" vertical="center" wrapText="1"/>
    </xf>
    <xf numFmtId="1" fontId="6" fillId="0" borderId="63" xfId="0" applyNumberFormat="1" applyFont="1" applyBorder="1" applyAlignment="1">
      <alignment horizontal="center" vertical="center" wrapText="1"/>
    </xf>
    <xf numFmtId="1" fontId="6" fillId="0" borderId="93" xfId="0" applyNumberFormat="1" applyFont="1" applyBorder="1" applyAlignment="1">
      <alignment horizontal="center" vertical="center" wrapText="1"/>
    </xf>
    <xf numFmtId="1" fontId="6" fillId="17" borderId="64" xfId="109" applyNumberFormat="1" applyFont="1" applyFill="1" applyBorder="1" applyAlignment="1">
      <alignment horizontal="center" vertical="center" wrapText="1"/>
    </xf>
    <xf numFmtId="1" fontId="14" fillId="17" borderId="0" xfId="127" applyNumberFormat="1" applyFont="1" applyFill="1" applyAlignment="1" applyProtection="1">
      <alignment horizontal="center" vertical="center" wrapText="1"/>
      <protection hidden="1"/>
    </xf>
    <xf numFmtId="1" fontId="6" fillId="17" borderId="76" xfId="123" applyNumberFormat="1" applyFont="1" applyFill="1" applyBorder="1" applyAlignment="1">
      <alignment horizontal="center" vertical="center"/>
    </xf>
    <xf numFmtId="1" fontId="6" fillId="17" borderId="11" xfId="123" applyNumberFormat="1" applyFont="1" applyFill="1" applyBorder="1" applyAlignment="1">
      <alignment horizontal="center" vertical="center"/>
    </xf>
    <xf numFmtId="1" fontId="6" fillId="0" borderId="197" xfId="0" applyNumberFormat="1" applyFont="1" applyBorder="1" applyAlignment="1">
      <alignment horizontal="center" vertical="center" wrapText="1"/>
    </xf>
    <xf numFmtId="1" fontId="6" fillId="0" borderId="117" xfId="0" applyNumberFormat="1" applyFont="1" applyBorder="1" applyAlignment="1">
      <alignment horizontal="center" vertical="center" wrapText="1"/>
    </xf>
    <xf numFmtId="1" fontId="6" fillId="0" borderId="224" xfId="0" applyNumberFormat="1" applyFont="1" applyBorder="1" applyAlignment="1">
      <alignment horizontal="center" vertical="center" wrapText="1"/>
    </xf>
    <xf numFmtId="1" fontId="6" fillId="0" borderId="88" xfId="0" applyNumberFormat="1" applyFont="1" applyBorder="1" applyAlignment="1">
      <alignment horizontal="center" vertical="center" wrapText="1"/>
    </xf>
    <xf numFmtId="1" fontId="6" fillId="0" borderId="84" xfId="0" applyNumberFormat="1" applyFont="1" applyBorder="1" applyAlignment="1">
      <alignment horizontal="center" vertical="center" wrapText="1"/>
    </xf>
    <xf numFmtId="1" fontId="6" fillId="0" borderId="211" xfId="0" applyNumberFormat="1" applyFont="1" applyBorder="1" applyAlignment="1">
      <alignment horizontal="center" vertical="center" wrapText="1"/>
    </xf>
    <xf numFmtId="1" fontId="6" fillId="0" borderId="10" xfId="0" quotePrefix="1" applyNumberFormat="1" applyFont="1" applyBorder="1" applyAlignment="1">
      <alignment horizontal="center" vertical="center" wrapText="1"/>
    </xf>
    <xf numFmtId="1" fontId="6" fillId="0" borderId="64" xfId="0" quotePrefix="1" applyNumberFormat="1" applyFont="1" applyBorder="1" applyAlignment="1">
      <alignment horizontal="center" vertical="center" wrapText="1"/>
    </xf>
    <xf numFmtId="1" fontId="6" fillId="21" borderId="136" xfId="0" applyNumberFormat="1" applyFont="1" applyFill="1" applyBorder="1" applyAlignment="1">
      <alignment horizontal="center" vertical="center" wrapText="1"/>
    </xf>
    <xf numFmtId="1" fontId="6" fillId="21" borderId="49" xfId="0" applyNumberFormat="1" applyFont="1" applyFill="1" applyBorder="1" applyAlignment="1">
      <alignment horizontal="center" vertical="center" wrapText="1"/>
    </xf>
    <xf numFmtId="1" fontId="6" fillId="21" borderId="94" xfId="0" applyNumberFormat="1" applyFont="1" applyFill="1" applyBorder="1" applyAlignment="1">
      <alignment horizontal="center" vertical="center" wrapText="1"/>
    </xf>
    <xf numFmtId="1" fontId="6" fillId="21" borderId="29" xfId="0" applyNumberFormat="1" applyFont="1" applyFill="1" applyBorder="1" applyAlignment="1">
      <alignment horizontal="center" vertical="center" wrapText="1"/>
    </xf>
    <xf numFmtId="1" fontId="6" fillId="17" borderId="135" xfId="123" applyNumberFormat="1" applyFont="1" applyFill="1" applyBorder="1" applyAlignment="1">
      <alignment horizontal="center" vertical="center"/>
    </xf>
    <xf numFmtId="1" fontId="6" fillId="17" borderId="0" xfId="109" applyNumberFormat="1" applyFont="1" applyFill="1" applyAlignment="1">
      <alignment horizontal="center" vertical="center" wrapText="1"/>
    </xf>
    <xf numFmtId="1" fontId="6" fillId="17" borderId="97" xfId="109" applyNumberFormat="1" applyFont="1" applyFill="1" applyBorder="1" applyAlignment="1">
      <alignment horizontal="center" vertical="center" wrapText="1"/>
    </xf>
    <xf numFmtId="1" fontId="6" fillId="0" borderId="1" xfId="130" applyNumberFormat="1" applyFont="1" applyBorder="1" applyAlignment="1" applyProtection="1">
      <alignment horizontal="center" vertical="center" wrapText="1"/>
    </xf>
    <xf numFmtId="1" fontId="6" fillId="0" borderId="10" xfId="130" applyNumberFormat="1" applyFont="1" applyBorder="1" applyAlignment="1" applyProtection="1">
      <alignment horizontal="center" vertical="center" wrapText="1"/>
      <protection hidden="1"/>
    </xf>
    <xf numFmtId="1" fontId="6" fillId="0" borderId="191" xfId="130" applyNumberFormat="1" applyFont="1" applyBorder="1" applyAlignment="1" applyProtection="1">
      <alignment horizontal="center" vertical="center" wrapText="1"/>
      <protection hidden="1"/>
    </xf>
    <xf numFmtId="1" fontId="6" fillId="0" borderId="192" xfId="130" applyNumberFormat="1" applyFont="1" applyBorder="1" applyAlignment="1" applyProtection="1">
      <alignment horizontal="center" vertical="center" wrapText="1"/>
      <protection hidden="1"/>
    </xf>
    <xf numFmtId="1" fontId="6" fillId="0" borderId="193" xfId="130" applyNumberFormat="1" applyFont="1" applyBorder="1" applyAlignment="1" applyProtection="1">
      <alignment horizontal="center" vertical="center" wrapText="1"/>
    </xf>
    <xf numFmtId="1" fontId="6" fillId="0" borderId="11" xfId="130" applyNumberFormat="1" applyFont="1" applyBorder="1" applyAlignment="1" applyProtection="1">
      <alignment horizontal="center" vertical="center" wrapText="1"/>
    </xf>
    <xf numFmtId="1" fontId="6" fillId="0" borderId="194" xfId="130" applyNumberFormat="1" applyFont="1" applyBorder="1" applyAlignment="1" applyProtection="1">
      <alignment horizontal="center" vertical="center" wrapText="1"/>
    </xf>
    <xf numFmtId="1" fontId="6" fillId="0" borderId="29" xfId="130" applyNumberFormat="1" applyFont="1" applyBorder="1" applyAlignment="1" applyProtection="1">
      <alignment horizontal="center" vertical="center" wrapText="1"/>
    </xf>
    <xf numFmtId="1" fontId="6" fillId="0" borderId="195" xfId="130" applyNumberFormat="1" applyFont="1" applyBorder="1" applyAlignment="1" applyProtection="1">
      <alignment horizontal="center" vertical="center" wrapText="1"/>
      <protection hidden="1"/>
    </xf>
    <xf numFmtId="0" fontId="6" fillId="0" borderId="194" xfId="130" applyFont="1" applyBorder="1" applyAlignment="1" applyProtection="1">
      <alignment horizontal="center" vertical="center" wrapText="1"/>
    </xf>
    <xf numFmtId="0" fontId="6" fillId="0" borderId="29" xfId="130" applyFont="1" applyBorder="1" applyAlignment="1" applyProtection="1">
      <alignment horizontal="center" vertical="center" wrapText="1"/>
    </xf>
    <xf numFmtId="1" fontId="14" fillId="0" borderId="0" xfId="130" applyNumberFormat="1" applyFont="1" applyBorder="1" applyAlignment="1" applyProtection="1">
      <alignment horizontal="left" wrapText="1"/>
    </xf>
    <xf numFmtId="1" fontId="6" fillId="0" borderId="186" xfId="130" applyNumberFormat="1" applyFont="1" applyBorder="1" applyAlignment="1" applyProtection="1">
      <alignment horizontal="center" vertical="center" wrapText="1"/>
    </xf>
    <xf numFmtId="1" fontId="6" fillId="0" borderId="186" xfId="0" applyNumberFormat="1" applyFont="1" applyBorder="1" applyAlignment="1">
      <alignment horizontal="center" vertical="center" wrapText="1"/>
    </xf>
    <xf numFmtId="1" fontId="6" fillId="0" borderId="188" xfId="130" applyNumberFormat="1" applyFont="1" applyBorder="1" applyAlignment="1" applyProtection="1">
      <alignment horizontal="center" vertical="center" wrapText="1"/>
      <protection hidden="1"/>
    </xf>
    <xf numFmtId="1" fontId="6" fillId="0" borderId="93" xfId="130" applyNumberFormat="1" applyFont="1" applyBorder="1" applyAlignment="1" applyProtection="1">
      <alignment horizontal="center" vertical="center" wrapText="1"/>
      <protection hidden="1"/>
    </xf>
    <xf numFmtId="1" fontId="6" fillId="0" borderId="64" xfId="130" applyNumberFormat="1" applyFont="1" applyBorder="1" applyAlignment="1" applyProtection="1">
      <alignment horizontal="center" vertical="center" wrapText="1"/>
      <protection hidden="1"/>
    </xf>
    <xf numFmtId="1" fontId="6" fillId="0" borderId="135" xfId="130" applyNumberFormat="1" applyFont="1" applyBorder="1" applyAlignment="1" applyProtection="1">
      <alignment horizontal="center" vertical="center" wrapText="1"/>
    </xf>
    <xf numFmtId="1" fontId="6" fillId="0" borderId="49" xfId="130" applyNumberFormat="1" applyFont="1" applyBorder="1" applyAlignment="1" applyProtection="1">
      <alignment horizontal="center" vertical="center" wrapText="1"/>
    </xf>
    <xf numFmtId="1" fontId="10" fillId="0" borderId="4" xfId="130" applyNumberFormat="1" applyFont="1" applyBorder="1" applyAlignment="1" applyProtection="1">
      <alignment horizontal="left"/>
    </xf>
    <xf numFmtId="1" fontId="6" fillId="22" borderId="0" xfId="109" applyNumberFormat="1" applyFont="1" applyFill="1" applyAlignment="1">
      <alignment horizontal="center" vertical="center" wrapText="1"/>
    </xf>
    <xf numFmtId="1" fontId="14" fillId="0" borderId="0" xfId="130" applyNumberFormat="1" applyFont="1" applyBorder="1" applyAlignment="1" applyProtection="1">
      <alignment horizontal="center" vertical="center" wrapText="1"/>
      <protection hidden="1"/>
    </xf>
    <xf numFmtId="1" fontId="14" fillId="0" borderId="0" xfId="130" applyNumberFormat="1" applyFont="1" applyBorder="1" applyAlignment="1" applyProtection="1">
      <alignment horizontal="center" vertical="center"/>
      <protection hidden="1"/>
    </xf>
    <xf numFmtId="1" fontId="14" fillId="0" borderId="6" xfId="130" applyNumberFormat="1" applyFont="1" applyBorder="1" applyAlignment="1" applyProtection="1">
      <alignment wrapText="1"/>
    </xf>
    <xf numFmtId="1" fontId="6" fillId="0" borderId="63" xfId="130" applyNumberFormat="1" applyFont="1" applyBorder="1" applyAlignment="1" applyProtection="1">
      <alignment horizontal="center" vertical="center" wrapText="1"/>
      <protection hidden="1"/>
    </xf>
    <xf numFmtId="0" fontId="6" fillId="0" borderId="170" xfId="130" applyFont="1" applyBorder="1" applyAlignment="1" applyProtection="1">
      <alignment horizontal="center" vertical="center" wrapText="1"/>
    </xf>
    <xf numFmtId="0" fontId="6" fillId="0" borderId="146" xfId="130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93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24" fillId="16" borderId="173" xfId="0" applyFont="1" applyFill="1" applyBorder="1" applyAlignment="1">
      <alignment horizontal="center" vertical="center" wrapText="1"/>
    </xf>
    <xf numFmtId="0" fontId="24" fillId="16" borderId="174" xfId="0" applyFont="1" applyFill="1" applyBorder="1" applyAlignment="1">
      <alignment horizontal="center" vertical="center" wrapText="1"/>
    </xf>
    <xf numFmtId="0" fontId="24" fillId="16" borderId="175" xfId="0" applyFont="1" applyFill="1" applyBorder="1" applyAlignment="1">
      <alignment horizontal="center" vertical="center" wrapText="1"/>
    </xf>
    <xf numFmtId="0" fontId="25" fillId="16" borderId="176" xfId="0" applyFont="1" applyFill="1" applyBorder="1" applyAlignment="1">
      <alignment horizontal="center" vertical="center" wrapText="1"/>
    </xf>
    <xf numFmtId="0" fontId="25" fillId="16" borderId="177" xfId="0" applyFont="1" applyFill="1" applyBorder="1" applyAlignment="1">
      <alignment horizontal="center" vertical="center" wrapText="1"/>
    </xf>
    <xf numFmtId="0" fontId="25" fillId="16" borderId="178" xfId="0" applyFont="1" applyFill="1" applyBorder="1" applyAlignment="1">
      <alignment horizontal="center" vertical="center" wrapText="1"/>
    </xf>
    <xf numFmtId="0" fontId="25" fillId="16" borderId="179" xfId="0" applyFont="1" applyFill="1" applyBorder="1" applyAlignment="1">
      <alignment horizontal="center" vertical="center" wrapText="1"/>
    </xf>
    <xf numFmtId="0" fontId="25" fillId="16" borderId="180" xfId="0" applyFont="1" applyFill="1" applyBorder="1" applyAlignment="1">
      <alignment horizontal="center" vertical="center" wrapText="1"/>
    </xf>
    <xf numFmtId="0" fontId="25" fillId="16" borderId="181" xfId="0" applyFont="1" applyFill="1" applyBorder="1" applyAlignment="1">
      <alignment horizontal="center" vertical="center" wrapText="1"/>
    </xf>
  </cellXfs>
  <cellStyles count="158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Escribir" xfId="13" xr:uid="{00000000-0005-0000-0000-00000C000000}"/>
    <cellStyle name="Escribir 2" xfId="14" xr:uid="{00000000-0005-0000-0000-00000D000000}"/>
    <cellStyle name="Escribir 2 11" xfId="139" xr:uid="{00000000-0005-0000-0000-00000E000000}"/>
    <cellStyle name="Escribir 2 11 2" xfId="157" xr:uid="{176035B3-F037-4F92-839D-8F8923E02BD9}"/>
    <cellStyle name="Escribir 2 2" xfId="15" xr:uid="{00000000-0005-0000-0000-00000F000000}"/>
    <cellStyle name="Escribir 2 2 2" xfId="142" xr:uid="{4D55A4D3-1406-4B64-B62B-286809B75585}"/>
    <cellStyle name="Escribir 2 3" xfId="16" xr:uid="{00000000-0005-0000-0000-000010000000}"/>
    <cellStyle name="Escribir 2 3 2" xfId="143" xr:uid="{E275F16B-08CA-4A86-BDF1-45F50100E12E}"/>
    <cellStyle name="Escribir 2 4" xfId="17" xr:uid="{00000000-0005-0000-0000-000011000000}"/>
    <cellStyle name="Escribir 2 4 2" xfId="144" xr:uid="{249D5F3C-90EA-4905-829C-E096A9100498}"/>
    <cellStyle name="Escribir 2 5" xfId="18" xr:uid="{00000000-0005-0000-0000-000012000000}"/>
    <cellStyle name="Escribir 2 5 2" xfId="145" xr:uid="{2272F86A-7E43-4E5A-8E4B-07F5E4499FD2}"/>
    <cellStyle name="Escribir 2 6" xfId="138" xr:uid="{00000000-0005-0000-0000-000013000000}"/>
    <cellStyle name="Escribir 2 6 2" xfId="156" xr:uid="{58DBD97A-6F8D-41BB-BB0B-72954DB1C927}"/>
    <cellStyle name="Escribir 2 7" xfId="141" xr:uid="{8230505C-691E-4177-A1C9-9231EAA49D5D}"/>
    <cellStyle name="Escribir 2_NOMBRE" xfId="19" xr:uid="{00000000-0005-0000-0000-000014000000}"/>
    <cellStyle name="Escribir 3" xfId="20" xr:uid="{00000000-0005-0000-0000-000015000000}"/>
    <cellStyle name="Escribir 3 2" xfId="21" xr:uid="{00000000-0005-0000-0000-000016000000}"/>
    <cellStyle name="Escribir 3 2 2" xfId="147" xr:uid="{4F5A3EA3-7AA5-4EC2-9459-DE027954EE92}"/>
    <cellStyle name="Escribir 3 3" xfId="146" xr:uid="{6D310DD9-F852-42C3-9EAB-0D458D95D86A}"/>
    <cellStyle name="Escribir 4" xfId="22" xr:uid="{00000000-0005-0000-0000-000017000000}"/>
    <cellStyle name="Escribir 4 2" xfId="148" xr:uid="{7E9C8E22-3213-469B-89D8-1C43BB2054F0}"/>
    <cellStyle name="Escribir 5" xfId="23" xr:uid="{00000000-0005-0000-0000-000018000000}"/>
    <cellStyle name="Escribir 5 2" xfId="24" xr:uid="{00000000-0005-0000-0000-000019000000}"/>
    <cellStyle name="Escribir 5 2 2" xfId="150" xr:uid="{D5AF6813-F431-467C-9C86-DB1467329D99}"/>
    <cellStyle name="Escribir 5 3" xfId="149" xr:uid="{0DF1095B-00DE-41B6-BEBA-EF6E4926F68C}"/>
    <cellStyle name="Escribir 6" xfId="140" xr:uid="{7855C87F-4568-4898-BFE8-DA57FBB630A4}"/>
    <cellStyle name="Escribir_NOMBRE" xfId="25" xr:uid="{00000000-0005-0000-0000-00001A000000}"/>
    <cellStyle name="Escribir_P12" xfId="26" xr:uid="{00000000-0005-0000-0000-00001B000000}"/>
    <cellStyle name="Estilo 1" xfId="27" xr:uid="{00000000-0005-0000-0000-00001C000000}"/>
    <cellStyle name="Estilo 1 2" xfId="151" xr:uid="{2A06B565-BDF3-4177-9B00-23D19D9E1E0F}"/>
    <cellStyle name="Estilo 2" xfId="28" xr:uid="{00000000-0005-0000-0000-00001D000000}"/>
    <cellStyle name="Estilo 2 2" xfId="152" xr:uid="{43C1C496-A45B-43BE-9C2A-17A9EF990183}"/>
    <cellStyle name="Estilo 3" xfId="29" xr:uid="{00000000-0005-0000-0000-00001E000000}"/>
    <cellStyle name="Estilo 3 2" xfId="153" xr:uid="{1089B1D3-8475-40CE-A1C8-4B598D23D26B}"/>
    <cellStyle name="Euro" xfId="30" xr:uid="{00000000-0005-0000-0000-00001F000000}"/>
    <cellStyle name="Euro 2" xfId="31" xr:uid="{00000000-0005-0000-0000-000020000000}"/>
    <cellStyle name="Euro 2 2" xfId="32" xr:uid="{00000000-0005-0000-0000-000021000000}"/>
    <cellStyle name="Euro 3" xfId="33" xr:uid="{00000000-0005-0000-0000-000022000000}"/>
    <cellStyle name="Millares [0] 2" xfId="34" xr:uid="{00000000-0005-0000-0000-000023000000}"/>
    <cellStyle name="Millares [0] 2 2" xfId="35" xr:uid="{00000000-0005-0000-0000-000024000000}"/>
    <cellStyle name="Millares [0] 2 2 2" xfId="36" xr:uid="{00000000-0005-0000-0000-000025000000}"/>
    <cellStyle name="Millares [0] 2 3" xfId="37" xr:uid="{00000000-0005-0000-0000-000026000000}"/>
    <cellStyle name="Millares [0] 3" xfId="38" xr:uid="{00000000-0005-0000-0000-000027000000}"/>
    <cellStyle name="Millares [0] 3 2" xfId="39" xr:uid="{00000000-0005-0000-0000-000028000000}"/>
    <cellStyle name="Millares [0] 3 2 2" xfId="40" xr:uid="{00000000-0005-0000-0000-000029000000}"/>
    <cellStyle name="Millares [0] 3 2 2 2" xfId="41" xr:uid="{00000000-0005-0000-0000-00002A000000}"/>
    <cellStyle name="Millares [0] 3 2 3" xfId="42" xr:uid="{00000000-0005-0000-0000-00002B000000}"/>
    <cellStyle name="Millares [0] 3 3" xfId="43" xr:uid="{00000000-0005-0000-0000-00002C000000}"/>
    <cellStyle name="Millares [0] 3 3 2" xfId="44" xr:uid="{00000000-0005-0000-0000-00002D000000}"/>
    <cellStyle name="Millares [0] 3 4" xfId="45" xr:uid="{00000000-0005-0000-0000-00002E000000}"/>
    <cellStyle name="Millares [0] 4" xfId="46" xr:uid="{00000000-0005-0000-0000-00002F000000}"/>
    <cellStyle name="Millares [0] 4 2" xfId="47" xr:uid="{00000000-0005-0000-0000-000030000000}"/>
    <cellStyle name="Millares [0] 4 3" xfId="48" xr:uid="{00000000-0005-0000-0000-000031000000}"/>
    <cellStyle name="Millares 10" xfId="49" xr:uid="{00000000-0005-0000-0000-000032000000}"/>
    <cellStyle name="Millares 10 2" xfId="50" xr:uid="{00000000-0005-0000-0000-000033000000}"/>
    <cellStyle name="Millares 10 3" xfId="51" xr:uid="{00000000-0005-0000-0000-000034000000}"/>
    <cellStyle name="Millares 11" xfId="52" xr:uid="{00000000-0005-0000-0000-000035000000}"/>
    <cellStyle name="Millares 11 2" xfId="53" xr:uid="{00000000-0005-0000-0000-000036000000}"/>
    <cellStyle name="Millares 11 3" xfId="54" xr:uid="{00000000-0005-0000-0000-000037000000}"/>
    <cellStyle name="Millares 12" xfId="55" xr:uid="{00000000-0005-0000-0000-000038000000}"/>
    <cellStyle name="Millares 12 2" xfId="56" xr:uid="{00000000-0005-0000-0000-000039000000}"/>
    <cellStyle name="Millares 12 3" xfId="57" xr:uid="{00000000-0005-0000-0000-00003A000000}"/>
    <cellStyle name="Millares 13" xfId="58" xr:uid="{00000000-0005-0000-0000-00003B000000}"/>
    <cellStyle name="Millares 13 2" xfId="59" xr:uid="{00000000-0005-0000-0000-00003C000000}"/>
    <cellStyle name="Millares 13 3" xfId="60" xr:uid="{00000000-0005-0000-0000-00003D000000}"/>
    <cellStyle name="Millares 14" xfId="61" xr:uid="{00000000-0005-0000-0000-00003E000000}"/>
    <cellStyle name="Millares 14 2" xfId="62" xr:uid="{00000000-0005-0000-0000-00003F000000}"/>
    <cellStyle name="Millares 14 3" xfId="63" xr:uid="{00000000-0005-0000-0000-000040000000}"/>
    <cellStyle name="Millares 15" xfId="64" xr:uid="{00000000-0005-0000-0000-000041000000}"/>
    <cellStyle name="Millares 15 2" xfId="65" xr:uid="{00000000-0005-0000-0000-000042000000}"/>
    <cellStyle name="Millares 15 3" xfId="66" xr:uid="{00000000-0005-0000-0000-000043000000}"/>
    <cellStyle name="Millares 16" xfId="67" xr:uid="{00000000-0005-0000-0000-000044000000}"/>
    <cellStyle name="Millares 16 2" xfId="68" xr:uid="{00000000-0005-0000-0000-000045000000}"/>
    <cellStyle name="Millares 17" xfId="69" xr:uid="{00000000-0005-0000-0000-000046000000}"/>
    <cellStyle name="Millares 17 2" xfId="70" xr:uid="{00000000-0005-0000-0000-000047000000}"/>
    <cellStyle name="Millares 18" xfId="71" xr:uid="{00000000-0005-0000-0000-000048000000}"/>
    <cellStyle name="Millares 19" xfId="72" xr:uid="{00000000-0005-0000-0000-000049000000}"/>
    <cellStyle name="Millares 2" xfId="73" xr:uid="{00000000-0005-0000-0000-00004A000000}"/>
    <cellStyle name="Millares 2 2" xfId="74" xr:uid="{00000000-0005-0000-0000-00004B000000}"/>
    <cellStyle name="Millares 2 2 2" xfId="75" xr:uid="{00000000-0005-0000-0000-00004C000000}"/>
    <cellStyle name="Millares 2 2 2 2" xfId="76" xr:uid="{00000000-0005-0000-0000-00004D000000}"/>
    <cellStyle name="Millares 2 2 3" xfId="77" xr:uid="{00000000-0005-0000-0000-00004E000000}"/>
    <cellStyle name="Millares 2 2 4" xfId="78" xr:uid="{00000000-0005-0000-0000-00004F000000}"/>
    <cellStyle name="Millares 2 3" xfId="79" xr:uid="{00000000-0005-0000-0000-000050000000}"/>
    <cellStyle name="Millares 2 3 2" xfId="80" xr:uid="{00000000-0005-0000-0000-000051000000}"/>
    <cellStyle name="Millares 2 4" xfId="81" xr:uid="{00000000-0005-0000-0000-000052000000}"/>
    <cellStyle name="Millares 2 4 2" xfId="82" xr:uid="{00000000-0005-0000-0000-000053000000}"/>
    <cellStyle name="Millares 2 5" xfId="83" xr:uid="{00000000-0005-0000-0000-000054000000}"/>
    <cellStyle name="Millares 2 6" xfId="84" xr:uid="{00000000-0005-0000-0000-000055000000}"/>
    <cellStyle name="Millares 2_NOMBRE" xfId="85" xr:uid="{00000000-0005-0000-0000-000056000000}"/>
    <cellStyle name="Millares 20" xfId="86" xr:uid="{00000000-0005-0000-0000-000057000000}"/>
    <cellStyle name="Millares 3" xfId="87" xr:uid="{00000000-0005-0000-0000-000058000000}"/>
    <cellStyle name="Millares 3 2" xfId="88" xr:uid="{00000000-0005-0000-0000-000059000000}"/>
    <cellStyle name="Millares 4" xfId="89" xr:uid="{00000000-0005-0000-0000-00005A000000}"/>
    <cellStyle name="Millares 4 2" xfId="90" xr:uid="{00000000-0005-0000-0000-00005B000000}"/>
    <cellStyle name="Millares 5" xfId="91" xr:uid="{00000000-0005-0000-0000-00005C000000}"/>
    <cellStyle name="Millares 5 2" xfId="92" xr:uid="{00000000-0005-0000-0000-00005D000000}"/>
    <cellStyle name="Millares 6" xfId="93" xr:uid="{00000000-0005-0000-0000-00005E000000}"/>
    <cellStyle name="Millares 7" xfId="94" xr:uid="{00000000-0005-0000-0000-00005F000000}"/>
    <cellStyle name="Millares 7 2" xfId="95" xr:uid="{00000000-0005-0000-0000-000060000000}"/>
    <cellStyle name="Millares 7 3" xfId="96" xr:uid="{00000000-0005-0000-0000-000061000000}"/>
    <cellStyle name="Millares 7 3 2" xfId="97" xr:uid="{00000000-0005-0000-0000-000062000000}"/>
    <cellStyle name="Millares 7 4" xfId="98" xr:uid="{00000000-0005-0000-0000-000063000000}"/>
    <cellStyle name="Millares 7 5" xfId="99" xr:uid="{00000000-0005-0000-0000-000064000000}"/>
    <cellStyle name="Millares 7 5 2" xfId="100" xr:uid="{00000000-0005-0000-0000-000065000000}"/>
    <cellStyle name="Millares 8" xfId="101" xr:uid="{00000000-0005-0000-0000-000066000000}"/>
    <cellStyle name="Millares 8 2" xfId="102" xr:uid="{00000000-0005-0000-0000-000067000000}"/>
    <cellStyle name="Millares 8 3" xfId="103" xr:uid="{00000000-0005-0000-0000-000068000000}"/>
    <cellStyle name="Millares 9" xfId="104" xr:uid="{00000000-0005-0000-0000-000069000000}"/>
    <cellStyle name="Millares 9 2" xfId="105" xr:uid="{00000000-0005-0000-0000-00006A000000}"/>
    <cellStyle name="Millares 9 3" xfId="106" xr:uid="{00000000-0005-0000-0000-00006B000000}"/>
    <cellStyle name="Moneda 2" xfId="107" xr:uid="{00000000-0005-0000-0000-00006C000000}"/>
    <cellStyle name="Moneda 2 2" xfId="108" xr:uid="{00000000-0005-0000-0000-00006D000000}"/>
    <cellStyle name="Normal" xfId="0" builtinId="0"/>
    <cellStyle name="Normal 2" xfId="109" xr:uid="{00000000-0005-0000-0000-00006F000000}"/>
    <cellStyle name="Normal 2 2" xfId="110" xr:uid="{00000000-0005-0000-0000-000070000000}"/>
    <cellStyle name="Normal 2 3" xfId="111" xr:uid="{00000000-0005-0000-0000-000071000000}"/>
    <cellStyle name="Normal 2_NOMBRE" xfId="112" xr:uid="{00000000-0005-0000-0000-000072000000}"/>
    <cellStyle name="Normal 3" xfId="113" xr:uid="{00000000-0005-0000-0000-000073000000}"/>
    <cellStyle name="Normal 4" xfId="114" xr:uid="{00000000-0005-0000-0000-000074000000}"/>
    <cellStyle name="Normal 4 2" xfId="115" xr:uid="{00000000-0005-0000-0000-000075000000}"/>
    <cellStyle name="Normal 4 2 2" xfId="116" xr:uid="{00000000-0005-0000-0000-000076000000}"/>
    <cellStyle name="Normal 4 3" xfId="117" xr:uid="{00000000-0005-0000-0000-000077000000}"/>
    <cellStyle name="Normal 4_A01" xfId="118" xr:uid="{00000000-0005-0000-0000-000078000000}"/>
    <cellStyle name="Normal 5" xfId="119" xr:uid="{00000000-0005-0000-0000-000079000000}"/>
    <cellStyle name="Normal 6" xfId="120" xr:uid="{00000000-0005-0000-0000-00007A000000}"/>
    <cellStyle name="Normal 6 2" xfId="121" xr:uid="{00000000-0005-0000-0000-00007B000000}"/>
    <cellStyle name="Normal 7" xfId="122" xr:uid="{00000000-0005-0000-0000-00007C000000}"/>
    <cellStyle name="Normal_APS 2" xfId="123" xr:uid="{00000000-0005-0000-0000-00007D000000}"/>
    <cellStyle name="Normal_nombre" xfId="124" xr:uid="{00000000-0005-0000-0000-00007E000000}"/>
    <cellStyle name="Normal_REM 02-2002" xfId="125" xr:uid="{00000000-0005-0000-0000-00007F000000}"/>
    <cellStyle name="Normal_REM 04-2002" xfId="126" xr:uid="{00000000-0005-0000-0000-000080000000}"/>
    <cellStyle name="Normal_REM 05-2002" xfId="127" xr:uid="{00000000-0005-0000-0000-000081000000}"/>
    <cellStyle name="Normal_REM 05-2002 2" xfId="128" xr:uid="{00000000-0005-0000-0000-000082000000}"/>
    <cellStyle name="Normal_REM 06-2002" xfId="129" xr:uid="{00000000-0005-0000-0000-000083000000}"/>
    <cellStyle name="Normal_REM 12-2002" xfId="130" xr:uid="{00000000-0005-0000-0000-000084000000}"/>
    <cellStyle name="Normal_RMC_0" xfId="131" xr:uid="{00000000-0005-0000-0000-000085000000}"/>
    <cellStyle name="Normal_RMC_0 2" xfId="132" xr:uid="{00000000-0005-0000-0000-000086000000}"/>
    <cellStyle name="Normal_RMC_0 3" xfId="133" xr:uid="{00000000-0005-0000-0000-000087000000}"/>
    <cellStyle name="Notas 2" xfId="134" xr:uid="{00000000-0005-0000-0000-000088000000}"/>
    <cellStyle name="Notas 2 2" xfId="135" xr:uid="{00000000-0005-0000-0000-000089000000}"/>
    <cellStyle name="Notas 2 2 2" xfId="155" xr:uid="{62C630E7-429A-407C-97A2-67A71D73D806}"/>
    <cellStyle name="Notas 2 3" xfId="154" xr:uid="{93C0A4A8-D6C1-4C93-88F7-4E054CBBB09A}"/>
    <cellStyle name="Porcentual 2" xfId="136" xr:uid="{00000000-0005-0000-0000-00008A000000}"/>
    <cellStyle name="Porcentual 2 2" xfId="137" xr:uid="{00000000-0005-0000-0000-00008B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476250</xdr:colOff>
          <xdr:row>8</xdr:row>
          <xdr:rowOff>9525</xdr:rowOff>
        </xdr:from>
        <xdr:to>
          <xdr:col>12</xdr:col>
          <xdr:colOff>542925</xdr:colOff>
          <xdr:row>10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Revisa Errores (REF, VALUE, NULL)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133351</xdr:rowOff>
    </xdr:from>
    <xdr:to>
      <xdr:col>4</xdr:col>
      <xdr:colOff>1209675</xdr:colOff>
      <xdr:row>3</xdr:row>
      <xdr:rowOff>428625</xdr:rowOff>
    </xdr:to>
    <xdr:sp macro="[0]!DESPROTEGER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629150" y="1257301"/>
          <a:ext cx="923925" cy="295274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304800</xdr:colOff>
      <xdr:row>5</xdr:row>
      <xdr:rowOff>114300</xdr:rowOff>
    </xdr:from>
    <xdr:to>
      <xdr:col>4</xdr:col>
      <xdr:colOff>1228725</xdr:colOff>
      <xdr:row>5</xdr:row>
      <xdr:rowOff>409575</xdr:rowOff>
    </xdr:to>
    <xdr:sp macro="[0]!PROTEGER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648200" y="1781175"/>
          <a:ext cx="923925" cy="295275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276225</xdr:colOff>
      <xdr:row>7</xdr:row>
      <xdr:rowOff>142875</xdr:rowOff>
    </xdr:from>
    <xdr:to>
      <xdr:col>4</xdr:col>
      <xdr:colOff>1200150</xdr:colOff>
      <xdr:row>7</xdr:row>
      <xdr:rowOff>447675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619625" y="2609850"/>
          <a:ext cx="923925" cy="304800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H40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9" style="28" customWidth="1"/>
    <col min="2" max="2" width="61" style="2" customWidth="1"/>
    <col min="3" max="6" width="3.7109375" style="2" customWidth="1"/>
    <col min="7" max="8" width="3.42578125" style="2" customWidth="1"/>
    <col min="9" max="9" width="22.85546875" style="1" customWidth="1"/>
    <col min="10" max="26" width="11.85546875" style="2" customWidth="1"/>
    <col min="27" max="27" width="17.42578125" style="2" hidden="1" customWidth="1"/>
    <col min="28" max="28" width="56.7109375" style="2" hidden="1" customWidth="1"/>
    <col min="29" max="29" width="21.5703125" style="2" hidden="1" customWidth="1"/>
    <col min="30" max="32" width="11.85546875" style="2" hidden="1" customWidth="1"/>
    <col min="33" max="33" width="28.42578125" style="2" hidden="1" customWidth="1"/>
    <col min="34" max="34" width="11.85546875" style="2" hidden="1" customWidth="1"/>
    <col min="35" max="37" width="11.85546875" style="2" customWidth="1"/>
    <col min="38" max="16384" width="11.42578125" style="2"/>
  </cols>
  <sheetData>
    <row r="1" spans="1:33" ht="51" customHeight="1" x14ac:dyDescent="0.15">
      <c r="A1" s="1703"/>
      <c r="B1" s="1704"/>
      <c r="C1" s="1705" t="s">
        <v>1</v>
      </c>
      <c r="D1" s="1705"/>
      <c r="E1" s="1705"/>
      <c r="F1" s="1705"/>
      <c r="G1" s="1705"/>
      <c r="H1" s="1705"/>
    </row>
    <row r="2" spans="1:33" ht="18" customHeight="1" x14ac:dyDescent="0.2">
      <c r="A2" s="1325" t="s">
        <v>2</v>
      </c>
      <c r="B2" s="1324"/>
      <c r="C2" s="8"/>
      <c r="D2" s="1552"/>
      <c r="E2" s="1552"/>
      <c r="F2" s="1552"/>
      <c r="G2" s="1553"/>
      <c r="H2" s="1554"/>
      <c r="I2" s="4" t="str">
        <f>IF(OR(NOMBRE!C2="",NOMBRE!D2="",NOMBRE!E2="",NOMBRE!F2="",NOMBRE!G2=""),"Falta Cód. Com.","")</f>
        <v>Falta Cód. Com.</v>
      </c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D2" s="6"/>
      <c r="AG2" s="7">
        <f>IF(I2&gt;"",1,0)</f>
        <v>1</v>
      </c>
    </row>
    <row r="3" spans="1:33" ht="18" customHeight="1" x14ac:dyDescent="0.2">
      <c r="A3" s="1325" t="s">
        <v>704</v>
      </c>
      <c r="B3" s="1324"/>
      <c r="C3" s="8"/>
      <c r="D3" s="1552"/>
      <c r="E3" s="1552"/>
      <c r="F3" s="1552"/>
      <c r="G3" s="1553"/>
      <c r="H3" s="1555"/>
      <c r="I3" s="4" t="str">
        <f>IF(OR(NOMBRE!C3="",NOMBRE!D3="",NOMBRE!E3="",NOMBRE!F3="",NOMBRE!G3="",NOMBRE!H3=""),"Falta Cód. Est.","")</f>
        <v>Falta Cód. Est.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D3" s="6"/>
      <c r="AG3" s="7">
        <f>IF(I3&gt;"",1,0)</f>
        <v>1</v>
      </c>
    </row>
    <row r="4" spans="1:33" ht="18" customHeight="1" x14ac:dyDescent="0.2">
      <c r="A4" s="1325" t="s">
        <v>299</v>
      </c>
      <c r="B4" s="1324"/>
      <c r="C4" s="9"/>
      <c r="D4" s="10"/>
      <c r="E4" s="10"/>
      <c r="F4" s="10"/>
      <c r="G4" s="10"/>
      <c r="H4" s="10"/>
      <c r="I4" s="4" t="str">
        <f>IF(OR(NOMBRE!B4=""),"Falta Tipo. Est.","")</f>
        <v>Falta Tipo. Est.</v>
      </c>
      <c r="J4" s="11"/>
      <c r="K4" s="12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3"/>
      <c r="AB4" s="13"/>
      <c r="AD4" s="6"/>
      <c r="AG4" s="7">
        <f>IF(I4&gt;"",1,0)</f>
        <v>1</v>
      </c>
    </row>
    <row r="5" spans="1:33" ht="18" customHeight="1" x14ac:dyDescent="0.2">
      <c r="A5" s="1325" t="s">
        <v>3</v>
      </c>
      <c r="B5" s="1324"/>
      <c r="C5" s="9"/>
      <c r="D5" s="10"/>
      <c r="E5" s="10"/>
      <c r="F5" s="10"/>
      <c r="G5" s="10"/>
      <c r="H5" s="10"/>
      <c r="I5" s="4" t="str">
        <f>IF(OR(NOMBRE!B5=""),"Falta Dependencia. Est.","")</f>
        <v>Falta Dependencia. Est.</v>
      </c>
      <c r="J5" s="11"/>
      <c r="K5" s="12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3"/>
      <c r="AB5" s="13"/>
      <c r="AD5" s="6"/>
      <c r="AG5" s="7">
        <f>IF(I5&gt;"",1,0)</f>
        <v>1</v>
      </c>
    </row>
    <row r="6" spans="1:33" ht="18" customHeight="1" x14ac:dyDescent="0.2">
      <c r="A6" s="1325" t="s">
        <v>4</v>
      </c>
      <c r="B6" s="1324"/>
      <c r="C6" s="14"/>
      <c r="D6" s="3"/>
      <c r="E6" s="15"/>
      <c r="F6" s="15"/>
      <c r="G6" s="15"/>
      <c r="H6" s="15"/>
      <c r="I6" s="4" t="str">
        <f>IF(OR(NOMBRE!C6="",NOMBRE!D6=""),"Falta Cód. Mes.","")</f>
        <v>Falta Cód. Mes.</v>
      </c>
      <c r="J6" s="11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D6" s="6"/>
      <c r="AG6" s="7">
        <f>IF(I6&gt;"",1,0)</f>
        <v>1</v>
      </c>
    </row>
    <row r="7" spans="1:33" ht="18" customHeight="1" x14ac:dyDescent="0.2">
      <c r="A7" s="1311" t="s">
        <v>5</v>
      </c>
      <c r="B7" s="1310">
        <v>2023</v>
      </c>
      <c r="AG7" s="17">
        <f>SUM(AG2:AG6)</f>
        <v>5</v>
      </c>
    </row>
    <row r="8" spans="1:33" ht="24" customHeight="1" x14ac:dyDescent="0.15">
      <c r="A8" s="1308"/>
      <c r="B8" s="1309"/>
    </row>
    <row r="9" spans="1:33" ht="20.100000000000001" customHeight="1" x14ac:dyDescent="0.15">
      <c r="A9" s="1706" t="s">
        <v>807</v>
      </c>
      <c r="B9" s="1707"/>
    </row>
    <row r="10" spans="1:33" ht="12" customHeight="1" x14ac:dyDescent="0.2">
      <c r="A10" s="18"/>
      <c r="B10" s="19"/>
    </row>
    <row r="11" spans="1:33" ht="29.25" customHeight="1" x14ac:dyDescent="0.2">
      <c r="A11" s="20" t="s">
        <v>880</v>
      </c>
      <c r="B11" s="21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4" t="s">
        <v>6</v>
      </c>
      <c r="AB11" s="31" t="s">
        <v>300</v>
      </c>
      <c r="AC11" s="31" t="s">
        <v>7</v>
      </c>
    </row>
    <row r="12" spans="1:33" ht="27.75" customHeight="1" x14ac:dyDescent="0.2">
      <c r="A12" s="25" t="s">
        <v>879</v>
      </c>
      <c r="B12" s="21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 t="s">
        <v>8</v>
      </c>
      <c r="AB12" s="31" t="s">
        <v>301</v>
      </c>
      <c r="AC12" s="31" t="s">
        <v>9</v>
      </c>
    </row>
    <row r="13" spans="1:33" ht="21" customHeight="1" x14ac:dyDescent="0.2">
      <c r="A13" s="26"/>
      <c r="B13" s="27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B13" s="31" t="s">
        <v>302</v>
      </c>
      <c r="AC13" s="31" t="s">
        <v>857</v>
      </c>
    </row>
    <row r="14" spans="1:33" ht="21" customHeight="1" x14ac:dyDescent="0.15"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B14" s="31" t="s">
        <v>852</v>
      </c>
    </row>
    <row r="15" spans="1:33" ht="21" customHeight="1" x14ac:dyDescent="0.15">
      <c r="A15" s="1708" t="s">
        <v>10</v>
      </c>
      <c r="B15" s="1709"/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B15" s="31" t="s">
        <v>303</v>
      </c>
    </row>
    <row r="16" spans="1:33" ht="21" customHeight="1" x14ac:dyDescent="0.15"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B16" s="31" t="s">
        <v>305</v>
      </c>
    </row>
    <row r="17" spans="2:28" ht="21" customHeight="1" x14ac:dyDescent="0.15">
      <c r="B17" s="1700" t="s">
        <v>892</v>
      </c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B17" s="31" t="s">
        <v>310</v>
      </c>
    </row>
    <row r="18" spans="2:28" ht="21" customHeight="1" x14ac:dyDescent="0.15">
      <c r="B18" s="1701"/>
      <c r="I18" s="29"/>
      <c r="J18" s="30"/>
      <c r="L18" s="22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B18" s="31" t="s">
        <v>586</v>
      </c>
    </row>
    <row r="19" spans="2:28" ht="21" customHeight="1" x14ac:dyDescent="0.15">
      <c r="B19" s="1702"/>
      <c r="I19" s="29"/>
      <c r="J19" s="30"/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B19" s="31" t="s">
        <v>587</v>
      </c>
    </row>
    <row r="20" spans="2:28" ht="21" customHeight="1" x14ac:dyDescent="0.15">
      <c r="I20" s="29"/>
      <c r="J20" s="30"/>
      <c r="L20" s="22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B20" s="31" t="s">
        <v>306</v>
      </c>
    </row>
    <row r="21" spans="2:28" ht="21" customHeight="1" x14ac:dyDescent="0.15">
      <c r="I21" s="29"/>
      <c r="J21" s="30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B21" s="31" t="s">
        <v>311</v>
      </c>
    </row>
    <row r="22" spans="2:28" ht="21" customHeight="1" x14ac:dyDescent="0.15">
      <c r="I22" s="29"/>
      <c r="J22" s="30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31" t="s">
        <v>588</v>
      </c>
    </row>
    <row r="23" spans="2:28" ht="17.25" customHeight="1" x14ac:dyDescent="0.15">
      <c r="I23" s="29"/>
      <c r="J23" s="30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31" t="s">
        <v>589</v>
      </c>
    </row>
    <row r="24" spans="2:28" ht="18.75" customHeight="1" x14ac:dyDescent="0.15">
      <c r="I24" s="29"/>
      <c r="J24" s="30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B24" s="31" t="s">
        <v>304</v>
      </c>
    </row>
    <row r="25" spans="2:28" ht="18" customHeight="1" x14ac:dyDescent="0.15">
      <c r="I25" s="29"/>
      <c r="J25" s="30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B25" s="31" t="s">
        <v>307</v>
      </c>
    </row>
    <row r="26" spans="2:28" ht="19.5" customHeight="1" x14ac:dyDescent="0.15"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B26" s="31" t="s">
        <v>308</v>
      </c>
    </row>
    <row r="27" spans="2:28" ht="19.5" customHeight="1" x14ac:dyDescent="0.15"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B27" s="31" t="s">
        <v>309</v>
      </c>
    </row>
    <row r="28" spans="2:28" ht="21" customHeight="1" x14ac:dyDescent="0.15"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B28" s="31" t="s">
        <v>313</v>
      </c>
    </row>
    <row r="29" spans="2:28" ht="18" customHeight="1" x14ac:dyDescent="0.15"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B29" s="31" t="s">
        <v>652</v>
      </c>
    </row>
    <row r="30" spans="2:28" ht="18.75" customHeight="1" x14ac:dyDescent="0.15"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B30" s="31" t="s">
        <v>853</v>
      </c>
    </row>
    <row r="31" spans="2:28" ht="18" customHeight="1" x14ac:dyDescent="0.15"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B31" s="31" t="s">
        <v>312</v>
      </c>
    </row>
    <row r="32" spans="2:28" ht="15" customHeight="1" x14ac:dyDescent="0.15"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B32" s="31" t="s">
        <v>653</v>
      </c>
    </row>
    <row r="33" spans="13:28" ht="15" customHeight="1" x14ac:dyDescent="0.15"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B33" s="31" t="s">
        <v>854</v>
      </c>
    </row>
    <row r="34" spans="13:28" ht="15" customHeight="1" x14ac:dyDescent="0.15"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B34" s="31" t="s">
        <v>654</v>
      </c>
    </row>
    <row r="35" spans="13:28" ht="15" customHeight="1" x14ac:dyDescent="0.15">
      <c r="AB35" s="31" t="s">
        <v>855</v>
      </c>
    </row>
    <row r="36" spans="13:28" ht="15" customHeight="1" x14ac:dyDescent="0.15">
      <c r="AB36" s="31" t="s">
        <v>655</v>
      </c>
    </row>
    <row r="37" spans="13:28" ht="15" customHeight="1" x14ac:dyDescent="0.15">
      <c r="AB37" s="31" t="s">
        <v>856</v>
      </c>
    </row>
    <row r="38" spans="13:28" ht="15" customHeight="1" x14ac:dyDescent="0.15">
      <c r="AB38" s="31" t="s">
        <v>656</v>
      </c>
    </row>
    <row r="39" spans="13:28" ht="15" customHeight="1" x14ac:dyDescent="0.15">
      <c r="AB39" s="31" t="s">
        <v>657</v>
      </c>
    </row>
    <row r="40" spans="13:28" ht="15" customHeight="1" x14ac:dyDescent="0.15">
      <c r="AB40" s="31" t="s">
        <v>658</v>
      </c>
    </row>
  </sheetData>
  <sheetProtection algorithmName="SHA-512" hashValue="fs6C4iNyiOREQWjEvvaiqqw6tYR1LLmEvs5Y0zK/t+1swfv03REg/pkwKUp8vrgSIUfpiFCIn83hNIGchAa25w==" saltValue="5GbbbfA1/32puoWdOeuVqA==" spinCount="100000" sheet="1" objects="1" scenarios="1"/>
  <mergeCells count="5">
    <mergeCell ref="B17:B19"/>
    <mergeCell ref="A1:B1"/>
    <mergeCell ref="C1:H1"/>
    <mergeCell ref="A9:B9"/>
    <mergeCell ref="A15:B15"/>
  </mergeCells>
  <phoneticPr fontId="26" type="noConversion"/>
  <dataValidations xWindow="654" yWindow="356" count="16">
    <dataValidation type="whole" allowBlank="1" showInputMessage="1" showErrorMessage="1" promptTitle="CÓDIGO MES:" prompt="Primer: Entre 0 y 1" sqref="C6" xr:uid="{00000000-0002-0000-0000-000000000000}">
      <formula1>0</formula1>
      <formula2>1</formula2>
    </dataValidation>
    <dataValidation type="whole" allowBlank="1" showInputMessage="1" showErrorMessage="1" promptTitle="CÓDIGO MES:" prompt="Segundo: Entre 0 y 9" sqref="D6" xr:uid="{00000000-0002-0000-0000-000001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list" allowBlank="1" showInputMessage="1" showErrorMessage="1" sqref="B6" xr:uid="{00000000-0002-0000-0000-00000E000000}">
      <formula1>$AA$11:$AA$12</formula1>
    </dataValidation>
    <dataValidation type="list" allowBlank="1" showInputMessage="1" showErrorMessage="1" sqref="B5" xr:uid="{00000000-0002-0000-0000-00000F000000}">
      <formula1>$AC$11:$AC$13</formula1>
    </dataValidation>
    <dataValidation type="list" allowBlank="1" showInputMessage="1" showErrorMessage="1" sqref="B4" xr:uid="{00000000-0002-0000-0000-00000D000000}">
      <formula1>$AB$11:$AB$40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BuscaErrores">
                <anchor moveWithCells="1" sizeWithCells="1">
                  <from>
                    <xdr:col>9</xdr:col>
                    <xdr:colOff>476250</xdr:colOff>
                    <xdr:row>8</xdr:row>
                    <xdr:rowOff>9525</xdr:rowOff>
                  </from>
                  <to>
                    <xdr:col>12</xdr:col>
                    <xdr:colOff>542925</xdr:colOff>
                    <xdr:row>10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A164"/>
  <sheetViews>
    <sheetView showGridLines="0" zoomScaleNormal="100" workbookViewId="0">
      <selection activeCell="C6" sqref="C6:P6"/>
    </sheetView>
  </sheetViews>
  <sheetFormatPr baseColWidth="10" defaultColWidth="11.42578125" defaultRowHeight="10.5" x14ac:dyDescent="0.15"/>
  <cols>
    <col min="1" max="1" width="32.85546875" style="180" customWidth="1"/>
    <col min="2" max="2" width="26.7109375" style="180" customWidth="1"/>
    <col min="3" max="3" width="22.5703125" style="180" customWidth="1"/>
    <col min="4" max="4" width="15.28515625" style="180" customWidth="1"/>
    <col min="5" max="5" width="16" style="180" customWidth="1"/>
    <col min="6" max="6" width="15.42578125" style="180" customWidth="1"/>
    <col min="7" max="7" width="17.28515625" style="180" customWidth="1"/>
    <col min="8" max="8" width="11.5703125" style="180" customWidth="1"/>
    <col min="9" max="10" width="12" style="180" customWidth="1"/>
    <col min="11" max="12" width="11.85546875" style="180" customWidth="1"/>
    <col min="13" max="13" width="12.85546875" style="180" customWidth="1"/>
    <col min="14" max="14" width="12.5703125" style="180" customWidth="1"/>
    <col min="15" max="15" width="10.7109375" style="180" customWidth="1"/>
    <col min="16" max="16" width="11.42578125" style="180"/>
    <col min="17" max="17" width="11.28515625" style="180" customWidth="1"/>
    <col min="18" max="18" width="11.42578125" style="180"/>
    <col min="19" max="19" width="9.7109375" style="180" customWidth="1"/>
    <col min="20" max="20" width="12.5703125" style="376" customWidth="1"/>
    <col min="21" max="22" width="11.42578125" style="180"/>
    <col min="23" max="23" width="11.85546875" style="180" customWidth="1"/>
    <col min="24" max="24" width="11.85546875" style="308" customWidth="1"/>
    <col min="25" max="61" width="11.85546875" style="326" customWidth="1"/>
    <col min="62" max="63" width="11.85546875" style="308" customWidth="1"/>
    <col min="64" max="78" width="11.42578125" style="308" customWidth="1"/>
    <col min="79" max="104" width="11.42578125" style="381" hidden="1" customWidth="1"/>
    <col min="105" max="130" width="11.42578125" style="391" hidden="1" customWidth="1"/>
    <col min="131" max="131" width="11.42578125" style="180" customWidth="1"/>
    <col min="132" max="16384" width="11.42578125" style="180"/>
  </cols>
  <sheetData>
    <row r="1" spans="1:131" s="57" customFormat="1" ht="13.5" customHeight="1" x14ac:dyDescent="0.1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1679"/>
      <c r="U1" s="56"/>
      <c r="V1" s="56"/>
      <c r="W1" s="5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  <c r="AV1" s="326"/>
      <c r="AW1" s="326"/>
      <c r="AX1" s="326"/>
      <c r="AY1" s="326"/>
      <c r="AZ1" s="326"/>
      <c r="BA1" s="326"/>
      <c r="BB1" s="326"/>
      <c r="BC1" s="326"/>
      <c r="BD1" s="326"/>
      <c r="BE1" s="326"/>
      <c r="BF1" s="326"/>
      <c r="BG1" s="326"/>
      <c r="BH1" s="326"/>
      <c r="BI1" s="326"/>
      <c r="BJ1" s="326"/>
      <c r="BK1" s="326"/>
      <c r="BL1" s="326"/>
      <c r="BM1" s="326"/>
      <c r="BN1" s="326"/>
      <c r="BO1" s="326"/>
      <c r="BP1" s="326"/>
      <c r="BQ1" s="326"/>
      <c r="BR1" s="326"/>
      <c r="BS1" s="326"/>
      <c r="BT1" s="326"/>
      <c r="BU1" s="326"/>
      <c r="BV1" s="326"/>
      <c r="BW1" s="326"/>
      <c r="BX1" s="326"/>
      <c r="BY1" s="326"/>
      <c r="BZ1" s="326"/>
      <c r="CA1" s="1024"/>
      <c r="CB1" s="1024"/>
      <c r="CC1" s="1024"/>
      <c r="CD1" s="1024"/>
      <c r="CE1" s="1024"/>
      <c r="CF1" s="1024"/>
      <c r="CG1" s="1024"/>
      <c r="CH1" s="1024"/>
      <c r="CI1" s="1024"/>
      <c r="CJ1" s="1024"/>
      <c r="CK1" s="1024"/>
      <c r="CL1" s="1024"/>
      <c r="CM1" s="1024"/>
      <c r="CN1" s="1024"/>
      <c r="CO1" s="1024"/>
      <c r="CP1" s="1024"/>
      <c r="CQ1" s="1024"/>
      <c r="CR1" s="1024"/>
      <c r="CS1" s="1024"/>
      <c r="CT1" s="1024"/>
      <c r="CU1" s="1024"/>
      <c r="CV1" s="1024"/>
      <c r="CW1" s="1024"/>
      <c r="CX1" s="1024"/>
      <c r="CY1" s="1024"/>
      <c r="CZ1" s="1024"/>
      <c r="DA1" s="1025"/>
      <c r="DB1" s="1025"/>
      <c r="DC1" s="1025"/>
      <c r="DD1" s="1025"/>
      <c r="DE1" s="1025"/>
      <c r="DF1" s="1025"/>
      <c r="DG1" s="1025"/>
      <c r="DH1" s="1025"/>
      <c r="DI1" s="1025"/>
      <c r="DJ1" s="1025"/>
      <c r="DK1" s="1025"/>
      <c r="DL1" s="1025"/>
      <c r="DM1" s="1025"/>
      <c r="DN1" s="1025"/>
      <c r="DO1" s="1025"/>
      <c r="DP1" s="1025"/>
      <c r="DQ1" s="1025"/>
      <c r="DR1" s="1025"/>
      <c r="DS1" s="1025"/>
      <c r="DT1" s="1025"/>
      <c r="DU1" s="1025"/>
      <c r="DV1" s="1025"/>
      <c r="DW1" s="1025"/>
      <c r="DX1" s="1025"/>
      <c r="DY1" s="1025"/>
      <c r="DZ1" s="1025"/>
    </row>
    <row r="2" spans="1:131" s="57" customFormat="1" ht="13.5" customHeight="1" x14ac:dyDescent="0.15">
      <c r="A2" s="56" t="str">
        <f>CONCATENATE("COMUNA: ",NOMBRE!$B$2," - ","( ",NOMBRE!$C$2,NOMBRE!$D$2,NOMBRE!$E$2,NOMBRE!$F$2,NOMBRE!$G$2," )")</f>
        <v>COMUNA:  - (  )</v>
      </c>
      <c r="B2" s="56"/>
      <c r="C2" s="56"/>
      <c r="D2" s="58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1679"/>
      <c r="U2" s="56"/>
      <c r="V2" s="56"/>
      <c r="W2" s="5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326"/>
      <c r="BA2" s="326"/>
      <c r="BB2" s="326"/>
      <c r="BC2" s="326"/>
      <c r="BD2" s="326"/>
      <c r="BE2" s="326"/>
      <c r="BF2" s="326"/>
      <c r="BG2" s="326"/>
      <c r="BH2" s="326"/>
      <c r="BI2" s="326"/>
      <c r="BJ2" s="326"/>
      <c r="BK2" s="326"/>
      <c r="BL2" s="326"/>
      <c r="BM2" s="326"/>
      <c r="BN2" s="326"/>
      <c r="BO2" s="326"/>
      <c r="BP2" s="326"/>
      <c r="BQ2" s="326"/>
      <c r="BR2" s="326"/>
      <c r="BS2" s="326"/>
      <c r="BT2" s="326"/>
      <c r="BU2" s="326"/>
      <c r="BV2" s="326"/>
      <c r="BW2" s="326"/>
      <c r="BX2" s="326"/>
      <c r="BY2" s="326"/>
      <c r="BZ2" s="326"/>
      <c r="CA2" s="1024"/>
      <c r="CB2" s="1024"/>
      <c r="CC2" s="1024"/>
      <c r="CD2" s="1024"/>
      <c r="CE2" s="1024"/>
      <c r="CF2" s="1024"/>
      <c r="CG2" s="1024"/>
      <c r="CH2" s="1024"/>
      <c r="CI2" s="1024"/>
      <c r="CJ2" s="1024"/>
      <c r="CK2" s="1024"/>
      <c r="CL2" s="1024"/>
      <c r="CM2" s="1024"/>
      <c r="CN2" s="1024"/>
      <c r="CO2" s="1024"/>
      <c r="CP2" s="1024"/>
      <c r="CQ2" s="1024"/>
      <c r="CR2" s="1024"/>
      <c r="CS2" s="1024"/>
      <c r="CT2" s="1024"/>
      <c r="CU2" s="1024"/>
      <c r="CV2" s="1024"/>
      <c r="CW2" s="1024"/>
      <c r="CX2" s="1024"/>
      <c r="CY2" s="1024"/>
      <c r="CZ2" s="1024"/>
      <c r="DA2" s="1025"/>
      <c r="DB2" s="1025"/>
      <c r="DC2" s="1025"/>
      <c r="DD2" s="1025"/>
      <c r="DE2" s="1025"/>
      <c r="DF2" s="1025"/>
      <c r="DG2" s="1025"/>
      <c r="DH2" s="1025"/>
      <c r="DI2" s="1025"/>
      <c r="DJ2" s="1025"/>
      <c r="DK2" s="1025"/>
      <c r="DL2" s="1025"/>
      <c r="DM2" s="1025"/>
      <c r="DN2" s="1025"/>
      <c r="DO2" s="1025"/>
      <c r="DP2" s="1025"/>
      <c r="DQ2" s="1025"/>
      <c r="DR2" s="1025"/>
      <c r="DS2" s="1025"/>
      <c r="DT2" s="1025"/>
      <c r="DU2" s="1025"/>
      <c r="DV2" s="1025"/>
      <c r="DW2" s="1025"/>
      <c r="DX2" s="1025"/>
      <c r="DY2" s="1025"/>
      <c r="DZ2" s="1025"/>
    </row>
    <row r="3" spans="1:131" s="57" customFormat="1" ht="13.5" customHeight="1" x14ac:dyDescent="0.15">
      <c r="A3" s="56" t="str">
        <f>CONCATENATE("ESTABLECIMIENTO/ESTRATEGIA: ",NOMBRE!$B$3," - ","( ",NOMBRE!$C$3,NOMBRE!$D$3,NOMBRE!$E$3,NOMBRE!$F$3,NOMBRE!$G$3,NOMBRE!$H$3," )")</f>
        <v>ESTABLECIMIENTO/ESTRATEGIA:  - (  )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1679"/>
      <c r="U3" s="56"/>
      <c r="V3" s="56"/>
      <c r="W3" s="5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  <c r="AZ3" s="326"/>
      <c r="BA3" s="326"/>
      <c r="BB3" s="326"/>
      <c r="BC3" s="326"/>
      <c r="BD3" s="326"/>
      <c r="BE3" s="326"/>
      <c r="BF3" s="326"/>
      <c r="BG3" s="326"/>
      <c r="BH3" s="326"/>
      <c r="BI3" s="326"/>
      <c r="BJ3" s="326"/>
      <c r="BK3" s="326"/>
      <c r="BL3" s="326"/>
      <c r="BM3" s="326"/>
      <c r="BN3" s="326"/>
      <c r="BO3" s="326"/>
      <c r="BP3" s="326"/>
      <c r="BQ3" s="326"/>
      <c r="BR3" s="326"/>
      <c r="BS3" s="326"/>
      <c r="BT3" s="326"/>
      <c r="BU3" s="326"/>
      <c r="BV3" s="326"/>
      <c r="BW3" s="326"/>
      <c r="BX3" s="326"/>
      <c r="BY3" s="326"/>
      <c r="BZ3" s="326"/>
      <c r="CA3" s="1024"/>
      <c r="CB3" s="1024"/>
      <c r="CC3" s="1024"/>
      <c r="CD3" s="1024"/>
      <c r="CE3" s="1024"/>
      <c r="CF3" s="1024"/>
      <c r="CG3" s="1024"/>
      <c r="CH3" s="1024"/>
      <c r="CI3" s="1024"/>
      <c r="CJ3" s="1024"/>
      <c r="CK3" s="1024"/>
      <c r="CL3" s="1024"/>
      <c r="CM3" s="1024"/>
      <c r="CN3" s="1024"/>
      <c r="CO3" s="1024"/>
      <c r="CP3" s="1024"/>
      <c r="CQ3" s="1024"/>
      <c r="CR3" s="1024"/>
      <c r="CS3" s="1024"/>
      <c r="CT3" s="1024"/>
      <c r="CU3" s="1024"/>
      <c r="CV3" s="1024"/>
      <c r="CW3" s="1024"/>
      <c r="CX3" s="1024"/>
      <c r="CY3" s="1024"/>
      <c r="CZ3" s="1024"/>
      <c r="DA3" s="1025"/>
      <c r="DB3" s="1025"/>
      <c r="DC3" s="1025"/>
      <c r="DD3" s="1025"/>
      <c r="DE3" s="1025"/>
      <c r="DF3" s="1025"/>
      <c r="DG3" s="1025"/>
      <c r="DH3" s="1025"/>
      <c r="DI3" s="1025"/>
      <c r="DJ3" s="1025"/>
      <c r="DK3" s="1025"/>
      <c r="DL3" s="1025"/>
      <c r="DM3" s="1025"/>
      <c r="DN3" s="1025"/>
      <c r="DO3" s="1025"/>
      <c r="DP3" s="1025"/>
      <c r="DQ3" s="1025"/>
      <c r="DR3" s="1025"/>
      <c r="DS3" s="1025"/>
      <c r="DT3" s="1025"/>
      <c r="DU3" s="1025"/>
      <c r="DV3" s="1025"/>
      <c r="DW3" s="1025"/>
      <c r="DX3" s="1025"/>
      <c r="DY3" s="1025"/>
      <c r="DZ3" s="1025"/>
    </row>
    <row r="4" spans="1:131" s="57" customFormat="1" ht="13.5" customHeight="1" x14ac:dyDescent="0.15">
      <c r="A4" s="56" t="str">
        <f>CONCATENATE("MES: ",NOMBRE!$B$6," - ","( ",NOMBRE!$C$6,NOMBRE!$D$6," )")</f>
        <v>MES:  - (  )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1679"/>
      <c r="U4" s="56"/>
      <c r="V4" s="56"/>
      <c r="W4" s="5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  <c r="BI4" s="326"/>
      <c r="BJ4" s="326"/>
      <c r="BK4" s="326"/>
      <c r="BL4" s="326"/>
      <c r="BM4" s="326"/>
      <c r="BN4" s="326"/>
      <c r="BO4" s="326"/>
      <c r="BP4" s="326"/>
      <c r="BQ4" s="326"/>
      <c r="BR4" s="326"/>
      <c r="BS4" s="326"/>
      <c r="BT4" s="326"/>
      <c r="BU4" s="326"/>
      <c r="BV4" s="326"/>
      <c r="BW4" s="326"/>
      <c r="BX4" s="326"/>
      <c r="BY4" s="326"/>
      <c r="BZ4" s="326"/>
      <c r="CA4" s="1024"/>
      <c r="CB4" s="1024"/>
      <c r="CC4" s="1024"/>
      <c r="CD4" s="1024"/>
      <c r="CE4" s="1024"/>
      <c r="CF4" s="1024"/>
      <c r="CG4" s="1024"/>
      <c r="CH4" s="1024"/>
      <c r="CI4" s="1024"/>
      <c r="CJ4" s="1024"/>
      <c r="CK4" s="1024"/>
      <c r="CL4" s="1024"/>
      <c r="CM4" s="1024"/>
      <c r="CN4" s="1024"/>
      <c r="CO4" s="1024"/>
      <c r="CP4" s="1024"/>
      <c r="CQ4" s="1024"/>
      <c r="CR4" s="1024"/>
      <c r="CS4" s="1024"/>
      <c r="CT4" s="1024"/>
      <c r="CU4" s="1024"/>
      <c r="CV4" s="1024"/>
      <c r="CW4" s="1024"/>
      <c r="CX4" s="1024"/>
      <c r="CY4" s="1024"/>
      <c r="CZ4" s="1024"/>
      <c r="DA4" s="1025"/>
      <c r="DB4" s="1025"/>
      <c r="DC4" s="1025"/>
      <c r="DD4" s="1025"/>
      <c r="DE4" s="1025"/>
      <c r="DF4" s="1025"/>
      <c r="DG4" s="1025"/>
      <c r="DH4" s="1025"/>
      <c r="DI4" s="1025"/>
      <c r="DJ4" s="1025"/>
      <c r="DK4" s="1025"/>
      <c r="DL4" s="1025"/>
      <c r="DM4" s="1025"/>
      <c r="DN4" s="1025"/>
      <c r="DO4" s="1025"/>
      <c r="DP4" s="1025"/>
      <c r="DQ4" s="1025"/>
      <c r="DR4" s="1025"/>
      <c r="DS4" s="1025"/>
      <c r="DT4" s="1025"/>
      <c r="DU4" s="1025"/>
      <c r="DV4" s="1025"/>
      <c r="DW4" s="1025"/>
      <c r="DX4" s="1025"/>
      <c r="DY4" s="1025"/>
      <c r="DZ4" s="1025"/>
    </row>
    <row r="5" spans="1:131" s="57" customFormat="1" ht="13.5" customHeight="1" x14ac:dyDescent="0.15">
      <c r="A5" s="56" t="str">
        <f>CONCATENATE("AÑO: ",NOMBRE!$B$7)</f>
        <v>AÑO: 2023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1679"/>
      <c r="U5" s="56"/>
      <c r="V5" s="56"/>
      <c r="W5" s="5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6"/>
      <c r="BZ5" s="326"/>
      <c r="CA5" s="1024"/>
      <c r="CB5" s="1024"/>
      <c r="CC5" s="1024"/>
      <c r="CD5" s="1024"/>
      <c r="CE5" s="1024"/>
      <c r="CF5" s="1024"/>
      <c r="CG5" s="1024"/>
      <c r="CH5" s="1024"/>
      <c r="CI5" s="1024"/>
      <c r="CJ5" s="1024"/>
      <c r="CK5" s="1024"/>
      <c r="CL5" s="1024"/>
      <c r="CM5" s="1024"/>
      <c r="CN5" s="1024"/>
      <c r="CO5" s="1024"/>
      <c r="CP5" s="1024"/>
      <c r="CQ5" s="1024"/>
      <c r="CR5" s="1024"/>
      <c r="CS5" s="1024"/>
      <c r="CT5" s="1024"/>
      <c r="CU5" s="1024"/>
      <c r="CV5" s="1024"/>
      <c r="CW5" s="1024"/>
      <c r="CX5" s="1024"/>
      <c r="CY5" s="1024"/>
      <c r="CZ5" s="1024"/>
      <c r="DA5" s="1025"/>
      <c r="DB5" s="1025"/>
      <c r="DC5" s="1025"/>
      <c r="DD5" s="1025"/>
      <c r="DE5" s="1025"/>
      <c r="DF5" s="1025"/>
      <c r="DG5" s="1025"/>
      <c r="DH5" s="1025"/>
      <c r="DI5" s="1025"/>
      <c r="DJ5" s="1025"/>
      <c r="DK5" s="1025"/>
      <c r="DL5" s="1025"/>
      <c r="DM5" s="1025"/>
      <c r="DN5" s="1025"/>
      <c r="DO5" s="1025"/>
      <c r="DP5" s="1025"/>
      <c r="DQ5" s="1025"/>
      <c r="DR5" s="1025"/>
      <c r="DS5" s="1025"/>
      <c r="DT5" s="1025"/>
      <c r="DU5" s="1025"/>
      <c r="DV5" s="1025"/>
      <c r="DW5" s="1025"/>
      <c r="DX5" s="1025"/>
      <c r="DY5" s="1025"/>
      <c r="DZ5" s="1025"/>
    </row>
    <row r="6" spans="1:131" ht="33" customHeight="1" x14ac:dyDescent="0.15">
      <c r="B6" s="439"/>
      <c r="C6" s="1766" t="s">
        <v>501</v>
      </c>
      <c r="D6" s="1766"/>
      <c r="E6" s="1766"/>
      <c r="F6" s="1766"/>
      <c r="G6" s="1766"/>
      <c r="H6" s="1766"/>
      <c r="I6" s="1766"/>
      <c r="J6" s="1766"/>
      <c r="K6" s="1766"/>
      <c r="L6" s="1766"/>
      <c r="M6" s="1766"/>
      <c r="N6" s="1766"/>
      <c r="O6" s="1766"/>
      <c r="P6" s="1766"/>
    </row>
    <row r="7" spans="1:131" ht="44.1" customHeight="1" x14ac:dyDescent="0.2">
      <c r="A7" s="1767" t="s">
        <v>11</v>
      </c>
      <c r="B7" s="1768"/>
      <c r="C7" s="1768"/>
      <c r="D7" s="1768"/>
      <c r="E7" s="1768"/>
      <c r="F7" s="1768"/>
      <c r="G7" s="1768"/>
      <c r="H7" s="59"/>
    </row>
    <row r="8" spans="1:131" ht="27" customHeight="1" x14ac:dyDescent="0.2">
      <c r="A8" s="1292" t="s">
        <v>538</v>
      </c>
      <c r="B8" s="440"/>
      <c r="C8" s="440"/>
      <c r="D8" s="440"/>
      <c r="E8" s="440"/>
      <c r="F8" s="440"/>
      <c r="G8" s="440"/>
      <c r="H8" s="440"/>
      <c r="I8" s="440"/>
      <c r="J8" s="441"/>
      <c r="K8" s="441"/>
      <c r="L8" s="441"/>
      <c r="M8" s="441"/>
      <c r="N8" s="441"/>
    </row>
    <row r="9" spans="1:131" ht="15.75" customHeight="1" x14ac:dyDescent="0.15">
      <c r="A9" s="1758" t="s">
        <v>12</v>
      </c>
      <c r="B9" s="1759"/>
      <c r="C9" s="1748" t="s">
        <v>13</v>
      </c>
      <c r="D9" s="1752" t="s">
        <v>14</v>
      </c>
      <c r="E9" s="1753"/>
      <c r="F9" s="1753"/>
      <c r="G9" s="1753"/>
      <c r="H9" s="1753"/>
      <c r="I9" s="1753"/>
      <c r="J9" s="1753"/>
      <c r="K9" s="1753"/>
      <c r="L9" s="1753"/>
      <c r="M9" s="1753"/>
      <c r="N9" s="1753"/>
      <c r="O9" s="1753"/>
      <c r="P9" s="1754"/>
      <c r="Q9" s="1750" t="s">
        <v>15</v>
      </c>
      <c r="R9" s="1746" t="s">
        <v>814</v>
      </c>
      <c r="S9" s="1734" t="s">
        <v>548</v>
      </c>
      <c r="CA9" s="308"/>
      <c r="DA9" s="381"/>
      <c r="EA9" s="391"/>
    </row>
    <row r="10" spans="1:131" ht="35.25" customHeight="1" x14ac:dyDescent="0.15">
      <c r="A10" s="1760"/>
      <c r="B10" s="1761"/>
      <c r="C10" s="1749"/>
      <c r="D10" s="1476" t="s">
        <v>16</v>
      </c>
      <c r="E10" s="1477" t="s">
        <v>17</v>
      </c>
      <c r="F10" s="1477" t="s">
        <v>18</v>
      </c>
      <c r="G10" s="1478" t="s">
        <v>19</v>
      </c>
      <c r="H10" s="1478" t="s">
        <v>20</v>
      </c>
      <c r="I10" s="1478" t="s">
        <v>21</v>
      </c>
      <c r="J10" s="1478" t="s">
        <v>22</v>
      </c>
      <c r="K10" s="1478" t="s">
        <v>23</v>
      </c>
      <c r="L10" s="1478" t="s">
        <v>24</v>
      </c>
      <c r="M10" s="1224" t="s">
        <v>208</v>
      </c>
      <c r="N10" s="1478" t="s">
        <v>209</v>
      </c>
      <c r="O10" s="395" t="s">
        <v>181</v>
      </c>
      <c r="P10" s="1479" t="s">
        <v>877</v>
      </c>
      <c r="Q10" s="1751"/>
      <c r="R10" s="1747"/>
      <c r="S10" s="1735"/>
      <c r="T10" s="1680"/>
      <c r="U10" s="63"/>
      <c r="V10" s="63"/>
      <c r="W10" s="63"/>
      <c r="X10" s="327"/>
      <c r="CA10" s="308"/>
      <c r="DA10" s="381"/>
      <c r="EA10" s="391"/>
    </row>
    <row r="11" spans="1:131" ht="15.75" customHeight="1" x14ac:dyDescent="0.15">
      <c r="A11" s="1726" t="s">
        <v>509</v>
      </c>
      <c r="B11" s="1727"/>
      <c r="C11" s="547">
        <f>SUM(D11:M11)</f>
        <v>0</v>
      </c>
      <c r="D11" s="549"/>
      <c r="E11" s="549"/>
      <c r="F11" s="549"/>
      <c r="G11" s="549"/>
      <c r="H11" s="549"/>
      <c r="I11" s="549"/>
      <c r="J11" s="549"/>
      <c r="K11" s="549"/>
      <c r="L11" s="549"/>
      <c r="M11" s="549"/>
      <c r="N11" s="1101"/>
      <c r="O11" s="1101"/>
      <c r="P11" s="1480"/>
      <c r="Q11" s="549"/>
      <c r="R11" s="549"/>
      <c r="S11" s="618"/>
      <c r="T11" s="376" t="str">
        <f t="shared" ref="T11:T36" si="0">($CA11&amp;$CB11&amp;$CC11&amp;$CD11&amp;$CE11&amp;$CF11&amp;$CG11&amp;$CH11&amp;$CI11&amp;$CJ11&amp;$CL11&amp;$CM11&amp;$CN11&amp;$CO11&amp;$CP11&amp;$CQ11&amp;$CR11&amp;$CS11&amp;$CT11&amp;$CU11&amp;$CV11&amp;$CW11&amp;$CX11&amp;$CY11&amp;$CZ11)</f>
        <v/>
      </c>
      <c r="CA11" s="308"/>
      <c r="CB11" s="1026" t="str">
        <f t="shared" ref="CB11:CB23" si="1">IF($Q11&gt;$C11,"* La celda 'Pueblos Originarios' debe ser menor o igual al Total en control. ","")</f>
        <v/>
      </c>
      <c r="CC11" s="1026" t="str">
        <f t="shared" ref="CC11:CC23" si="2">IF($R11&gt;$C11,"* La celda 'Población Migrantes' debe ser menor o igual al Total en control. ","")</f>
        <v/>
      </c>
      <c r="CD11" s="1026" t="str">
        <f t="shared" ref="CD11:CD23" si="3">IF($S11&gt;$C11,"* La celda 'Personas Viviendo con VIH' debe ser menor o igual al Total en control. ","")</f>
        <v/>
      </c>
      <c r="CE11" s="1026" t="str">
        <f t="shared" ref="CE11:CE23" si="4">IF(AND($C11&lt;&gt;0,$Q11=""),"* No olvide escribir en la celda de 'Pueblos Originarios' (Digite CERO si no tiene). ","")</f>
        <v/>
      </c>
      <c r="CF11" s="1026" t="str">
        <f t="shared" ref="CF11:CF23" si="5">IF(AND($C11&lt;&gt;0,$R11=""),"* No olvide escribir en la celda de 'Población Migrantes' (Digite CERO si no tiene). ","")</f>
        <v/>
      </c>
      <c r="CG11" s="1026" t="str">
        <f t="shared" ref="CG11:CG23" si="6">IF(AND($C11&lt;&gt;0,$S11=""),"* No olvide escribir en la celda de 'PV-VIH' (Digite CERO si no tiene). ","")</f>
        <v/>
      </c>
      <c r="DA11" s="381"/>
      <c r="DB11" s="391">
        <f t="shared" ref="DB11:DB23" si="7">IF($Q11&gt;$C11,1,0)</f>
        <v>0</v>
      </c>
      <c r="DC11" s="391">
        <f t="shared" ref="DC11:DC23" si="8">IF($R11&gt;$C11,1,0)</f>
        <v>0</v>
      </c>
      <c r="DD11" s="391">
        <f t="shared" ref="DD11:DD23" si="9">IF($S11&gt;$C11,1,0)</f>
        <v>0</v>
      </c>
      <c r="DE11" s="391">
        <f t="shared" ref="DE11:DE23" si="10">IF(AND($C11&lt;&gt;0,$Q11=""),1,0)</f>
        <v>0</v>
      </c>
      <c r="DF11" s="391">
        <f t="shared" ref="DF11:DF23" si="11">IF(AND($C11&lt;&gt;0,$R11=""),1,0)</f>
        <v>0</v>
      </c>
      <c r="DG11" s="391">
        <f t="shared" ref="DG11:DG23" si="12">IF(AND($C11&lt;&gt;0,$S11=""),1,0)</f>
        <v>0</v>
      </c>
      <c r="EA11" s="391"/>
    </row>
    <row r="12" spans="1:131" ht="15.75" customHeight="1" x14ac:dyDescent="0.15">
      <c r="A12" s="316" t="s">
        <v>502</v>
      </c>
      <c r="B12" s="317"/>
      <c r="C12" s="553">
        <f t="shared" ref="C12:C18" si="13">SUM(D12:M12)</f>
        <v>0</v>
      </c>
      <c r="D12" s="554"/>
      <c r="E12" s="554"/>
      <c r="F12" s="554"/>
      <c r="G12" s="554"/>
      <c r="H12" s="554"/>
      <c r="I12" s="554"/>
      <c r="J12" s="554"/>
      <c r="K12" s="554"/>
      <c r="L12" s="554"/>
      <c r="M12" s="554"/>
      <c r="N12" s="1102"/>
      <c r="O12" s="1102"/>
      <c r="P12" s="558"/>
      <c r="Q12" s="554"/>
      <c r="R12" s="554"/>
      <c r="S12" s="1206"/>
      <c r="T12" s="376" t="str">
        <f t="shared" si="0"/>
        <v/>
      </c>
      <c r="CA12" s="308"/>
      <c r="CB12" s="1026" t="str">
        <f t="shared" si="1"/>
        <v/>
      </c>
      <c r="CC12" s="1026" t="str">
        <f t="shared" si="2"/>
        <v/>
      </c>
      <c r="CD12" s="1026" t="str">
        <f t="shared" si="3"/>
        <v/>
      </c>
      <c r="CE12" s="1026" t="str">
        <f t="shared" si="4"/>
        <v/>
      </c>
      <c r="CF12" s="1026" t="str">
        <f t="shared" si="5"/>
        <v/>
      </c>
      <c r="CG12" s="1026" t="str">
        <f t="shared" si="6"/>
        <v/>
      </c>
      <c r="DA12" s="381"/>
      <c r="DB12" s="391">
        <f t="shared" si="7"/>
        <v>0</v>
      </c>
      <c r="DC12" s="391">
        <f t="shared" si="8"/>
        <v>0</v>
      </c>
      <c r="DD12" s="391">
        <f t="shared" si="9"/>
        <v>0</v>
      </c>
      <c r="DE12" s="391">
        <f t="shared" si="10"/>
        <v>0</v>
      </c>
      <c r="DF12" s="391">
        <f t="shared" si="11"/>
        <v>0</v>
      </c>
      <c r="DG12" s="391">
        <f t="shared" si="12"/>
        <v>0</v>
      </c>
      <c r="EA12" s="391"/>
    </row>
    <row r="13" spans="1:131" ht="19.5" customHeight="1" x14ac:dyDescent="0.15">
      <c r="A13" s="1755" t="s">
        <v>25</v>
      </c>
      <c r="B13" s="64" t="s">
        <v>26</v>
      </c>
      <c r="C13" s="560">
        <f t="shared" si="13"/>
        <v>0</v>
      </c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1103"/>
      <c r="O13" s="1103"/>
      <c r="P13" s="1481"/>
      <c r="Q13" s="561"/>
      <c r="R13" s="561"/>
      <c r="S13" s="1207"/>
      <c r="T13" s="376" t="str">
        <f t="shared" si="0"/>
        <v/>
      </c>
      <c r="CA13" s="308"/>
      <c r="CB13" s="1026" t="str">
        <f t="shared" si="1"/>
        <v/>
      </c>
      <c r="CC13" s="1026" t="str">
        <f t="shared" si="2"/>
        <v/>
      </c>
      <c r="CD13" s="1026" t="str">
        <f t="shared" si="3"/>
        <v/>
      </c>
      <c r="CE13" s="1026" t="str">
        <f t="shared" si="4"/>
        <v/>
      </c>
      <c r="CF13" s="1026" t="str">
        <f t="shared" si="5"/>
        <v/>
      </c>
      <c r="CG13" s="1026" t="str">
        <f t="shared" si="6"/>
        <v/>
      </c>
      <c r="DA13" s="381"/>
      <c r="DB13" s="391">
        <f t="shared" si="7"/>
        <v>0</v>
      </c>
      <c r="DC13" s="391">
        <f t="shared" si="8"/>
        <v>0</v>
      </c>
      <c r="DD13" s="391">
        <f t="shared" si="9"/>
        <v>0</v>
      </c>
      <c r="DE13" s="391">
        <f t="shared" si="10"/>
        <v>0</v>
      </c>
      <c r="DF13" s="391">
        <f t="shared" si="11"/>
        <v>0</v>
      </c>
      <c r="DG13" s="391">
        <f t="shared" si="12"/>
        <v>0</v>
      </c>
      <c r="EA13" s="391"/>
    </row>
    <row r="14" spans="1:131" ht="18.75" customHeight="1" x14ac:dyDescent="0.15">
      <c r="A14" s="1756"/>
      <c r="B14" s="65" t="s">
        <v>27</v>
      </c>
      <c r="C14" s="560">
        <f t="shared" si="13"/>
        <v>0</v>
      </c>
      <c r="D14" s="564"/>
      <c r="E14" s="564"/>
      <c r="F14" s="564"/>
      <c r="G14" s="564"/>
      <c r="H14" s="564"/>
      <c r="I14" s="564"/>
      <c r="J14" s="564"/>
      <c r="K14" s="564"/>
      <c r="L14" s="564"/>
      <c r="M14" s="564"/>
      <c r="N14" s="1104"/>
      <c r="O14" s="1104"/>
      <c r="P14" s="1482"/>
      <c r="Q14" s="561"/>
      <c r="R14" s="564"/>
      <c r="S14" s="620"/>
      <c r="T14" s="376" t="str">
        <f t="shared" si="0"/>
        <v/>
      </c>
      <c r="CA14" s="308"/>
      <c r="CB14" s="1026" t="str">
        <f t="shared" si="1"/>
        <v/>
      </c>
      <c r="CC14" s="1026" t="str">
        <f t="shared" si="2"/>
        <v/>
      </c>
      <c r="CD14" s="1026" t="str">
        <f t="shared" si="3"/>
        <v/>
      </c>
      <c r="CE14" s="1026" t="str">
        <f t="shared" si="4"/>
        <v/>
      </c>
      <c r="CF14" s="1026" t="str">
        <f t="shared" si="5"/>
        <v/>
      </c>
      <c r="CG14" s="1026" t="str">
        <f t="shared" si="6"/>
        <v/>
      </c>
      <c r="DA14" s="381"/>
      <c r="DB14" s="391">
        <f t="shared" si="7"/>
        <v>0</v>
      </c>
      <c r="DC14" s="391">
        <f t="shared" si="8"/>
        <v>0</v>
      </c>
      <c r="DD14" s="391">
        <f t="shared" si="9"/>
        <v>0</v>
      </c>
      <c r="DE14" s="391">
        <f t="shared" si="10"/>
        <v>0</v>
      </c>
      <c r="DF14" s="391">
        <f t="shared" si="11"/>
        <v>0</v>
      </c>
      <c r="DG14" s="391">
        <f t="shared" si="12"/>
        <v>0</v>
      </c>
      <c r="EA14" s="391"/>
    </row>
    <row r="15" spans="1:131" ht="18.75" customHeight="1" x14ac:dyDescent="0.15">
      <c r="A15" s="1756"/>
      <c r="B15" s="65" t="s">
        <v>28</v>
      </c>
      <c r="C15" s="560">
        <f t="shared" si="13"/>
        <v>0</v>
      </c>
      <c r="D15" s="564"/>
      <c r="E15" s="564"/>
      <c r="F15" s="564"/>
      <c r="G15" s="564"/>
      <c r="H15" s="564"/>
      <c r="I15" s="564"/>
      <c r="J15" s="564"/>
      <c r="K15" s="564"/>
      <c r="L15" s="564"/>
      <c r="M15" s="564"/>
      <c r="N15" s="1104"/>
      <c r="O15" s="1104"/>
      <c r="P15" s="1482"/>
      <c r="Q15" s="561"/>
      <c r="R15" s="564"/>
      <c r="S15" s="620"/>
      <c r="T15" s="376" t="str">
        <f t="shared" si="0"/>
        <v/>
      </c>
      <c r="CA15" s="308"/>
      <c r="CB15" s="1026" t="str">
        <f t="shared" si="1"/>
        <v/>
      </c>
      <c r="CC15" s="1026" t="str">
        <f t="shared" si="2"/>
        <v/>
      </c>
      <c r="CD15" s="1026" t="str">
        <f t="shared" si="3"/>
        <v/>
      </c>
      <c r="CE15" s="1026" t="str">
        <f t="shared" si="4"/>
        <v/>
      </c>
      <c r="CF15" s="1026" t="str">
        <f t="shared" si="5"/>
        <v/>
      </c>
      <c r="CG15" s="1026" t="str">
        <f t="shared" si="6"/>
        <v/>
      </c>
      <c r="DA15" s="381"/>
      <c r="DB15" s="391">
        <f t="shared" si="7"/>
        <v>0</v>
      </c>
      <c r="DC15" s="391">
        <f t="shared" si="8"/>
        <v>0</v>
      </c>
      <c r="DD15" s="391">
        <f t="shared" si="9"/>
        <v>0</v>
      </c>
      <c r="DE15" s="391">
        <f t="shared" si="10"/>
        <v>0</v>
      </c>
      <c r="DF15" s="391">
        <f t="shared" si="11"/>
        <v>0</v>
      </c>
      <c r="DG15" s="391">
        <f t="shared" si="12"/>
        <v>0</v>
      </c>
      <c r="EA15" s="391"/>
    </row>
    <row r="16" spans="1:131" ht="18" customHeight="1" x14ac:dyDescent="0.15">
      <c r="A16" s="1756"/>
      <c r="B16" s="65" t="s">
        <v>29</v>
      </c>
      <c r="C16" s="560">
        <f t="shared" si="13"/>
        <v>0</v>
      </c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1105"/>
      <c r="O16" s="1105"/>
      <c r="P16" s="1483"/>
      <c r="Q16" s="561"/>
      <c r="R16" s="568"/>
      <c r="S16" s="703"/>
      <c r="T16" s="376" t="str">
        <f t="shared" si="0"/>
        <v/>
      </c>
      <c r="CA16" s="308"/>
      <c r="CB16" s="1026" t="str">
        <f t="shared" si="1"/>
        <v/>
      </c>
      <c r="CC16" s="1026" t="str">
        <f t="shared" si="2"/>
        <v/>
      </c>
      <c r="CD16" s="1026" t="str">
        <f t="shared" si="3"/>
        <v/>
      </c>
      <c r="CE16" s="1026" t="str">
        <f t="shared" si="4"/>
        <v/>
      </c>
      <c r="CF16" s="1026" t="str">
        <f t="shared" si="5"/>
        <v/>
      </c>
      <c r="CG16" s="1026" t="str">
        <f t="shared" si="6"/>
        <v/>
      </c>
      <c r="DA16" s="381"/>
      <c r="DB16" s="391">
        <f t="shared" si="7"/>
        <v>0</v>
      </c>
      <c r="DC16" s="391">
        <f t="shared" si="8"/>
        <v>0</v>
      </c>
      <c r="DD16" s="391">
        <f t="shared" si="9"/>
        <v>0</v>
      </c>
      <c r="DE16" s="391">
        <f t="shared" si="10"/>
        <v>0</v>
      </c>
      <c r="DF16" s="391">
        <f t="shared" si="11"/>
        <v>0</v>
      </c>
      <c r="DG16" s="391">
        <f t="shared" si="12"/>
        <v>0</v>
      </c>
      <c r="EA16" s="391"/>
    </row>
    <row r="17" spans="1:131" ht="21" customHeight="1" x14ac:dyDescent="0.15">
      <c r="A17" s="1756"/>
      <c r="B17" s="318" t="s">
        <v>500</v>
      </c>
      <c r="C17" s="560">
        <f t="shared" si="13"/>
        <v>0</v>
      </c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1104"/>
      <c r="O17" s="1104"/>
      <c r="P17" s="1482"/>
      <c r="Q17" s="564"/>
      <c r="R17" s="564"/>
      <c r="S17" s="620"/>
      <c r="T17" s="376" t="str">
        <f t="shared" si="0"/>
        <v/>
      </c>
      <c r="CA17" s="308"/>
      <c r="CB17" s="1026" t="str">
        <f t="shared" si="1"/>
        <v/>
      </c>
      <c r="CC17" s="1026" t="str">
        <f t="shared" si="2"/>
        <v/>
      </c>
      <c r="CD17" s="1026" t="str">
        <f t="shared" si="3"/>
        <v/>
      </c>
      <c r="CE17" s="1026" t="str">
        <f t="shared" si="4"/>
        <v/>
      </c>
      <c r="CF17" s="1026" t="str">
        <f t="shared" si="5"/>
        <v/>
      </c>
      <c r="CG17" s="1026" t="str">
        <f t="shared" si="6"/>
        <v/>
      </c>
      <c r="DA17" s="381"/>
      <c r="DB17" s="391">
        <f t="shared" si="7"/>
        <v>0</v>
      </c>
      <c r="DC17" s="391">
        <f t="shared" si="8"/>
        <v>0</v>
      </c>
      <c r="DD17" s="391">
        <f t="shared" si="9"/>
        <v>0</v>
      </c>
      <c r="DE17" s="391">
        <f t="shared" si="10"/>
        <v>0</v>
      </c>
      <c r="DF17" s="391">
        <f t="shared" si="11"/>
        <v>0</v>
      </c>
      <c r="DG17" s="391">
        <f t="shared" si="12"/>
        <v>0</v>
      </c>
      <c r="EA17" s="391"/>
    </row>
    <row r="18" spans="1:131" ht="24" customHeight="1" x14ac:dyDescent="0.15">
      <c r="A18" s="1756"/>
      <c r="B18" s="318" t="s">
        <v>494</v>
      </c>
      <c r="C18" s="594">
        <f t="shared" si="13"/>
        <v>0</v>
      </c>
      <c r="D18" s="564"/>
      <c r="E18" s="564"/>
      <c r="F18" s="564"/>
      <c r="G18" s="564"/>
      <c r="H18" s="564"/>
      <c r="I18" s="564"/>
      <c r="J18" s="564"/>
      <c r="K18" s="564"/>
      <c r="L18" s="564"/>
      <c r="M18" s="564"/>
      <c r="N18" s="1104"/>
      <c r="O18" s="1104"/>
      <c r="P18" s="1482"/>
      <c r="Q18" s="564"/>
      <c r="R18" s="564"/>
      <c r="S18" s="620"/>
      <c r="T18" s="376" t="str">
        <f t="shared" si="0"/>
        <v/>
      </c>
      <c r="CA18" s="308"/>
      <c r="CB18" s="1026" t="str">
        <f t="shared" si="1"/>
        <v/>
      </c>
      <c r="CC18" s="1026" t="str">
        <f t="shared" si="2"/>
        <v/>
      </c>
      <c r="CD18" s="1026" t="str">
        <f t="shared" si="3"/>
        <v/>
      </c>
      <c r="CE18" s="1026" t="str">
        <f t="shared" si="4"/>
        <v/>
      </c>
      <c r="CF18" s="1026" t="str">
        <f t="shared" si="5"/>
        <v/>
      </c>
      <c r="CG18" s="1026" t="str">
        <f t="shared" si="6"/>
        <v/>
      </c>
      <c r="DA18" s="381"/>
      <c r="DB18" s="391">
        <f t="shared" si="7"/>
        <v>0</v>
      </c>
      <c r="DC18" s="391">
        <f t="shared" si="8"/>
        <v>0</v>
      </c>
      <c r="DD18" s="391">
        <f t="shared" si="9"/>
        <v>0</v>
      </c>
      <c r="DE18" s="391">
        <f t="shared" si="10"/>
        <v>0</v>
      </c>
      <c r="DF18" s="391">
        <f t="shared" si="11"/>
        <v>0</v>
      </c>
      <c r="DG18" s="391">
        <f t="shared" si="12"/>
        <v>0</v>
      </c>
      <c r="EA18" s="391"/>
    </row>
    <row r="19" spans="1:131" ht="21" customHeight="1" x14ac:dyDescent="0.15">
      <c r="A19" s="1757"/>
      <c r="B19" s="1492" t="s">
        <v>808</v>
      </c>
      <c r="C19" s="560">
        <f>SUM(D19:M19)</f>
        <v>0</v>
      </c>
      <c r="D19" s="573"/>
      <c r="E19" s="573"/>
      <c r="F19" s="573"/>
      <c r="G19" s="573"/>
      <c r="H19" s="573"/>
      <c r="I19" s="573"/>
      <c r="J19" s="573"/>
      <c r="K19" s="573"/>
      <c r="L19" s="573"/>
      <c r="M19" s="573"/>
      <c r="N19" s="1106"/>
      <c r="O19" s="1106"/>
      <c r="P19" s="1484"/>
      <c r="Q19" s="573"/>
      <c r="R19" s="573"/>
      <c r="S19" s="1208"/>
      <c r="T19" s="376" t="str">
        <f t="shared" si="0"/>
        <v/>
      </c>
      <c r="CA19" s="308"/>
      <c r="CB19" s="1286" t="str">
        <f t="shared" si="1"/>
        <v/>
      </c>
      <c r="CC19" s="1286" t="str">
        <f t="shared" si="2"/>
        <v/>
      </c>
      <c r="CD19" s="1286" t="str">
        <f t="shared" si="3"/>
        <v/>
      </c>
      <c r="CE19" s="1286" t="str">
        <f t="shared" si="4"/>
        <v/>
      </c>
      <c r="CF19" s="1286" t="str">
        <f t="shared" si="5"/>
        <v/>
      </c>
      <c r="CG19" s="1286" t="str">
        <f t="shared" si="6"/>
        <v/>
      </c>
      <c r="DA19" s="381"/>
      <c r="DB19" s="391">
        <f t="shared" si="7"/>
        <v>0</v>
      </c>
      <c r="DC19" s="391">
        <f t="shared" si="8"/>
        <v>0</v>
      </c>
      <c r="DD19" s="391">
        <f t="shared" si="9"/>
        <v>0</v>
      </c>
      <c r="DE19" s="391">
        <f t="shared" si="10"/>
        <v>0</v>
      </c>
      <c r="DF19" s="391">
        <f t="shared" si="11"/>
        <v>0</v>
      </c>
      <c r="DG19" s="391">
        <f t="shared" si="12"/>
        <v>0</v>
      </c>
      <c r="EA19" s="391"/>
    </row>
    <row r="20" spans="1:131" ht="24.75" customHeight="1" x14ac:dyDescent="0.15">
      <c r="A20" s="1736" t="s">
        <v>868</v>
      </c>
      <c r="B20" s="1320" t="s">
        <v>30</v>
      </c>
      <c r="C20" s="547">
        <f>SUM(D20:P20)</f>
        <v>0</v>
      </c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1103"/>
      <c r="O20" s="1103"/>
      <c r="P20" s="1481"/>
      <c r="Q20" s="549"/>
      <c r="R20" s="549"/>
      <c r="S20" s="618"/>
      <c r="T20" s="376" t="str">
        <f t="shared" si="0"/>
        <v/>
      </c>
      <c r="CA20" s="308"/>
      <c r="CB20" s="1026" t="str">
        <f t="shared" si="1"/>
        <v/>
      </c>
      <c r="CC20" s="1026" t="str">
        <f t="shared" si="2"/>
        <v/>
      </c>
      <c r="CD20" s="1026" t="str">
        <f t="shared" si="3"/>
        <v/>
      </c>
      <c r="CE20" s="1026" t="str">
        <f t="shared" si="4"/>
        <v/>
      </c>
      <c r="CF20" s="1026" t="str">
        <f t="shared" si="5"/>
        <v/>
      </c>
      <c r="CG20" s="1026" t="str">
        <f t="shared" si="6"/>
        <v/>
      </c>
      <c r="DA20" s="381"/>
      <c r="DB20" s="391">
        <f t="shared" si="7"/>
        <v>0</v>
      </c>
      <c r="DC20" s="391">
        <f t="shared" si="8"/>
        <v>0</v>
      </c>
      <c r="DD20" s="391">
        <f t="shared" si="9"/>
        <v>0</v>
      </c>
      <c r="DE20" s="391">
        <f t="shared" si="10"/>
        <v>0</v>
      </c>
      <c r="DF20" s="391">
        <f t="shared" si="11"/>
        <v>0</v>
      </c>
      <c r="DG20" s="391">
        <f t="shared" si="12"/>
        <v>0</v>
      </c>
      <c r="EA20" s="391"/>
    </row>
    <row r="21" spans="1:131" ht="20.25" customHeight="1" x14ac:dyDescent="0.15">
      <c r="A21" s="1737"/>
      <c r="B21" s="1321" t="s">
        <v>31</v>
      </c>
      <c r="C21" s="553">
        <f>SUM(D21:P21)</f>
        <v>0</v>
      </c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1106"/>
      <c r="O21" s="1106"/>
      <c r="P21" s="1484"/>
      <c r="Q21" s="554"/>
      <c r="R21" s="554"/>
      <c r="S21" s="1206"/>
      <c r="T21" s="376" t="str">
        <f t="shared" si="0"/>
        <v/>
      </c>
      <c r="CA21" s="308"/>
      <c r="CB21" s="1026" t="str">
        <f t="shared" si="1"/>
        <v/>
      </c>
      <c r="CC21" s="1026" t="str">
        <f t="shared" si="2"/>
        <v/>
      </c>
      <c r="CD21" s="1026" t="str">
        <f t="shared" si="3"/>
        <v/>
      </c>
      <c r="CE21" s="1026" t="str">
        <f t="shared" si="4"/>
        <v/>
      </c>
      <c r="CF21" s="1026" t="str">
        <f t="shared" si="5"/>
        <v/>
      </c>
      <c r="CG21" s="1026" t="str">
        <f t="shared" si="6"/>
        <v/>
      </c>
      <c r="DA21" s="381"/>
      <c r="DB21" s="391">
        <f t="shared" si="7"/>
        <v>0</v>
      </c>
      <c r="DC21" s="391">
        <f t="shared" si="8"/>
        <v>0</v>
      </c>
      <c r="DD21" s="391">
        <f t="shared" si="9"/>
        <v>0</v>
      </c>
      <c r="DE21" s="391">
        <f t="shared" si="10"/>
        <v>0</v>
      </c>
      <c r="DF21" s="391">
        <f t="shared" si="11"/>
        <v>0</v>
      </c>
      <c r="DG21" s="391">
        <f t="shared" si="12"/>
        <v>0</v>
      </c>
      <c r="EA21" s="391"/>
    </row>
    <row r="22" spans="1:131" ht="20.25" customHeight="1" x14ac:dyDescent="0.15">
      <c r="A22" s="1744" t="s">
        <v>467</v>
      </c>
      <c r="B22" s="1322" t="s">
        <v>30</v>
      </c>
      <c r="C22" s="560">
        <f>SUM(D22:M22)</f>
        <v>0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1103"/>
      <c r="O22" s="1103"/>
      <c r="P22" s="1481"/>
      <c r="Q22" s="561"/>
      <c r="R22" s="561"/>
      <c r="S22" s="1207"/>
      <c r="T22" s="376" t="str">
        <f t="shared" si="0"/>
        <v/>
      </c>
      <c r="CA22" s="308"/>
      <c r="CB22" s="1026" t="str">
        <f t="shared" si="1"/>
        <v/>
      </c>
      <c r="CC22" s="1026" t="str">
        <f t="shared" si="2"/>
        <v/>
      </c>
      <c r="CD22" s="1026" t="str">
        <f t="shared" si="3"/>
        <v/>
      </c>
      <c r="CE22" s="1026" t="str">
        <f t="shared" si="4"/>
        <v/>
      </c>
      <c r="CF22" s="1026" t="str">
        <f t="shared" si="5"/>
        <v/>
      </c>
      <c r="CG22" s="1026" t="str">
        <f t="shared" si="6"/>
        <v/>
      </c>
      <c r="DA22" s="381"/>
      <c r="DB22" s="391">
        <f t="shared" si="7"/>
        <v>0</v>
      </c>
      <c r="DC22" s="391">
        <f t="shared" si="8"/>
        <v>0</v>
      </c>
      <c r="DD22" s="391">
        <f t="shared" si="9"/>
        <v>0</v>
      </c>
      <c r="DE22" s="391">
        <f t="shared" si="10"/>
        <v>0</v>
      </c>
      <c r="DF22" s="391">
        <f t="shared" si="11"/>
        <v>0</v>
      </c>
      <c r="DG22" s="391">
        <f t="shared" si="12"/>
        <v>0</v>
      </c>
      <c r="EA22" s="391"/>
    </row>
    <row r="23" spans="1:131" ht="16.5" customHeight="1" x14ac:dyDescent="0.15">
      <c r="A23" s="1745"/>
      <c r="B23" s="1321" t="s">
        <v>31</v>
      </c>
      <c r="C23" s="577">
        <f>SUM(D23:M23)</f>
        <v>0</v>
      </c>
      <c r="D23" s="568"/>
      <c r="E23" s="568"/>
      <c r="F23" s="568"/>
      <c r="G23" s="568"/>
      <c r="H23" s="568"/>
      <c r="I23" s="568"/>
      <c r="J23" s="568"/>
      <c r="K23" s="568"/>
      <c r="L23" s="568"/>
      <c r="M23" s="568"/>
      <c r="N23" s="1106"/>
      <c r="O23" s="1106"/>
      <c r="P23" s="1484"/>
      <c r="Q23" s="568"/>
      <c r="R23" s="568"/>
      <c r="S23" s="703"/>
      <c r="T23" s="376" t="str">
        <f t="shared" si="0"/>
        <v/>
      </c>
      <c r="CA23" s="308"/>
      <c r="CB23" s="1026" t="str">
        <f t="shared" si="1"/>
        <v/>
      </c>
      <c r="CC23" s="1026" t="str">
        <f t="shared" si="2"/>
        <v/>
      </c>
      <c r="CD23" s="1026" t="str">
        <f t="shared" si="3"/>
        <v/>
      </c>
      <c r="CE23" s="1026" t="str">
        <f t="shared" si="4"/>
        <v/>
      </c>
      <c r="CF23" s="1026" t="str">
        <f t="shared" si="5"/>
        <v/>
      </c>
      <c r="CG23" s="1026" t="str">
        <f t="shared" si="6"/>
        <v/>
      </c>
      <c r="DA23" s="381"/>
      <c r="DB23" s="391">
        <f t="shared" si="7"/>
        <v>0</v>
      </c>
      <c r="DC23" s="391">
        <f t="shared" si="8"/>
        <v>0</v>
      </c>
      <c r="DD23" s="391">
        <f t="shared" si="9"/>
        <v>0</v>
      </c>
      <c r="DE23" s="391">
        <f t="shared" si="10"/>
        <v>0</v>
      </c>
      <c r="DF23" s="391">
        <f t="shared" si="11"/>
        <v>0</v>
      </c>
      <c r="DG23" s="391">
        <f t="shared" si="12"/>
        <v>0</v>
      </c>
      <c r="EA23" s="391"/>
    </row>
    <row r="24" spans="1:131" ht="23.25" customHeight="1" thickBot="1" x14ac:dyDescent="0.2">
      <c r="A24" s="1738" t="s">
        <v>510</v>
      </c>
      <c r="B24" s="1739"/>
      <c r="C24" s="579">
        <f>SUM(D24:P24)</f>
        <v>0</v>
      </c>
      <c r="D24" s="1485">
        <f>SUM(D11:D23)</f>
        <v>0</v>
      </c>
      <c r="E24" s="580">
        <f>SUM(E11:E23)</f>
        <v>0</v>
      </c>
      <c r="F24" s="580">
        <f>SUM(F11:F23)</f>
        <v>0</v>
      </c>
      <c r="G24" s="580">
        <f t="shared" ref="G24:K24" si="14">SUM(G11:G23)</f>
        <v>0</v>
      </c>
      <c r="H24" s="580">
        <f t="shared" si="14"/>
        <v>0</v>
      </c>
      <c r="I24" s="580">
        <f t="shared" si="14"/>
        <v>0</v>
      </c>
      <c r="J24" s="580">
        <f t="shared" si="14"/>
        <v>0</v>
      </c>
      <c r="K24" s="580">
        <f t="shared" si="14"/>
        <v>0</v>
      </c>
      <c r="L24" s="580">
        <f t="shared" ref="L24:S24" si="15">SUM(L11:L23)</f>
        <v>0</v>
      </c>
      <c r="M24" s="580">
        <f t="shared" si="15"/>
        <v>0</v>
      </c>
      <c r="N24" s="1488"/>
      <c r="O24" s="1489"/>
      <c r="P24" s="1490"/>
      <c r="Q24" s="1470">
        <f t="shared" si="15"/>
        <v>0</v>
      </c>
      <c r="R24" s="1470">
        <f t="shared" si="15"/>
        <v>0</v>
      </c>
      <c r="S24" s="1471">
        <f t="shared" si="15"/>
        <v>0</v>
      </c>
      <c r="CA24" s="308"/>
      <c r="CB24" s="1026"/>
      <c r="CC24" s="1026"/>
      <c r="CD24" s="1026"/>
      <c r="CE24" s="1026"/>
      <c r="CF24" s="1026"/>
      <c r="CG24" s="1026"/>
      <c r="DA24" s="381"/>
      <c r="EA24" s="391"/>
    </row>
    <row r="25" spans="1:131" ht="21.75" customHeight="1" thickTop="1" x14ac:dyDescent="0.15">
      <c r="A25" s="1742" t="s">
        <v>891</v>
      </c>
      <c r="B25" s="1743"/>
      <c r="C25" s="581">
        <f>SUM(D25:P25)</f>
        <v>0</v>
      </c>
      <c r="D25" s="1486"/>
      <c r="E25" s="582"/>
      <c r="F25" s="582"/>
      <c r="G25" s="582"/>
      <c r="H25" s="582"/>
      <c r="I25" s="582"/>
      <c r="J25" s="582"/>
      <c r="K25" s="582"/>
      <c r="L25" s="583"/>
      <c r="M25" s="583"/>
      <c r="N25" s="1102"/>
      <c r="O25" s="1102"/>
      <c r="P25" s="558"/>
      <c r="Q25" s="554"/>
      <c r="R25" s="554"/>
      <c r="S25" s="1206"/>
      <c r="T25" s="376" t="str">
        <f t="shared" si="0"/>
        <v/>
      </c>
      <c r="CA25" s="308"/>
      <c r="CB25" s="1026" t="str">
        <f t="shared" ref="CB25:CB36" si="16">IF($Q25&gt;$C25,"* La celda 'Pueblos Originarios' debe ser menor o igual al Total en control. ","")</f>
        <v/>
      </c>
      <c r="CC25" s="1026" t="str">
        <f t="shared" ref="CC25:CC36" si="17">IF($R25&gt;$C25,"* La celda 'Población Migrantes' debe ser menor o igual al Total en control. ","")</f>
        <v/>
      </c>
      <c r="CD25" s="1026" t="str">
        <f t="shared" ref="CD25:CD36" si="18">IF($S25&gt;$C25,"* La celda 'Personas Viviendo con VIH' debe ser menor o igual al Total en control. ","")</f>
        <v/>
      </c>
      <c r="CE25" s="1026" t="str">
        <f t="shared" ref="CE25:CE36" si="19">IF(AND($C25&lt;&gt;0,$Q25=""),"* No olvide escribir en la celda de 'Pueblos Originarios' (Digite CERO si no tiene). ","")</f>
        <v/>
      </c>
      <c r="CF25" s="1026" t="str">
        <f t="shared" ref="CF25:CF36" si="20">IF(AND($C25&lt;&gt;0,$R25=""),"* No olvide escribir en la celda de 'Población Migrantes' (Digite CERO si no tiene). ","")</f>
        <v/>
      </c>
      <c r="CG25" s="1026" t="str">
        <f t="shared" ref="CG25:CG36" si="21">IF(AND($C25&lt;&gt;0,$S25=""),"* No olvide escribir en la celda de 'PV-VIH' (Digite CERO si no tiene). ","")</f>
        <v/>
      </c>
      <c r="CH25" s="1026"/>
      <c r="CI25" s="1026"/>
      <c r="CJ25" s="1026"/>
      <c r="CK25" s="1026"/>
      <c r="CL25" s="1026"/>
      <c r="CM25" s="1026"/>
      <c r="CN25" s="1026"/>
      <c r="CO25" s="1026"/>
      <c r="CP25" s="1026"/>
      <c r="CQ25" s="1026"/>
      <c r="CR25" s="1026"/>
      <c r="DA25" s="381"/>
      <c r="DB25" s="391">
        <f t="shared" ref="DB25:DB36" si="22">IF($Q25&gt;$C25,1,0)</f>
        <v>0</v>
      </c>
      <c r="DC25" s="391">
        <f t="shared" ref="DC25:DC36" si="23">IF($R25&gt;$C25,1,0)</f>
        <v>0</v>
      </c>
      <c r="DD25" s="391">
        <f t="shared" ref="DD25:DD36" si="24">IF($S25&gt;$C25,1,0)</f>
        <v>0</v>
      </c>
      <c r="DE25" s="391">
        <f t="shared" ref="DE25:DE36" si="25">IF(AND($C25&lt;&gt;0,$Q25=""),1,0)</f>
        <v>0</v>
      </c>
      <c r="DF25" s="391">
        <f t="shared" ref="DF25:DF36" si="26">IF(AND($C25&lt;&gt;0,$R25=""),1,0)</f>
        <v>0</v>
      </c>
      <c r="DG25" s="391">
        <f t="shared" ref="DG25:DG36" si="27">IF(AND($C25&lt;&gt;0,$S25=""),1,0)</f>
        <v>0</v>
      </c>
      <c r="DH25" s="444"/>
      <c r="DI25" s="444"/>
      <c r="DJ25" s="444"/>
      <c r="DK25" s="444"/>
      <c r="DL25" s="444"/>
      <c r="DM25" s="444"/>
      <c r="DN25" s="444"/>
      <c r="DO25" s="444"/>
      <c r="DP25" s="444"/>
      <c r="DQ25" s="444"/>
      <c r="DR25" s="445"/>
      <c r="EA25" s="391"/>
    </row>
    <row r="26" spans="1:131" ht="20.25" customHeight="1" x14ac:dyDescent="0.15">
      <c r="A26" s="1756" t="s">
        <v>32</v>
      </c>
      <c r="B26" s="1493" t="s">
        <v>809</v>
      </c>
      <c r="C26" s="560">
        <f>SUM(D26:M26)</f>
        <v>0</v>
      </c>
      <c r="D26" s="576"/>
      <c r="E26" s="562"/>
      <c r="F26" s="562"/>
      <c r="G26" s="562"/>
      <c r="H26" s="562"/>
      <c r="I26" s="562"/>
      <c r="J26" s="562"/>
      <c r="K26" s="562"/>
      <c r="L26" s="562"/>
      <c r="M26" s="562"/>
      <c r="N26" s="1103"/>
      <c r="O26" s="1103"/>
      <c r="P26" s="1481"/>
      <c r="Q26" s="1472"/>
      <c r="R26" s="1458"/>
      <c r="S26" s="1459"/>
      <c r="T26" s="376" t="str">
        <f t="shared" si="0"/>
        <v/>
      </c>
      <c r="CA26" s="308"/>
      <c r="CB26" s="1026" t="str">
        <f t="shared" si="16"/>
        <v/>
      </c>
      <c r="CC26" s="1026" t="str">
        <f t="shared" si="17"/>
        <v/>
      </c>
      <c r="CD26" s="1026" t="str">
        <f t="shared" si="18"/>
        <v/>
      </c>
      <c r="CE26" s="1026" t="str">
        <f t="shared" si="19"/>
        <v/>
      </c>
      <c r="CF26" s="1026" t="str">
        <f t="shared" si="20"/>
        <v/>
      </c>
      <c r="CG26" s="1026" t="str">
        <f t="shared" si="21"/>
        <v/>
      </c>
      <c r="CH26" s="1026"/>
      <c r="CI26" s="1026"/>
      <c r="CJ26" s="1026"/>
      <c r="CK26" s="1026"/>
      <c r="CL26" s="1026"/>
      <c r="CM26" s="1026"/>
      <c r="CN26" s="1026"/>
      <c r="CO26" s="1026"/>
      <c r="CP26" s="1026"/>
      <c r="CQ26" s="1026"/>
      <c r="CR26" s="1026"/>
      <c r="DA26" s="381"/>
      <c r="DB26" s="391">
        <f t="shared" si="22"/>
        <v>0</v>
      </c>
      <c r="DC26" s="391">
        <f t="shared" si="23"/>
        <v>0</v>
      </c>
      <c r="DD26" s="391">
        <f t="shared" si="24"/>
        <v>0</v>
      </c>
      <c r="DE26" s="391">
        <f t="shared" si="25"/>
        <v>0</v>
      </c>
      <c r="DF26" s="391">
        <f t="shared" si="26"/>
        <v>0</v>
      </c>
      <c r="DG26" s="391">
        <f t="shared" si="27"/>
        <v>0</v>
      </c>
      <c r="DR26" s="446"/>
      <c r="EA26" s="391"/>
    </row>
    <row r="27" spans="1:131" ht="20.25" customHeight="1" x14ac:dyDescent="0.15">
      <c r="A27" s="1757"/>
      <c r="B27" s="1494" t="s">
        <v>810</v>
      </c>
      <c r="C27" s="553">
        <f t="shared" ref="C27:C29" si="28">SUM(D27:M27)</f>
        <v>0</v>
      </c>
      <c r="D27" s="1345"/>
      <c r="E27" s="557"/>
      <c r="F27" s="557"/>
      <c r="G27" s="557"/>
      <c r="H27" s="557"/>
      <c r="I27" s="557"/>
      <c r="J27" s="557"/>
      <c r="K27" s="557"/>
      <c r="L27" s="557"/>
      <c r="M27" s="557"/>
      <c r="N27" s="1102"/>
      <c r="O27" s="1102"/>
      <c r="P27" s="558"/>
      <c r="Q27" s="1473"/>
      <c r="R27" s="1464"/>
      <c r="S27" s="1465"/>
      <c r="T27" s="376" t="str">
        <f t="shared" si="0"/>
        <v/>
      </c>
      <c r="CA27" s="308"/>
      <c r="CB27" s="1286"/>
      <c r="CC27" s="1286"/>
      <c r="CD27" s="1286"/>
      <c r="CE27" s="1286"/>
      <c r="CF27" s="1286"/>
      <c r="CG27" s="1286"/>
      <c r="CH27" s="1286"/>
      <c r="CI27" s="1286"/>
      <c r="CJ27" s="1286"/>
      <c r="CK27" s="1286"/>
      <c r="CL27" s="1286"/>
      <c r="CM27" s="1286"/>
      <c r="CN27" s="1286"/>
      <c r="CO27" s="1286"/>
      <c r="CP27" s="1286"/>
      <c r="CQ27" s="1286"/>
      <c r="CR27" s="1286"/>
      <c r="DA27" s="381"/>
      <c r="DR27" s="446"/>
      <c r="EA27" s="391"/>
    </row>
    <row r="28" spans="1:131" ht="20.25" customHeight="1" x14ac:dyDescent="0.15">
      <c r="A28" s="1755" t="s">
        <v>468</v>
      </c>
      <c r="B28" s="1495" t="s">
        <v>809</v>
      </c>
      <c r="C28" s="547">
        <f t="shared" si="28"/>
        <v>0</v>
      </c>
      <c r="D28" s="548"/>
      <c r="E28" s="550"/>
      <c r="F28" s="550"/>
      <c r="G28" s="550"/>
      <c r="H28" s="550"/>
      <c r="I28" s="550"/>
      <c r="J28" s="550"/>
      <c r="K28" s="550"/>
      <c r="L28" s="550"/>
      <c r="M28" s="550"/>
      <c r="N28" s="1101"/>
      <c r="O28" s="1101"/>
      <c r="P28" s="1480"/>
      <c r="Q28" s="1474"/>
      <c r="R28" s="1466"/>
      <c r="S28" s="1467"/>
      <c r="T28" s="376" t="str">
        <f t="shared" si="0"/>
        <v/>
      </c>
      <c r="CA28" s="308"/>
      <c r="CB28" s="1286"/>
      <c r="CC28" s="1286"/>
      <c r="CD28" s="1286"/>
      <c r="CE28" s="1286"/>
      <c r="CF28" s="1286"/>
      <c r="CG28" s="1286"/>
      <c r="CH28" s="1286"/>
      <c r="CI28" s="1286"/>
      <c r="CJ28" s="1286"/>
      <c r="CK28" s="1286"/>
      <c r="CL28" s="1286"/>
      <c r="CM28" s="1286"/>
      <c r="CN28" s="1286"/>
      <c r="CO28" s="1286"/>
      <c r="CP28" s="1286"/>
      <c r="CQ28" s="1286"/>
      <c r="CR28" s="1286"/>
      <c r="DA28" s="381"/>
      <c r="DR28" s="446"/>
      <c r="EA28" s="391"/>
    </row>
    <row r="29" spans="1:131" ht="27.75" customHeight="1" x14ac:dyDescent="0.15">
      <c r="A29" s="1757"/>
      <c r="B29" s="1494" t="s">
        <v>810</v>
      </c>
      <c r="C29" s="553">
        <f t="shared" si="28"/>
        <v>0</v>
      </c>
      <c r="D29" s="1345"/>
      <c r="E29" s="557"/>
      <c r="F29" s="557"/>
      <c r="G29" s="557"/>
      <c r="H29" s="557"/>
      <c r="I29" s="557"/>
      <c r="J29" s="557"/>
      <c r="K29" s="557"/>
      <c r="L29" s="557"/>
      <c r="M29" s="557"/>
      <c r="N29" s="1102"/>
      <c r="O29" s="1102"/>
      <c r="P29" s="558"/>
      <c r="Q29" s="1473"/>
      <c r="R29" s="1464"/>
      <c r="S29" s="1465"/>
      <c r="T29" s="376" t="str">
        <f t="shared" si="0"/>
        <v/>
      </c>
      <c r="CA29" s="308"/>
      <c r="CB29" s="1026" t="str">
        <f t="shared" si="16"/>
        <v/>
      </c>
      <c r="CC29" s="1026" t="str">
        <f t="shared" si="17"/>
        <v/>
      </c>
      <c r="CD29" s="1026" t="str">
        <f t="shared" si="18"/>
        <v/>
      </c>
      <c r="CE29" s="1026" t="str">
        <f t="shared" si="19"/>
        <v/>
      </c>
      <c r="CF29" s="1026" t="str">
        <f t="shared" si="20"/>
        <v/>
      </c>
      <c r="CG29" s="1026" t="str">
        <f t="shared" si="21"/>
        <v/>
      </c>
      <c r="CH29" s="1026"/>
      <c r="CI29" s="1026"/>
      <c r="CJ29" s="1026"/>
      <c r="CK29" s="1026"/>
      <c r="CL29" s="1026"/>
      <c r="CM29" s="1026"/>
      <c r="CN29" s="1026"/>
      <c r="CO29" s="1026"/>
      <c r="CP29" s="1026"/>
      <c r="CQ29" s="1026"/>
      <c r="CR29" s="1026"/>
      <c r="DA29" s="381"/>
      <c r="DB29" s="391">
        <f t="shared" si="22"/>
        <v>0</v>
      </c>
      <c r="DC29" s="391">
        <f t="shared" si="23"/>
        <v>0</v>
      </c>
      <c r="DD29" s="391">
        <f t="shared" si="24"/>
        <v>0</v>
      </c>
      <c r="DE29" s="391">
        <f t="shared" si="25"/>
        <v>0</v>
      </c>
      <c r="DF29" s="391">
        <f t="shared" si="26"/>
        <v>0</v>
      </c>
      <c r="DG29" s="391">
        <f t="shared" si="27"/>
        <v>0</v>
      </c>
      <c r="DR29" s="446"/>
      <c r="EA29" s="391"/>
    </row>
    <row r="30" spans="1:131" ht="23.25" customHeight="1" x14ac:dyDescent="0.15">
      <c r="A30" s="1740" t="s">
        <v>844</v>
      </c>
      <c r="B30" s="1741"/>
      <c r="C30" s="1460">
        <f>SUM(D30:P30)</f>
        <v>0</v>
      </c>
      <c r="D30" s="1461"/>
      <c r="E30" s="1462"/>
      <c r="F30" s="1462"/>
      <c r="G30" s="1462"/>
      <c r="H30" s="1462"/>
      <c r="I30" s="1462"/>
      <c r="J30" s="1462"/>
      <c r="K30" s="1462"/>
      <c r="L30" s="1462"/>
      <c r="M30" s="1462"/>
      <c r="N30" s="1463"/>
      <c r="O30" s="1463"/>
      <c r="P30" s="1487"/>
      <c r="Q30" s="1475"/>
      <c r="R30" s="1468"/>
      <c r="S30" s="1469"/>
      <c r="T30" s="376" t="str">
        <f t="shared" si="0"/>
        <v/>
      </c>
      <c r="CA30" s="308"/>
      <c r="CB30" s="1026" t="str">
        <f t="shared" si="16"/>
        <v/>
      </c>
      <c r="CC30" s="1026" t="str">
        <f t="shared" si="17"/>
        <v/>
      </c>
      <c r="CD30" s="1026" t="str">
        <f t="shared" si="18"/>
        <v/>
      </c>
      <c r="CE30" s="1026" t="str">
        <f t="shared" si="19"/>
        <v/>
      </c>
      <c r="CF30" s="1026" t="str">
        <f t="shared" si="20"/>
        <v/>
      </c>
      <c r="CG30" s="1026" t="str">
        <f t="shared" si="21"/>
        <v/>
      </c>
      <c r="CH30" s="1026"/>
      <c r="CI30" s="1026"/>
      <c r="CJ30" s="1026"/>
      <c r="CK30" s="1026"/>
      <c r="CL30" s="1026"/>
      <c r="CM30" s="1026"/>
      <c r="CN30" s="1026"/>
      <c r="CO30" s="1026"/>
      <c r="CP30" s="1026"/>
      <c r="CQ30" s="1026"/>
      <c r="CR30" s="1026"/>
      <c r="DA30" s="381"/>
      <c r="DB30" s="391">
        <f t="shared" si="22"/>
        <v>0</v>
      </c>
      <c r="DC30" s="391">
        <f t="shared" si="23"/>
        <v>0</v>
      </c>
      <c r="DD30" s="391">
        <f t="shared" si="24"/>
        <v>0</v>
      </c>
      <c r="DE30" s="391">
        <f t="shared" si="25"/>
        <v>0</v>
      </c>
      <c r="DF30" s="391">
        <f t="shared" si="26"/>
        <v>0</v>
      </c>
      <c r="DG30" s="391">
        <f t="shared" si="27"/>
        <v>0</v>
      </c>
      <c r="DH30" s="447"/>
      <c r="DI30" s="447"/>
      <c r="DJ30" s="447"/>
      <c r="DK30" s="447"/>
      <c r="DL30" s="447"/>
      <c r="DM30" s="447"/>
      <c r="DN30" s="447"/>
      <c r="DO30" s="447"/>
      <c r="DP30" s="447"/>
      <c r="DQ30" s="447"/>
      <c r="DR30" s="448"/>
      <c r="EA30" s="391"/>
    </row>
    <row r="31" spans="1:131" ht="23.25" customHeight="1" x14ac:dyDescent="0.15">
      <c r="A31" s="1762" t="s">
        <v>469</v>
      </c>
      <c r="B31" s="1763"/>
      <c r="C31" s="553">
        <f>SUM(D31:M31)</f>
        <v>0</v>
      </c>
      <c r="D31" s="1345"/>
      <c r="E31" s="557"/>
      <c r="F31" s="557"/>
      <c r="G31" s="557"/>
      <c r="H31" s="557"/>
      <c r="I31" s="557"/>
      <c r="J31" s="557"/>
      <c r="K31" s="557"/>
      <c r="L31" s="557"/>
      <c r="M31" s="557"/>
      <c r="N31" s="1102"/>
      <c r="O31" s="1102"/>
      <c r="P31" s="558"/>
      <c r="Q31" s="1473"/>
      <c r="R31" s="554"/>
      <c r="S31" s="1206"/>
      <c r="T31" s="376" t="str">
        <f t="shared" si="0"/>
        <v/>
      </c>
      <c r="CA31" s="308"/>
      <c r="CB31" s="1026" t="str">
        <f t="shared" si="16"/>
        <v/>
      </c>
      <c r="CC31" s="1026" t="str">
        <f t="shared" si="17"/>
        <v/>
      </c>
      <c r="CD31" s="1026" t="str">
        <f t="shared" si="18"/>
        <v/>
      </c>
      <c r="CE31" s="1026" t="str">
        <f t="shared" si="19"/>
        <v/>
      </c>
      <c r="CF31" s="1026" t="str">
        <f t="shared" si="20"/>
        <v/>
      </c>
      <c r="CG31" s="1026" t="str">
        <f t="shared" si="21"/>
        <v/>
      </c>
      <c r="DA31" s="381"/>
      <c r="DB31" s="391">
        <f t="shared" si="22"/>
        <v>0</v>
      </c>
      <c r="DC31" s="391">
        <f t="shared" si="23"/>
        <v>0</v>
      </c>
      <c r="DD31" s="391">
        <f t="shared" si="24"/>
        <v>0</v>
      </c>
      <c r="DE31" s="391">
        <f t="shared" si="25"/>
        <v>0</v>
      </c>
      <c r="DF31" s="391">
        <f t="shared" si="26"/>
        <v>0</v>
      </c>
      <c r="DG31" s="391">
        <f t="shared" si="27"/>
        <v>0</v>
      </c>
      <c r="DH31" s="385"/>
      <c r="DI31" s="385"/>
      <c r="DJ31" s="385"/>
      <c r="DK31" s="385"/>
      <c r="DL31" s="385"/>
      <c r="DM31" s="385"/>
      <c r="DN31" s="437"/>
      <c r="DO31" s="385"/>
      <c r="DP31" s="385"/>
      <c r="DQ31" s="385"/>
      <c r="DR31" s="385"/>
      <c r="EA31" s="391"/>
    </row>
    <row r="32" spans="1:131" ht="21.75" customHeight="1" x14ac:dyDescent="0.15">
      <c r="A32" s="1712" t="s">
        <v>495</v>
      </c>
      <c r="B32" s="64" t="s">
        <v>30</v>
      </c>
      <c r="C32" s="547">
        <f>SUM(D32:P32)</f>
        <v>0</v>
      </c>
      <c r="D32" s="548"/>
      <c r="E32" s="549"/>
      <c r="F32" s="549"/>
      <c r="G32" s="549"/>
      <c r="H32" s="549"/>
      <c r="I32" s="549"/>
      <c r="J32" s="549"/>
      <c r="K32" s="550"/>
      <c r="L32" s="550"/>
      <c r="M32" s="550"/>
      <c r="N32" s="550"/>
      <c r="O32" s="549"/>
      <c r="P32" s="992"/>
      <c r="Q32" s="549"/>
      <c r="R32" s="549"/>
      <c r="S32" s="618"/>
      <c r="T32" s="376" t="str">
        <f t="shared" si="0"/>
        <v/>
      </c>
      <c r="CA32" s="308"/>
      <c r="CB32" s="1026" t="str">
        <f t="shared" si="16"/>
        <v/>
      </c>
      <c r="CC32" s="1026" t="str">
        <f t="shared" si="17"/>
        <v/>
      </c>
      <c r="CD32" s="1026" t="str">
        <f t="shared" si="18"/>
        <v/>
      </c>
      <c r="CE32" s="1026" t="str">
        <f t="shared" si="19"/>
        <v/>
      </c>
      <c r="CF32" s="1026" t="str">
        <f t="shared" si="20"/>
        <v/>
      </c>
      <c r="CG32" s="1026" t="str">
        <f t="shared" si="21"/>
        <v/>
      </c>
      <c r="DA32" s="381"/>
      <c r="DB32" s="391">
        <f t="shared" si="22"/>
        <v>0</v>
      </c>
      <c r="DC32" s="391">
        <f t="shared" si="23"/>
        <v>0</v>
      </c>
      <c r="DD32" s="391">
        <f t="shared" si="24"/>
        <v>0</v>
      </c>
      <c r="DE32" s="391">
        <f t="shared" si="25"/>
        <v>0</v>
      </c>
      <c r="DF32" s="391">
        <f t="shared" si="26"/>
        <v>0</v>
      </c>
      <c r="DG32" s="391">
        <f t="shared" si="27"/>
        <v>0</v>
      </c>
      <c r="EA32" s="391"/>
    </row>
    <row r="33" spans="1:131" ht="22.5" customHeight="1" x14ac:dyDescent="0.15">
      <c r="A33" s="1713"/>
      <c r="B33" s="1048" t="s">
        <v>31</v>
      </c>
      <c r="C33" s="572">
        <f>SUM(D33:P33)</f>
        <v>0</v>
      </c>
      <c r="D33" s="1346"/>
      <c r="E33" s="573"/>
      <c r="F33" s="573"/>
      <c r="G33" s="573"/>
      <c r="H33" s="573"/>
      <c r="I33" s="573"/>
      <c r="J33" s="573"/>
      <c r="K33" s="574"/>
      <c r="L33" s="574"/>
      <c r="M33" s="574"/>
      <c r="N33" s="574"/>
      <c r="O33" s="573"/>
      <c r="P33" s="993"/>
      <c r="Q33" s="573"/>
      <c r="R33" s="573"/>
      <c r="S33" s="1208"/>
      <c r="T33" s="376" t="str">
        <f t="shared" si="0"/>
        <v/>
      </c>
      <c r="CA33" s="308"/>
      <c r="CB33" s="1026" t="str">
        <f t="shared" si="16"/>
        <v/>
      </c>
      <c r="CC33" s="1026" t="str">
        <f t="shared" si="17"/>
        <v/>
      </c>
      <c r="CD33" s="1026" t="str">
        <f t="shared" si="18"/>
        <v/>
      </c>
      <c r="CE33" s="1026" t="str">
        <f t="shared" si="19"/>
        <v/>
      </c>
      <c r="CF33" s="1026" t="str">
        <f t="shared" si="20"/>
        <v/>
      </c>
      <c r="CG33" s="1026" t="str">
        <f t="shared" si="21"/>
        <v/>
      </c>
      <c r="DA33" s="381"/>
      <c r="DB33" s="391">
        <f t="shared" si="22"/>
        <v>0</v>
      </c>
      <c r="DC33" s="391">
        <f t="shared" si="23"/>
        <v>0</v>
      </c>
      <c r="DD33" s="391">
        <f t="shared" si="24"/>
        <v>0</v>
      </c>
      <c r="DE33" s="391">
        <f t="shared" si="25"/>
        <v>0</v>
      </c>
      <c r="DF33" s="391">
        <f t="shared" si="26"/>
        <v>0</v>
      </c>
      <c r="DG33" s="391">
        <f t="shared" si="27"/>
        <v>0</v>
      </c>
      <c r="EA33" s="391"/>
    </row>
    <row r="34" spans="1:131" ht="18.75" customHeight="1" x14ac:dyDescent="0.15">
      <c r="A34" s="1712" t="s">
        <v>466</v>
      </c>
      <c r="B34" s="64" t="s">
        <v>30</v>
      </c>
      <c r="C34" s="991">
        <f>SUM(D34:P34)</f>
        <v>0</v>
      </c>
      <c r="D34" s="548"/>
      <c r="E34" s="550"/>
      <c r="F34" s="550"/>
      <c r="G34" s="550"/>
      <c r="H34" s="550"/>
      <c r="I34" s="550"/>
      <c r="J34" s="550"/>
      <c r="K34" s="550"/>
      <c r="L34" s="550"/>
      <c r="M34" s="550"/>
      <c r="N34" s="550"/>
      <c r="O34" s="549"/>
      <c r="P34" s="992"/>
      <c r="Q34" s="549"/>
      <c r="R34" s="549"/>
      <c r="S34" s="618"/>
      <c r="T34" s="376" t="str">
        <f t="shared" si="0"/>
        <v/>
      </c>
      <c r="CA34" s="308"/>
      <c r="CB34" s="1026" t="str">
        <f t="shared" si="16"/>
        <v/>
      </c>
      <c r="CC34" s="1026" t="str">
        <f t="shared" si="17"/>
        <v/>
      </c>
      <c r="CD34" s="1026" t="str">
        <f t="shared" si="18"/>
        <v/>
      </c>
      <c r="CE34" s="1026" t="str">
        <f t="shared" si="19"/>
        <v/>
      </c>
      <c r="CF34" s="1026" t="str">
        <f t="shared" si="20"/>
        <v/>
      </c>
      <c r="CG34" s="1026" t="str">
        <f t="shared" si="21"/>
        <v/>
      </c>
      <c r="DA34" s="381"/>
      <c r="DB34" s="391">
        <f t="shared" si="22"/>
        <v>0</v>
      </c>
      <c r="DC34" s="391">
        <f t="shared" si="23"/>
        <v>0</v>
      </c>
      <c r="DD34" s="391">
        <f t="shared" si="24"/>
        <v>0</v>
      </c>
      <c r="DE34" s="391">
        <f t="shared" si="25"/>
        <v>0</v>
      </c>
      <c r="DF34" s="391">
        <f t="shared" si="26"/>
        <v>0</v>
      </c>
      <c r="DG34" s="391">
        <f t="shared" si="27"/>
        <v>0</v>
      </c>
      <c r="EA34" s="391"/>
    </row>
    <row r="35" spans="1:131" ht="24" customHeight="1" x14ac:dyDescent="0.15">
      <c r="A35" s="1713"/>
      <c r="B35" s="1049" t="s">
        <v>31</v>
      </c>
      <c r="C35" s="990">
        <f>SUM(D35:P35)</f>
        <v>0</v>
      </c>
      <c r="D35" s="1345"/>
      <c r="E35" s="557"/>
      <c r="F35" s="557"/>
      <c r="G35" s="557"/>
      <c r="H35" s="557"/>
      <c r="I35" s="557"/>
      <c r="J35" s="557"/>
      <c r="K35" s="557"/>
      <c r="L35" s="557"/>
      <c r="M35" s="557"/>
      <c r="N35" s="557"/>
      <c r="O35" s="554"/>
      <c r="P35" s="994"/>
      <c r="Q35" s="554"/>
      <c r="R35" s="554"/>
      <c r="S35" s="1206"/>
      <c r="T35" s="376" t="str">
        <f t="shared" si="0"/>
        <v/>
      </c>
      <c r="CA35" s="308"/>
      <c r="CB35" s="1026" t="str">
        <f t="shared" si="16"/>
        <v/>
      </c>
      <c r="CC35" s="1026" t="str">
        <f t="shared" si="17"/>
        <v/>
      </c>
      <c r="CD35" s="1026" t="str">
        <f t="shared" si="18"/>
        <v/>
      </c>
      <c r="CE35" s="1026" t="str">
        <f t="shared" si="19"/>
        <v/>
      </c>
      <c r="CF35" s="1026" t="str">
        <f t="shared" si="20"/>
        <v/>
      </c>
      <c r="CG35" s="1026" t="str">
        <f t="shared" si="21"/>
        <v/>
      </c>
      <c r="DA35" s="381"/>
      <c r="DB35" s="391">
        <f t="shared" si="22"/>
        <v>0</v>
      </c>
      <c r="DC35" s="391">
        <f t="shared" si="23"/>
        <v>0</v>
      </c>
      <c r="DD35" s="391">
        <f t="shared" si="24"/>
        <v>0</v>
      </c>
      <c r="DE35" s="391">
        <f t="shared" si="25"/>
        <v>0</v>
      </c>
      <c r="DF35" s="391">
        <f t="shared" si="26"/>
        <v>0</v>
      </c>
      <c r="DG35" s="391">
        <f t="shared" si="27"/>
        <v>0</v>
      </c>
      <c r="EA35" s="391"/>
    </row>
    <row r="36" spans="1:131" ht="20.25" customHeight="1" x14ac:dyDescent="0.15">
      <c r="A36" s="1777" t="s">
        <v>547</v>
      </c>
      <c r="B36" s="1778"/>
      <c r="C36" s="990">
        <f>SUM(D36:P36)</f>
        <v>0</v>
      </c>
      <c r="D36" s="1345"/>
      <c r="E36" s="557"/>
      <c r="F36" s="557"/>
      <c r="G36" s="557"/>
      <c r="H36" s="557"/>
      <c r="I36" s="557"/>
      <c r="J36" s="557"/>
      <c r="K36" s="557"/>
      <c r="L36" s="557"/>
      <c r="M36" s="557"/>
      <c r="N36" s="557"/>
      <c r="O36" s="554"/>
      <c r="P36" s="994"/>
      <c r="Q36" s="554"/>
      <c r="R36" s="554"/>
      <c r="S36" s="1206"/>
      <c r="T36" s="376" t="str">
        <f t="shared" si="0"/>
        <v/>
      </c>
      <c r="CA36" s="308"/>
      <c r="CB36" s="1026" t="str">
        <f t="shared" si="16"/>
        <v/>
      </c>
      <c r="CC36" s="1026" t="str">
        <f t="shared" si="17"/>
        <v/>
      </c>
      <c r="CD36" s="1026" t="str">
        <f t="shared" si="18"/>
        <v/>
      </c>
      <c r="CE36" s="1026" t="str">
        <f t="shared" si="19"/>
        <v/>
      </c>
      <c r="CF36" s="1026" t="str">
        <f t="shared" si="20"/>
        <v/>
      </c>
      <c r="CG36" s="1026" t="str">
        <f t="shared" si="21"/>
        <v/>
      </c>
      <c r="DA36" s="381"/>
      <c r="DB36" s="391">
        <f t="shared" si="22"/>
        <v>0</v>
      </c>
      <c r="DC36" s="391">
        <f t="shared" si="23"/>
        <v>0</v>
      </c>
      <c r="DD36" s="391">
        <f t="shared" si="24"/>
        <v>0</v>
      </c>
      <c r="DE36" s="391">
        <f t="shared" si="25"/>
        <v>0</v>
      </c>
      <c r="DF36" s="391">
        <f t="shared" si="26"/>
        <v>0</v>
      </c>
      <c r="DG36" s="391">
        <f t="shared" si="27"/>
        <v>0</v>
      </c>
      <c r="EA36" s="391"/>
    </row>
    <row r="37" spans="1:131" ht="28.5" customHeight="1" x14ac:dyDescent="0.2">
      <c r="A37" s="1769" t="s">
        <v>660</v>
      </c>
      <c r="B37" s="1770"/>
      <c r="C37" s="1770"/>
      <c r="D37" s="1771"/>
      <c r="E37" s="1771"/>
      <c r="F37" s="1771"/>
      <c r="G37" s="59"/>
      <c r="H37" s="59"/>
    </row>
    <row r="38" spans="1:131" ht="15.75" customHeight="1" x14ac:dyDescent="0.15">
      <c r="A38" s="1720" t="s">
        <v>33</v>
      </c>
      <c r="B38" s="1776" t="s">
        <v>34</v>
      </c>
      <c r="C38" s="1721" t="s">
        <v>35</v>
      </c>
      <c r="D38" s="1775" t="s">
        <v>36</v>
      </c>
      <c r="E38" s="1775" t="s">
        <v>346</v>
      </c>
      <c r="F38" s="1773" t="s">
        <v>845</v>
      </c>
      <c r="G38" s="377"/>
    </row>
    <row r="39" spans="1:131" ht="32.25" customHeight="1" x14ac:dyDescent="0.15">
      <c r="A39" s="1720"/>
      <c r="B39" s="1776"/>
      <c r="C39" s="1721"/>
      <c r="D39" s="1713"/>
      <c r="E39" s="1713"/>
      <c r="F39" s="1774"/>
    </row>
    <row r="40" spans="1:131" ht="15.75" customHeight="1" x14ac:dyDescent="0.15">
      <c r="A40" s="66" t="s">
        <v>37</v>
      </c>
      <c r="B40" s="584"/>
      <c r="C40" s="585"/>
      <c r="D40" s="592"/>
      <c r="E40" s="592"/>
      <c r="F40" s="552"/>
      <c r="G40" s="376" t="str">
        <f t="shared" ref="G40:G48" si="29">($CA40&amp;$CB40&amp;$CC40&amp;$CD40&amp;$CE40&amp;$CF40&amp;$CG40&amp;$CH40&amp;$CI40&amp;$CJ40&amp;$CL40&amp;$CM40&amp;$CN40&amp;$CO40&amp;$CP40&amp;$CQ40&amp;$CR40&amp;$CS40&amp;$CT40&amp;$CU40&amp;$CV40&amp;$CW40&amp;$CX40&amp;$CY40&amp;$CZ40)</f>
        <v/>
      </c>
      <c r="CA40" s="1026" t="str">
        <f>IF($C40&lt;$D40,"* Las Gestantes Menores de 15 años con violencia de género deben estar incluidas en las Gestantes con riesgo psicosocial. ","")</f>
        <v/>
      </c>
      <c r="CB40" s="1026" t="str">
        <f>IF($B40&lt;$C40,"* Las Gestantes Menores de 15 años con Riesgo Psicosocial deben estar incluidas en el Total de Gestantes en Control misma edad. ","")</f>
        <v/>
      </c>
      <c r="CC40" s="1026" t="str">
        <f>IF($B40&lt;$E40,"* Las Gestantes Menores de 15 años que presentan ARO deben estar incluidas en el Total de Gestantes en Control misma edad. ","")</f>
        <v/>
      </c>
      <c r="CD40" s="1026" t="str">
        <f>IF($B40&lt;$F40,"* Las Gestantes Menores de 15 años que pertenecen a 'Población Migrantes' deben estar incluidas en el Total de Gestantes en Control misma edad. ","")</f>
        <v/>
      </c>
      <c r="CE40" s="1027"/>
      <c r="CF40" s="1026" t="str">
        <f t="shared" ref="CF40:CF48" si="30">IF(AND(B40&lt;&gt;0,F40=""),"* No olvide escribir en la celda de 'Población Migrantes' (Digite CERO si no tiene). ","")</f>
        <v/>
      </c>
      <c r="DA40" s="391">
        <f t="shared" ref="DA40:DA48" si="31">IF($C40&lt;$D40,1,0)</f>
        <v>0</v>
      </c>
      <c r="DB40" s="391">
        <f t="shared" ref="DB40:DB48" si="32">IF($B40&lt;$C40,1,0)</f>
        <v>0</v>
      </c>
      <c r="DC40" s="391">
        <f t="shared" ref="DC40:DC48" si="33">IF($B40&lt;$E40,1,0)</f>
        <v>0</v>
      </c>
      <c r="DD40" s="391">
        <f t="shared" ref="DD40:DD48" si="34">IF($B40&lt;$F40,1,0)</f>
        <v>0</v>
      </c>
      <c r="DE40" s="385"/>
      <c r="DF40" s="449">
        <f t="shared" ref="DF40:DF48" si="35">IF(AND(B40&lt;&gt;0,F40=""),1,0)</f>
        <v>0</v>
      </c>
    </row>
    <row r="41" spans="1:131" ht="15.75" customHeight="1" x14ac:dyDescent="0.15">
      <c r="A41" s="68" t="s">
        <v>17</v>
      </c>
      <c r="B41" s="586"/>
      <c r="C41" s="587"/>
      <c r="D41" s="593"/>
      <c r="E41" s="593"/>
      <c r="F41" s="567"/>
      <c r="G41" s="376" t="str">
        <f t="shared" si="29"/>
        <v/>
      </c>
      <c r="CA41" s="1026" t="str">
        <f>IF($C41&lt;$D41,"* Las Gestantes de 15 a 19 años con violencia de género deben estar incluidas en las Gestantes con riesgo psicosocial. ","")</f>
        <v/>
      </c>
      <c r="CB41" s="1026" t="str">
        <f>IF($B41&lt;$C41,"* Las Gestantes de 15 a 19 años con Riesgo Psicosocial deben estar incluidas en el Total de Gestantes en Control misma edad. ","")</f>
        <v/>
      </c>
      <c r="CC41" s="1026" t="str">
        <f>IF($B41&lt;$E41,"* Las Gestantes de 15 a 19 años que presentan ARO deben estar incluidas en el Total de Gestantes en Control misma edad. ","")</f>
        <v/>
      </c>
      <c r="CD41" s="1026" t="str">
        <f>IF($B41&lt;$F41,"* Las Gestantes de 15 a 19 años que pertenecen a 'Población Migrantes' deben estar incluidas en el Total de Gestantes en Control misma edad. ","")</f>
        <v/>
      </c>
      <c r="CE41" s="1027"/>
      <c r="CF41" s="1026" t="str">
        <f t="shared" si="30"/>
        <v/>
      </c>
      <c r="DA41" s="391">
        <f t="shared" si="31"/>
        <v>0</v>
      </c>
      <c r="DB41" s="391">
        <f t="shared" si="32"/>
        <v>0</v>
      </c>
      <c r="DC41" s="391">
        <f t="shared" si="33"/>
        <v>0</v>
      </c>
      <c r="DD41" s="391">
        <f t="shared" si="34"/>
        <v>0</v>
      </c>
      <c r="DE41" s="385"/>
      <c r="DF41" s="449">
        <f t="shared" si="35"/>
        <v>0</v>
      </c>
    </row>
    <row r="42" spans="1:131" ht="15.75" customHeight="1" x14ac:dyDescent="0.15">
      <c r="A42" s="68" t="s">
        <v>18</v>
      </c>
      <c r="B42" s="586"/>
      <c r="C42" s="587"/>
      <c r="D42" s="593"/>
      <c r="E42" s="593"/>
      <c r="F42" s="567"/>
      <c r="G42" s="376" t="str">
        <f t="shared" si="29"/>
        <v/>
      </c>
      <c r="CA42" s="1026" t="str">
        <f>IF($C42&lt;$D42,"* Las Gestantes de 20 a 24 años con violencia de género deben estar incluidas en las Gestantes con riesgo psicosocial. ","")</f>
        <v/>
      </c>
      <c r="CB42" s="1026" t="str">
        <f>IF($B42&lt;$C42,"* Las Gestantes de 20 a 24 años con Riesgo Psicosocial deben estar incluidas en el Total de Gestantes en Control misma edad. ","")</f>
        <v/>
      </c>
      <c r="CC42" s="1026" t="str">
        <f>IF($B42&lt;$E42,"* Las Gestantes de 20 a 24 años que presentan ARO deben estar incluidas en el Total de Gestantes en Control misma edad. ","")</f>
        <v/>
      </c>
      <c r="CD42" s="1026" t="str">
        <f>IF($B42&lt;$F42,"* Las Gestantes de 20 a 24 años que pertenecen a 'Población Migrantes' deben estar incluidas en el Total de Gestantes en Control misma edad. ","")</f>
        <v/>
      </c>
      <c r="CE42" s="1027"/>
      <c r="CF42" s="1026" t="str">
        <f t="shared" si="30"/>
        <v/>
      </c>
      <c r="DA42" s="391">
        <f t="shared" si="31"/>
        <v>0</v>
      </c>
      <c r="DB42" s="391">
        <f t="shared" si="32"/>
        <v>0</v>
      </c>
      <c r="DC42" s="391">
        <f t="shared" si="33"/>
        <v>0</v>
      </c>
      <c r="DD42" s="391">
        <f t="shared" si="34"/>
        <v>0</v>
      </c>
      <c r="DE42" s="385"/>
      <c r="DF42" s="449">
        <f t="shared" si="35"/>
        <v>0</v>
      </c>
    </row>
    <row r="43" spans="1:131" ht="15.75" customHeight="1" x14ac:dyDescent="0.15">
      <c r="A43" s="68" t="s">
        <v>19</v>
      </c>
      <c r="B43" s="588"/>
      <c r="C43" s="589"/>
      <c r="D43" s="600"/>
      <c r="E43" s="600"/>
      <c r="F43" s="570"/>
      <c r="G43" s="376" t="str">
        <f t="shared" si="29"/>
        <v/>
      </c>
      <c r="CA43" s="1026" t="str">
        <f>IF($C43&lt;$D43,"* Las Gestantes de 25 a 29 años con violencia de género deben estar incluidas en las Gestantes con riesgo psicosocial. ","")</f>
        <v/>
      </c>
      <c r="CB43" s="1026" t="str">
        <f>IF($B43&lt;$C43,"* Las Gestantes de 25 a 29 años con Riesgo Psicosocial deben estar incluidas en el Total de Gestantes en Control misma edad. ","")</f>
        <v/>
      </c>
      <c r="CC43" s="1026" t="str">
        <f>IF($B43&lt;$E43,"* Las Gestantes de 25 a 29 años que presentan ARO deben estar incluidas en el Total de Gestantes en Control misma edad. ","")</f>
        <v/>
      </c>
      <c r="CD43" s="1026" t="str">
        <f>IF($B43&lt;$F43,"* Las Gestantes de 25 a 29 años que pertenecen a 'Población Migrantes' deben estar incluidas en el Total de Gestantes en Control misma edad. ","")</f>
        <v/>
      </c>
      <c r="CE43" s="1027"/>
      <c r="CF43" s="1026" t="str">
        <f t="shared" si="30"/>
        <v/>
      </c>
      <c r="DA43" s="391">
        <f t="shared" si="31"/>
        <v>0</v>
      </c>
      <c r="DB43" s="391">
        <f t="shared" si="32"/>
        <v>0</v>
      </c>
      <c r="DC43" s="391">
        <f t="shared" si="33"/>
        <v>0</v>
      </c>
      <c r="DD43" s="391">
        <f t="shared" si="34"/>
        <v>0</v>
      </c>
      <c r="DE43" s="385"/>
      <c r="DF43" s="449">
        <f t="shared" si="35"/>
        <v>0</v>
      </c>
    </row>
    <row r="44" spans="1:131" ht="15.75" customHeight="1" x14ac:dyDescent="0.15">
      <c r="A44" s="68" t="s">
        <v>20</v>
      </c>
      <c r="B44" s="588"/>
      <c r="C44" s="589"/>
      <c r="D44" s="600"/>
      <c r="E44" s="600"/>
      <c r="F44" s="570"/>
      <c r="G44" s="376" t="str">
        <f t="shared" si="29"/>
        <v/>
      </c>
      <c r="CA44" s="1026" t="str">
        <f>IF($C44&lt;$D44,"* Las Gestantes de 30 a 34 años con violencia de género deben estar incluidas en las Gestantes con riesgo psicosocial. ","")</f>
        <v/>
      </c>
      <c r="CB44" s="1026" t="str">
        <f>IF($B44&lt;$C44,"* Las Gestantes de 30 a 34 años con Riesgo Psicosocial deben estar incluidas en el Total de Gestantes en Control misma edad. ","")</f>
        <v/>
      </c>
      <c r="CC44" s="1026" t="str">
        <f>IF($B44&lt;$E44,"* Las Gestantes de 30 a 34 años que presentan ARO deben estar incluidas en el Total de Gestantes en Control misma edad. ","")</f>
        <v/>
      </c>
      <c r="CD44" s="1026" t="str">
        <f>IF($B44&lt;$F44,"* Las Gestantes de 30 a 34 años que pertenecen a 'Población Migrantes' deben estar incluidas en el Total de Gestantes en Control misma edad. ","")</f>
        <v/>
      </c>
      <c r="CE44" s="1027"/>
      <c r="CF44" s="1026" t="str">
        <f t="shared" si="30"/>
        <v/>
      </c>
      <c r="DA44" s="391">
        <f t="shared" si="31"/>
        <v>0</v>
      </c>
      <c r="DB44" s="391">
        <f t="shared" si="32"/>
        <v>0</v>
      </c>
      <c r="DC44" s="391">
        <f t="shared" si="33"/>
        <v>0</v>
      </c>
      <c r="DD44" s="391">
        <f t="shared" si="34"/>
        <v>0</v>
      </c>
      <c r="DE44" s="385"/>
      <c r="DF44" s="449">
        <f t="shared" si="35"/>
        <v>0</v>
      </c>
    </row>
    <row r="45" spans="1:131" ht="15.75" customHeight="1" x14ac:dyDescent="0.15">
      <c r="A45" s="68" t="s">
        <v>21</v>
      </c>
      <c r="B45" s="588"/>
      <c r="C45" s="589"/>
      <c r="D45" s="600"/>
      <c r="E45" s="600"/>
      <c r="F45" s="570"/>
      <c r="G45" s="376" t="str">
        <f t="shared" si="29"/>
        <v/>
      </c>
      <c r="CA45" s="1026" t="str">
        <f>IF($C45&lt;$D45,"* Las Gestantes de 35 a 39 años con violencia de género deben estar incluidas en las Gestantes con riesgo psicosocial. ","")</f>
        <v/>
      </c>
      <c r="CB45" s="1026" t="str">
        <f>IF($B45&lt;$C45,"* Las Gestantes de 35 a 39 años con Riesgo Psicosocial deben estar incluidas en el Total de Gestantes en Control misma edad. ","")</f>
        <v/>
      </c>
      <c r="CC45" s="1026" t="str">
        <f>IF($B45&lt;$E45,"* Las Gestantes de 35 a 39 años que presentan ARO deben estar incluidas en el Total de Gestantes en Control misma edad. ","")</f>
        <v/>
      </c>
      <c r="CD45" s="1026" t="str">
        <f>IF($B45&lt;$F45,"* Las Gestantes de 35 a 39 años que pertenecen a 'Población Migrantes' deben estar incluidas en el Total de Gestantes en Control misma edad. ","")</f>
        <v/>
      </c>
      <c r="CE45" s="1027"/>
      <c r="CF45" s="1026" t="str">
        <f t="shared" si="30"/>
        <v/>
      </c>
      <c r="DA45" s="391">
        <f t="shared" si="31"/>
        <v>0</v>
      </c>
      <c r="DB45" s="391">
        <f t="shared" si="32"/>
        <v>0</v>
      </c>
      <c r="DC45" s="391">
        <f t="shared" si="33"/>
        <v>0</v>
      </c>
      <c r="DD45" s="391">
        <f t="shared" si="34"/>
        <v>0</v>
      </c>
      <c r="DE45" s="385"/>
      <c r="DF45" s="449">
        <f t="shared" si="35"/>
        <v>0</v>
      </c>
    </row>
    <row r="46" spans="1:131" ht="18" customHeight="1" x14ac:dyDescent="0.15">
      <c r="A46" s="68" t="s">
        <v>22</v>
      </c>
      <c r="B46" s="588"/>
      <c r="C46" s="589"/>
      <c r="D46" s="600"/>
      <c r="E46" s="600"/>
      <c r="F46" s="570"/>
      <c r="G46" s="376" t="str">
        <f t="shared" si="29"/>
        <v/>
      </c>
      <c r="CA46" s="1026" t="str">
        <f>IF($C46&lt;$D46,"* Las Gestantes de 40 a 44 años con violencia de género deben estar incluidas en las Gestantes con riesgo psicosocial. ","")</f>
        <v/>
      </c>
      <c r="CB46" s="1026" t="str">
        <f>IF($B46&lt;$C46,"* Las Gestantes de 40 a 44 años con Riesgo Psicosocial deben estar incluidas en el Total de Gestantes en Control misma edad. ","")</f>
        <v/>
      </c>
      <c r="CC46" s="1026" t="str">
        <f>IF($B46&lt;$E46,"* Las Gestantes de 40 a 44 años que presentan ARO deben estar incluidas en el Total de Gestantes en Control misma edad. ","")</f>
        <v/>
      </c>
      <c r="CD46" s="1026" t="str">
        <f>IF($B46&lt;$F46,"* Las Gestantes de 40 a 44 años que pertenecen a 'Población Migrantes' deben estar incluidas en el Total de Gestantes en Control misma edad. ","")</f>
        <v/>
      </c>
      <c r="CE46" s="1027"/>
      <c r="CF46" s="1026" t="str">
        <f t="shared" si="30"/>
        <v/>
      </c>
      <c r="DA46" s="391">
        <f t="shared" si="31"/>
        <v>0</v>
      </c>
      <c r="DB46" s="391">
        <f t="shared" si="32"/>
        <v>0</v>
      </c>
      <c r="DC46" s="391">
        <f t="shared" si="33"/>
        <v>0</v>
      </c>
      <c r="DD46" s="391">
        <f t="shared" si="34"/>
        <v>0</v>
      </c>
      <c r="DE46" s="385"/>
      <c r="DF46" s="449">
        <f t="shared" si="35"/>
        <v>0</v>
      </c>
    </row>
    <row r="47" spans="1:131" ht="15.75" customHeight="1" x14ac:dyDescent="0.15">
      <c r="A47" s="68" t="s">
        <v>23</v>
      </c>
      <c r="B47" s="588"/>
      <c r="C47" s="589"/>
      <c r="D47" s="600"/>
      <c r="E47" s="600"/>
      <c r="F47" s="570"/>
      <c r="G47" s="376" t="str">
        <f t="shared" si="29"/>
        <v/>
      </c>
      <c r="CA47" s="1026" t="str">
        <f>IF($C47&lt;$D47,"* Las Gestantes de 45 a 49 años con violencia de género deben estar incluidas en las Gestantes con riesgo psicosocial. ","")</f>
        <v/>
      </c>
      <c r="CB47" s="1026" t="str">
        <f>IF($B47&lt;$C47,"* Las Gestantes de 45 a 49 años con Riesgo Psicosocial deben estar incluidas en el Total de Gestantes en Control misma edad. ","")</f>
        <v/>
      </c>
      <c r="CC47" s="1026" t="str">
        <f>IF($B47&lt;$E47,"* Las Gestantes de 45 a 49 años que presentan ARO deben estar incluidas en el Total de Gestantes en Control misma edad. ","")</f>
        <v/>
      </c>
      <c r="CD47" s="1026" t="str">
        <f>IF($B47&lt;$F47,"* Las Gestantes de 45 a 49 años que pertenecen a 'Población Migrantes' deben estar incluidas en el Total de Gestantes en Control misma edad. ","")</f>
        <v/>
      </c>
      <c r="CE47" s="1027"/>
      <c r="CF47" s="1026" t="str">
        <f t="shared" si="30"/>
        <v/>
      </c>
      <c r="DA47" s="391">
        <f t="shared" si="31"/>
        <v>0</v>
      </c>
      <c r="DB47" s="391">
        <f t="shared" si="32"/>
        <v>0</v>
      </c>
      <c r="DC47" s="391">
        <f t="shared" si="33"/>
        <v>0</v>
      </c>
      <c r="DD47" s="391">
        <f t="shared" si="34"/>
        <v>0</v>
      </c>
      <c r="DE47" s="385"/>
      <c r="DF47" s="449">
        <f t="shared" si="35"/>
        <v>0</v>
      </c>
    </row>
    <row r="48" spans="1:131" ht="15.75" customHeight="1" x14ac:dyDescent="0.15">
      <c r="A48" s="68" t="s">
        <v>24</v>
      </c>
      <c r="B48" s="588"/>
      <c r="C48" s="589"/>
      <c r="D48" s="600"/>
      <c r="E48" s="600"/>
      <c r="F48" s="570"/>
      <c r="G48" s="376" t="str">
        <f t="shared" si="29"/>
        <v/>
      </c>
      <c r="CA48" s="1026" t="str">
        <f>IF($C48&lt;$D48,"* Las Gestantes de 50 a 54 años con violencia de género deben estar incluidas en las Gestantes con riesgo psicosocial. ","")</f>
        <v/>
      </c>
      <c r="CB48" s="1026" t="str">
        <f>IF($B48&lt;$C48,"* Las Gestantes de 50 a 54 años con Riesgo Psicosocial deben estar incluidas en el Total de Gestantes en Control misma edad. ","")</f>
        <v/>
      </c>
      <c r="CC48" s="1026" t="str">
        <f>IF($B48&lt;$E48,"* Las Gestantes de 50 a 54 años que presentan ARO deben estar incluidas en el Total de Gestantes en Control misma edad. ","")</f>
        <v/>
      </c>
      <c r="CD48" s="1026" t="str">
        <f>IF($B48&lt;$F48,"* Las Gestantes de 50 a 54 años que pertenecen a 'Población Migrantes' deben estar incluidas en el Total de Gestantes en Control misma edad. ","")</f>
        <v/>
      </c>
      <c r="CE48" s="1027"/>
      <c r="CF48" s="1026" t="str">
        <f t="shared" si="30"/>
        <v/>
      </c>
      <c r="DA48" s="391">
        <f t="shared" si="31"/>
        <v>0</v>
      </c>
      <c r="DB48" s="391">
        <f t="shared" si="32"/>
        <v>0</v>
      </c>
      <c r="DC48" s="391">
        <f t="shared" si="33"/>
        <v>0</v>
      </c>
      <c r="DD48" s="391">
        <f t="shared" si="34"/>
        <v>0</v>
      </c>
      <c r="DE48" s="385"/>
      <c r="DF48" s="449">
        <f t="shared" si="35"/>
        <v>0</v>
      </c>
    </row>
    <row r="49" spans="1:105" ht="15.75" customHeight="1" x14ac:dyDescent="0.15">
      <c r="A49" s="69" t="s">
        <v>13</v>
      </c>
      <c r="B49" s="591">
        <f>SUM(B40:B48)</f>
        <v>0</v>
      </c>
      <c r="C49" s="590">
        <f>SUM(C40:C48)</f>
        <v>0</v>
      </c>
      <c r="D49" s="1323">
        <f>SUM(D40:D48)</f>
        <v>0</v>
      </c>
      <c r="E49" s="1323">
        <f>SUM(E40:E48)</f>
        <v>0</v>
      </c>
      <c r="F49" s="591">
        <f>SUM(F40:F48)</f>
        <v>0</v>
      </c>
      <c r="G49" s="1681"/>
    </row>
    <row r="50" spans="1:105" ht="27.75" customHeight="1" x14ac:dyDescent="0.2">
      <c r="A50" s="452" t="s">
        <v>841</v>
      </c>
      <c r="B50" s="450"/>
      <c r="C50" s="450"/>
      <c r="D50" s="450"/>
      <c r="E50" s="450"/>
      <c r="F50" s="450"/>
      <c r="G50" s="450"/>
      <c r="H50" s="450"/>
      <c r="I50" s="450"/>
      <c r="J50" s="450"/>
      <c r="K50" s="450"/>
    </row>
    <row r="51" spans="1:105" ht="15.75" customHeight="1" x14ac:dyDescent="0.15">
      <c r="A51" s="1720" t="s">
        <v>38</v>
      </c>
      <c r="B51" s="1720" t="s">
        <v>39</v>
      </c>
      <c r="C51" s="1720" t="s">
        <v>40</v>
      </c>
      <c r="D51" s="70"/>
      <c r="E51" s="378"/>
    </row>
    <row r="52" spans="1:105" ht="15.75" customHeight="1" x14ac:dyDescent="0.15">
      <c r="A52" s="1720"/>
      <c r="B52" s="1720"/>
      <c r="C52" s="1720"/>
      <c r="D52" s="70"/>
      <c r="E52" s="378"/>
    </row>
    <row r="53" spans="1:105" ht="20.25" customHeight="1" x14ac:dyDescent="0.15">
      <c r="A53" s="66" t="s">
        <v>41</v>
      </c>
      <c r="B53" s="592"/>
      <c r="C53" s="547">
        <f>B53*1</f>
        <v>0</v>
      </c>
      <c r="D53" s="376" t="str">
        <f>($CA53&amp;$CB53&amp;$CC53&amp;$CD53&amp;$CE53&amp;$CF53&amp;$CG53&amp;$CH53&amp;$CI53&amp;$CJ53&amp;$CL53&amp;$CM53&amp;$CN53&amp;$CO53&amp;$CP53&amp;$CQ53&amp;$CR53&amp;$CS53&amp;$CT53&amp;$CU53&amp;$CV53&amp;$CW53&amp;$CX53&amp;$CY53&amp;$CZ53)</f>
        <v/>
      </c>
      <c r="E53" s="378"/>
      <c r="CA53" s="1026" t="str">
        <f>IF($C$53&lt;&gt;$B$53*1,"* NO ALTERE LAS FÓRMULAS, el Total de Visitas equivale a 1 visita por gestante. ","")</f>
        <v/>
      </c>
      <c r="DA53" s="391">
        <f>IF($C$53&lt;&gt;$B$53*1,1,0)</f>
        <v>0</v>
      </c>
    </row>
    <row r="54" spans="1:105" ht="20.25" customHeight="1" x14ac:dyDescent="0.15">
      <c r="A54" s="68" t="s">
        <v>42</v>
      </c>
      <c r="B54" s="593"/>
      <c r="C54" s="594">
        <f>B54*2</f>
        <v>0</v>
      </c>
      <c r="D54" s="376" t="str">
        <f>($CA54&amp;$CB54&amp;$CC54&amp;$CD54&amp;$CE54&amp;$CF54&amp;$CG54&amp;$CH54&amp;$CI54&amp;$CJ54&amp;$CL54&amp;$CM54&amp;$CN54&amp;$CO54&amp;$CP54&amp;$CQ54&amp;$CR54&amp;$CS54&amp;$CT54&amp;$CU54&amp;$CV54&amp;$CW54&amp;$CX54&amp;$CY54&amp;$CZ54)</f>
        <v/>
      </c>
      <c r="E54" s="378"/>
      <c r="BR54" s="433"/>
      <c r="BS54" s="433"/>
      <c r="BT54" s="433"/>
      <c r="BU54" s="433"/>
      <c r="BV54" s="433"/>
      <c r="BW54" s="433"/>
      <c r="BX54" s="433"/>
      <c r="BY54" s="433"/>
      <c r="BZ54" s="433"/>
      <c r="CA54" s="1026" t="str">
        <f>IF($C$54&lt;&gt;$B$54*2,"* NO ALTERE LAS FÓRMULAS, el Total de Visitas equivale a 2 visitas por gestante. ","")</f>
        <v/>
      </c>
      <c r="DA54" s="391">
        <f>IF($C$54&lt;&gt;$B$54*2,1,0)</f>
        <v>0</v>
      </c>
    </row>
    <row r="55" spans="1:105" ht="20.25" customHeight="1" x14ac:dyDescent="0.15">
      <c r="A55" s="68" t="s">
        <v>43</v>
      </c>
      <c r="B55" s="593"/>
      <c r="C55" s="594">
        <f>B55*3</f>
        <v>0</v>
      </c>
      <c r="D55" s="376" t="str">
        <f>($CA55&amp;$CB55&amp;$CC55&amp;$CD55&amp;$CE55&amp;$CF55&amp;$CG55&amp;$CH55&amp;$CI55&amp;$CJ55&amp;$CL55&amp;$CM55&amp;$CN55&amp;$CO55&amp;$CP55&amp;$CQ55&amp;$CR55&amp;$CS55&amp;$CT55&amp;$CU55&amp;$CV55&amp;$CW55&amp;$CX55&amp;$CY55&amp;$CZ55)</f>
        <v/>
      </c>
      <c r="E55" s="378"/>
      <c r="BR55" s="433"/>
      <c r="BS55" s="433"/>
      <c r="BT55" s="433"/>
      <c r="BU55" s="433"/>
      <c r="BV55" s="433"/>
      <c r="BW55" s="433"/>
      <c r="BX55" s="433"/>
      <c r="BY55" s="433"/>
      <c r="BZ55" s="433"/>
      <c r="CA55" s="1026" t="str">
        <f>IF($C$55&lt;&gt;$B$55*3,"* NO ALTERE LAS FÓRMULAS, el Total de Visitas equivale a 3 visitas por gestante. ","")</f>
        <v/>
      </c>
      <c r="DA55" s="391">
        <f>IF($C$55&lt;&gt;$B$55*3,1,0)</f>
        <v>0</v>
      </c>
    </row>
    <row r="56" spans="1:105" ht="20.25" customHeight="1" x14ac:dyDescent="0.15">
      <c r="A56" s="71" t="s">
        <v>889</v>
      </c>
      <c r="B56" s="595"/>
      <c r="C56" s="595"/>
      <c r="D56" s="376" t="str">
        <f>($CA56&amp;$CB56&amp;$CC56&amp;$CD56&amp;$CE56&amp;$CF56&amp;$CG56&amp;$CH56&amp;$CI56&amp;$CJ56&amp;$CL56&amp;$CM56&amp;$CN56&amp;$CO56&amp;$CP56&amp;$CQ56&amp;$CR56&amp;$CS56&amp;$CT56&amp;$CU56&amp;$CV56&amp;$CW56&amp;$CX56&amp;$CY56&amp;$CZ56)</f>
        <v/>
      </c>
      <c r="E56" s="378"/>
      <c r="BJ56" s="433"/>
      <c r="BK56" s="433"/>
      <c r="BL56" s="433"/>
      <c r="BM56" s="433"/>
      <c r="BN56" s="433"/>
      <c r="BO56" s="433"/>
      <c r="BP56" s="433"/>
      <c r="BQ56" s="433"/>
      <c r="BR56" s="433"/>
      <c r="BS56" s="433"/>
      <c r="BT56" s="433"/>
      <c r="BU56" s="433"/>
      <c r="BV56" s="433"/>
      <c r="BW56" s="433"/>
      <c r="BX56" s="433"/>
      <c r="BY56" s="433"/>
      <c r="BZ56" s="433"/>
    </row>
    <row r="57" spans="1:105" ht="15.75" customHeight="1" x14ac:dyDescent="0.15">
      <c r="A57" s="69" t="s">
        <v>13</v>
      </c>
      <c r="B57" s="596">
        <f>SUM(B53:B56)</f>
        <v>0</v>
      </c>
      <c r="C57" s="596">
        <f>SUM(C53:C56)</f>
        <v>0</v>
      </c>
      <c r="D57" s="67"/>
      <c r="E57" s="378"/>
      <c r="BJ57" s="433"/>
      <c r="BK57" s="433"/>
      <c r="BL57" s="433"/>
      <c r="BM57" s="433"/>
      <c r="BN57" s="433"/>
      <c r="BO57" s="433"/>
      <c r="BP57" s="433"/>
      <c r="BQ57" s="433"/>
      <c r="BR57" s="433"/>
      <c r="BS57" s="433"/>
      <c r="BT57" s="433"/>
      <c r="BU57" s="433"/>
      <c r="BV57" s="433"/>
      <c r="BW57" s="433"/>
      <c r="BX57" s="433"/>
      <c r="BY57" s="433"/>
      <c r="BZ57" s="433"/>
    </row>
    <row r="58" spans="1:105" ht="21" customHeight="1" x14ac:dyDescent="0.2">
      <c r="A58" s="1772" t="s">
        <v>503</v>
      </c>
      <c r="B58" s="1771"/>
      <c r="C58" s="1771"/>
      <c r="D58" s="1771"/>
      <c r="E58" s="1771"/>
      <c r="F58" s="1771"/>
      <c r="G58" s="1771"/>
      <c r="H58" s="1771"/>
      <c r="I58" s="1771"/>
      <c r="J58" s="1771"/>
      <c r="K58" s="1771"/>
      <c r="L58" s="1771"/>
      <c r="BJ58" s="433"/>
      <c r="BK58" s="433"/>
      <c r="BL58" s="433"/>
      <c r="BM58" s="433"/>
      <c r="BN58" s="433"/>
      <c r="BO58" s="433"/>
      <c r="BP58" s="433"/>
      <c r="BQ58" s="433"/>
      <c r="BR58" s="433"/>
      <c r="BS58" s="433"/>
      <c r="BT58" s="433"/>
      <c r="BU58" s="433"/>
      <c r="BV58" s="433"/>
      <c r="BW58" s="433"/>
      <c r="BX58" s="433"/>
      <c r="BY58" s="433"/>
      <c r="BZ58" s="433"/>
    </row>
    <row r="59" spans="1:105" ht="23.25" customHeight="1" x14ac:dyDescent="0.15">
      <c r="A59" s="1780" t="s">
        <v>44</v>
      </c>
      <c r="B59" s="1712" t="s">
        <v>45</v>
      </c>
      <c r="C59" s="1712" t="s">
        <v>13</v>
      </c>
      <c r="D59" s="1783" t="s">
        <v>46</v>
      </c>
      <c r="E59" s="1784"/>
      <c r="F59" s="1784"/>
      <c r="G59" s="1784"/>
      <c r="H59" s="1784"/>
      <c r="I59" s="1784"/>
      <c r="J59" s="1784"/>
      <c r="K59" s="1784"/>
      <c r="L59" s="1715"/>
      <c r="BJ59" s="433"/>
      <c r="BK59" s="433"/>
      <c r="BL59" s="433"/>
      <c r="BM59" s="433"/>
      <c r="BN59" s="433"/>
      <c r="BO59" s="433"/>
      <c r="BP59" s="433"/>
      <c r="BQ59" s="433"/>
      <c r="BR59" s="433"/>
      <c r="BS59" s="433"/>
      <c r="BT59" s="433"/>
      <c r="BU59" s="433"/>
      <c r="BV59" s="433"/>
      <c r="BW59" s="433"/>
      <c r="BX59" s="433"/>
      <c r="BY59" s="433"/>
      <c r="BZ59" s="433"/>
    </row>
    <row r="60" spans="1:105" ht="22.5" customHeight="1" x14ac:dyDescent="0.15">
      <c r="A60" s="1781"/>
      <c r="B60" s="1713"/>
      <c r="C60" s="1713"/>
      <c r="D60" s="81" t="s">
        <v>47</v>
      </c>
      <c r="E60" s="82" t="s">
        <v>17</v>
      </c>
      <c r="F60" s="82" t="s">
        <v>18</v>
      </c>
      <c r="G60" s="62" t="s">
        <v>19</v>
      </c>
      <c r="H60" s="62" t="s">
        <v>20</v>
      </c>
      <c r="I60" s="62" t="s">
        <v>21</v>
      </c>
      <c r="J60" s="62" t="s">
        <v>22</v>
      </c>
      <c r="K60" s="62" t="s">
        <v>23</v>
      </c>
      <c r="L60" s="1128" t="s">
        <v>24</v>
      </c>
      <c r="M60" s="57"/>
      <c r="BJ60" s="433"/>
      <c r="BK60" s="433"/>
      <c r="BL60" s="433"/>
      <c r="BM60" s="433"/>
      <c r="BN60" s="433"/>
      <c r="BO60" s="433"/>
      <c r="BP60" s="433"/>
      <c r="BQ60" s="433"/>
      <c r="BR60" s="433"/>
      <c r="BS60" s="433"/>
      <c r="BT60" s="433"/>
      <c r="BU60" s="433"/>
      <c r="BV60" s="433"/>
      <c r="BW60" s="433"/>
      <c r="BX60" s="433"/>
      <c r="BY60" s="433"/>
      <c r="BZ60" s="433"/>
    </row>
    <row r="61" spans="1:105" ht="18.75" customHeight="1" x14ac:dyDescent="0.15">
      <c r="A61" s="1712" t="s">
        <v>48</v>
      </c>
      <c r="B61" s="72" t="s">
        <v>49</v>
      </c>
      <c r="C61" s="597">
        <f>SUM(D61:L61)</f>
        <v>0</v>
      </c>
      <c r="D61" s="548"/>
      <c r="E61" s="550"/>
      <c r="F61" s="550"/>
      <c r="G61" s="550"/>
      <c r="H61" s="550"/>
      <c r="I61" s="550"/>
      <c r="J61" s="550"/>
      <c r="K61" s="550"/>
      <c r="L61" s="552"/>
      <c r="M61" s="376" t="str">
        <f t="shared" ref="M61:M69" si="36">($CA61&amp;$CB61&amp;$CC61&amp;$CD61&amp;$CE61&amp;$CF61&amp;$CG61&amp;$CH61&amp;$CI61&amp;$CJ61&amp;$CL61&amp;$CM61&amp;$CN61&amp;$CO61&amp;$CP61&amp;$CQ61&amp;$CR61&amp;$CS61&amp;$CT61&amp;$CU61&amp;$CV61&amp;$CW61&amp;$CX61&amp;$CY61&amp;$CZ61)</f>
        <v/>
      </c>
      <c r="BJ61" s="433"/>
      <c r="BK61" s="433"/>
      <c r="BL61" s="433"/>
      <c r="BM61" s="433"/>
      <c r="BN61" s="433"/>
      <c r="BO61" s="433"/>
      <c r="BP61" s="433"/>
      <c r="BQ61" s="433"/>
      <c r="BR61" s="433"/>
      <c r="BS61" s="433"/>
      <c r="BT61" s="433"/>
      <c r="BU61" s="433"/>
      <c r="BV61" s="433"/>
      <c r="BW61" s="433"/>
      <c r="BX61" s="433"/>
      <c r="BY61" s="433"/>
      <c r="BZ61" s="433"/>
    </row>
    <row r="62" spans="1:105" ht="18.75" customHeight="1" x14ac:dyDescent="0.15">
      <c r="A62" s="1782"/>
      <c r="B62" s="73" t="s">
        <v>50</v>
      </c>
      <c r="C62" s="598">
        <f>SUM(D62:L62)</f>
        <v>0</v>
      </c>
      <c r="D62" s="619"/>
      <c r="E62" s="565"/>
      <c r="F62" s="565"/>
      <c r="G62" s="565"/>
      <c r="H62" s="565"/>
      <c r="I62" s="565"/>
      <c r="J62" s="565"/>
      <c r="K62" s="565"/>
      <c r="L62" s="567"/>
      <c r="M62" s="376" t="str">
        <f t="shared" si="36"/>
        <v/>
      </c>
      <c r="BJ62" s="433"/>
      <c r="BK62" s="433"/>
      <c r="BL62" s="433"/>
      <c r="BM62" s="433"/>
      <c r="BN62" s="433"/>
      <c r="BO62" s="433"/>
      <c r="BP62" s="433"/>
      <c r="BQ62" s="433"/>
    </row>
    <row r="63" spans="1:105" ht="18.75" customHeight="1" x14ac:dyDescent="0.15">
      <c r="A63" s="1782"/>
      <c r="B63" s="73" t="s">
        <v>51</v>
      </c>
      <c r="C63" s="598">
        <f t="shared" ref="C63:C69" si="37">SUM(D63:L63)</f>
        <v>0</v>
      </c>
      <c r="D63" s="619"/>
      <c r="E63" s="565"/>
      <c r="F63" s="565"/>
      <c r="G63" s="565"/>
      <c r="H63" s="565"/>
      <c r="I63" s="565"/>
      <c r="J63" s="565"/>
      <c r="K63" s="565"/>
      <c r="L63" s="567"/>
      <c r="M63" s="376" t="str">
        <f t="shared" si="36"/>
        <v/>
      </c>
      <c r="BJ63" s="433"/>
      <c r="BK63" s="433"/>
      <c r="BL63" s="433"/>
      <c r="BM63" s="433"/>
      <c r="BN63" s="433"/>
      <c r="BO63" s="433"/>
      <c r="BP63" s="433"/>
      <c r="BQ63" s="433"/>
    </row>
    <row r="64" spans="1:105" ht="18.75" customHeight="1" x14ac:dyDescent="0.15">
      <c r="A64" s="1782"/>
      <c r="B64" s="74" t="s">
        <v>52</v>
      </c>
      <c r="C64" s="599">
        <f>SUM(D64:L64)</f>
        <v>0</v>
      </c>
      <c r="D64" s="702"/>
      <c r="E64" s="569"/>
      <c r="F64" s="569"/>
      <c r="G64" s="569"/>
      <c r="H64" s="569"/>
      <c r="I64" s="569"/>
      <c r="J64" s="569"/>
      <c r="K64" s="569"/>
      <c r="L64" s="570"/>
      <c r="M64" s="376" t="str">
        <f t="shared" si="36"/>
        <v/>
      </c>
    </row>
    <row r="65" spans="1:113" ht="18.75" customHeight="1" x14ac:dyDescent="0.15">
      <c r="A65" s="1713"/>
      <c r="B65" s="69" t="s">
        <v>13</v>
      </c>
      <c r="C65" s="596">
        <f>SUM(D65:L65)</f>
        <v>0</v>
      </c>
      <c r="D65" s="1124">
        <f>SUM(D61:D64)</f>
        <v>0</v>
      </c>
      <c r="E65" s="1125">
        <f t="shared" ref="E65:L65" si="38">SUM(E61:E64)</f>
        <v>0</v>
      </c>
      <c r="F65" s="1125">
        <f t="shared" si="38"/>
        <v>0</v>
      </c>
      <c r="G65" s="1125">
        <f t="shared" si="38"/>
        <v>0</v>
      </c>
      <c r="H65" s="1125">
        <f t="shared" si="38"/>
        <v>0</v>
      </c>
      <c r="I65" s="1125">
        <f t="shared" si="38"/>
        <v>0</v>
      </c>
      <c r="J65" s="1125">
        <f t="shared" si="38"/>
        <v>0</v>
      </c>
      <c r="K65" s="1125">
        <f t="shared" si="38"/>
        <v>0</v>
      </c>
      <c r="L65" s="1122">
        <f t="shared" si="38"/>
        <v>0</v>
      </c>
      <c r="M65" s="376" t="str">
        <f xml:space="preserve"> CA65 &amp; CB65 &amp; CC65 &amp; CD65 &amp; CE65 &amp; CF65 &amp; CG65 &amp; CH65 &amp; CI65</f>
        <v/>
      </c>
      <c r="CA65" s="1026" t="str">
        <f>IF($B$40&lt;&gt;$D65,"* Las Gestantes Menores de 15 años, según Estado Nutricional debe ser igual al Total de gestantes en Control de esa edad en Sección B. ","")</f>
        <v/>
      </c>
      <c r="CB65" s="1026" t="str">
        <f>IF($B$41&lt;&gt;$E65,"* Las gestantes 15-19 años, según Estado Nutricional debe ser igual al Total de gestantes en Control de esa edad en Sección B. ","")</f>
        <v/>
      </c>
      <c r="CC65" s="1026" t="str">
        <f>IF($B$42&lt;&gt;$F65,"* Las gestantes20-24 años, según Estado Nutricional debe ser igual al Total de gestantes en Control de esa edad en Sección B. ","")</f>
        <v/>
      </c>
      <c r="CD65" s="1026" t="str">
        <f>IF($B$43&lt;&gt;$G65,"* Las gestantes 25-29 años, según Estado Nutricional debe ser igual al Total de gestantes en Control de esa edad en Sección B. ","")</f>
        <v/>
      </c>
      <c r="CE65" s="1026" t="str">
        <f>IF($B$44&lt;&gt;$H65,"* Las gestantes30-34 años, según Estado Nutricional debe ser igual al Total de gestantes en Control de esa edad en Sección B. ","")</f>
        <v/>
      </c>
      <c r="CF65" s="1026" t="str">
        <f>IF($B$45&lt;&gt;$I65,"* Las gestantes 35-39 años, según Estado Nutricional debe ser igual al Total de gestantes en Control de esa edad en Sección B. ","")</f>
        <v/>
      </c>
      <c r="CG65" s="1026" t="str">
        <f>IF($B$46&lt;&gt;$J65,"* Las gestantes 40-44 años, según Estado Nutricional debe ser igual al Total de gestantes en Control de esa edad en Sección B. ","")</f>
        <v/>
      </c>
      <c r="CH65" s="1026" t="str">
        <f>IF($B$47&lt;&gt;$K65,"* Las gestantes 45-49 años, según Estado Nutricional debe ser igual al Total de gestantes en Control de esa edad en Sección B. ","")</f>
        <v/>
      </c>
      <c r="CI65" s="1026" t="str">
        <f>IF($B$48&lt;&gt;$L65,"* Las gestantes 50-54 años, según Estado Nutricional debe ser igual al Total de gestantes en Control de esa edad en Sección B. ","")</f>
        <v/>
      </c>
      <c r="DA65" s="391">
        <f>IF($B$40&lt;&gt;$D65,1,0)</f>
        <v>0</v>
      </c>
      <c r="DB65" s="391">
        <f>IF($B$41&lt;&gt;$E65,1,0)</f>
        <v>0</v>
      </c>
      <c r="DC65" s="391">
        <f>IF($B$42&lt;&gt;$F65,1,0)</f>
        <v>0</v>
      </c>
      <c r="DD65" s="391">
        <f>IF($B$43&lt;&gt;$G65,1,0)</f>
        <v>0</v>
      </c>
      <c r="DE65" s="391">
        <f>IF($B$44&lt;&gt;$H65,1,0)</f>
        <v>0</v>
      </c>
      <c r="DF65" s="391">
        <f>IF($B$45&lt;&gt;$I65,1,0)</f>
        <v>0</v>
      </c>
      <c r="DG65" s="391">
        <f>IF($B$46&lt;&gt;$J65,1,0)</f>
        <v>0</v>
      </c>
      <c r="DH65" s="391">
        <f>IF($B$47&lt;&gt;$K65,1,0)</f>
        <v>0</v>
      </c>
      <c r="DI65" s="391">
        <f>IF($B$48&lt;&gt;$L65,1,0)</f>
        <v>0</v>
      </c>
    </row>
    <row r="66" spans="1:113" ht="18.75" customHeight="1" x14ac:dyDescent="0.15">
      <c r="A66" s="1712" t="s">
        <v>53</v>
      </c>
      <c r="B66" s="72" t="s">
        <v>49</v>
      </c>
      <c r="C66" s="597">
        <f>SUM(D66:L66)</f>
        <v>0</v>
      </c>
      <c r="D66" s="548"/>
      <c r="E66" s="550"/>
      <c r="F66" s="550"/>
      <c r="G66" s="550"/>
      <c r="H66" s="550"/>
      <c r="I66" s="550"/>
      <c r="J66" s="550"/>
      <c r="K66" s="550"/>
      <c r="L66" s="552"/>
      <c r="M66" s="376" t="str">
        <f t="shared" si="36"/>
        <v/>
      </c>
    </row>
    <row r="67" spans="1:113" ht="18.75" customHeight="1" x14ac:dyDescent="0.15">
      <c r="A67" s="1782"/>
      <c r="B67" s="73" t="s">
        <v>50</v>
      </c>
      <c r="C67" s="598">
        <f t="shared" si="37"/>
        <v>0</v>
      </c>
      <c r="D67" s="619"/>
      <c r="E67" s="565"/>
      <c r="F67" s="565"/>
      <c r="G67" s="565"/>
      <c r="H67" s="565"/>
      <c r="I67" s="565"/>
      <c r="J67" s="565"/>
      <c r="K67" s="565"/>
      <c r="L67" s="567"/>
      <c r="M67" s="376" t="str">
        <f t="shared" si="36"/>
        <v/>
      </c>
    </row>
    <row r="68" spans="1:113" ht="18.75" customHeight="1" x14ac:dyDescent="0.15">
      <c r="A68" s="1782"/>
      <c r="B68" s="73" t="s">
        <v>51</v>
      </c>
      <c r="C68" s="598">
        <f t="shared" si="37"/>
        <v>0</v>
      </c>
      <c r="D68" s="619"/>
      <c r="E68" s="565"/>
      <c r="F68" s="565"/>
      <c r="G68" s="565"/>
      <c r="H68" s="565"/>
      <c r="I68" s="565"/>
      <c r="J68" s="565"/>
      <c r="K68" s="565"/>
      <c r="L68" s="567"/>
      <c r="M68" s="376" t="str">
        <f t="shared" si="36"/>
        <v/>
      </c>
    </row>
    <row r="69" spans="1:113" ht="18.75" customHeight="1" x14ac:dyDescent="0.15">
      <c r="A69" s="1782"/>
      <c r="B69" s="74" t="s">
        <v>52</v>
      </c>
      <c r="C69" s="599">
        <f t="shared" si="37"/>
        <v>0</v>
      </c>
      <c r="D69" s="578"/>
      <c r="E69" s="556"/>
      <c r="F69" s="556"/>
      <c r="G69" s="556"/>
      <c r="H69" s="556"/>
      <c r="I69" s="556"/>
      <c r="J69" s="556"/>
      <c r="K69" s="556"/>
      <c r="L69" s="571"/>
      <c r="M69" s="376" t="str">
        <f t="shared" si="36"/>
        <v/>
      </c>
    </row>
    <row r="70" spans="1:113" ht="21.75" customHeight="1" x14ac:dyDescent="0.15">
      <c r="A70" s="1713"/>
      <c r="B70" s="69" t="s">
        <v>13</v>
      </c>
      <c r="C70" s="601">
        <f>SUM(D70:L70)</f>
        <v>0</v>
      </c>
      <c r="D70" s="1126">
        <f>SUM(D66:D69)</f>
        <v>0</v>
      </c>
      <c r="E70" s="1127">
        <f>SUM(E66:E69)</f>
        <v>0</v>
      </c>
      <c r="F70" s="1127">
        <f t="shared" ref="F70:L70" si="39">SUM(F66:F69)</f>
        <v>0</v>
      </c>
      <c r="G70" s="1127">
        <f>SUM(G66:G69)</f>
        <v>0</v>
      </c>
      <c r="H70" s="1127">
        <f t="shared" si="39"/>
        <v>0</v>
      </c>
      <c r="I70" s="1127">
        <f t="shared" si="39"/>
        <v>0</v>
      </c>
      <c r="J70" s="1127">
        <f>SUM(J66:J69)</f>
        <v>0</v>
      </c>
      <c r="K70" s="1127">
        <f t="shared" si="39"/>
        <v>0</v>
      </c>
      <c r="L70" s="1123">
        <f t="shared" si="39"/>
        <v>0</v>
      </c>
      <c r="M70" s="376"/>
    </row>
    <row r="71" spans="1:113" ht="24.75" customHeight="1" x14ac:dyDescent="0.2">
      <c r="A71" s="453" t="s">
        <v>54</v>
      </c>
      <c r="B71" s="451"/>
      <c r="C71" s="451"/>
      <c r="D71" s="451"/>
      <c r="E71" s="451"/>
      <c r="F71" s="451"/>
      <c r="G71" s="451"/>
      <c r="H71" s="451"/>
      <c r="I71" s="451"/>
      <c r="J71" s="451"/>
      <c r="K71" s="451"/>
      <c r="L71" s="451"/>
    </row>
    <row r="72" spans="1:113" ht="24" customHeight="1" x14ac:dyDescent="0.15">
      <c r="A72" s="360" t="s">
        <v>55</v>
      </c>
      <c r="B72" s="355" t="s">
        <v>13</v>
      </c>
      <c r="C72" s="379"/>
      <c r="D72" s="60"/>
      <c r="E72" s="60"/>
      <c r="F72" s="60"/>
      <c r="G72" s="59"/>
      <c r="H72" s="59"/>
    </row>
    <row r="73" spans="1:113" ht="24.75" customHeight="1" x14ac:dyDescent="0.15">
      <c r="A73" s="75" t="s">
        <v>56</v>
      </c>
      <c r="B73" s="592"/>
      <c r="C73" s="376" t="str">
        <f>($CA73&amp;$CB73&amp;$CC73&amp;$CD73&amp;$CE73&amp;$CF73&amp;$CG73&amp;$CH73&amp;$CI73&amp;$CJ73&amp;$CL73&amp;$CM73&amp;$CN73&amp;$CO73&amp;$CP73&amp;$CQ73&amp;$CR73&amp;$CS73&amp;$CT73&amp;$CU73&amp;$CV73&amp;$CW73&amp;$CX73&amp;$CY73&amp;$CZ73)</f>
        <v/>
      </c>
      <c r="D73" s="59"/>
      <c r="E73" s="59"/>
      <c r="F73" s="59"/>
      <c r="G73" s="59"/>
      <c r="H73" s="59"/>
      <c r="CA73" s="1026" t="str">
        <f>IF($B$73&lt;=$C$64,"","* Gestantes malnutricion no debe ser mayor que Gestantes en Control Bajo Peso (Seccion D). ")</f>
        <v/>
      </c>
      <c r="DA73" s="391">
        <f>IF($B$73&lt;=$C$64,0,1)</f>
        <v>0</v>
      </c>
    </row>
    <row r="74" spans="1:113" ht="24.75" customHeight="1" x14ac:dyDescent="0.15">
      <c r="A74" s="76" t="s">
        <v>57</v>
      </c>
      <c r="B74" s="593"/>
      <c r="C74" s="376" t="str">
        <f>($CA74&amp;$CB74&amp;$CC74&amp;$CD74&amp;$CE74&amp;$CF74&amp;$CG74&amp;$CH74&amp;$CI74&amp;$CJ74&amp;$CL74&amp;$CM74&amp;$CN74&amp;$CO74&amp;$CP74&amp;$CQ74&amp;$CR74&amp;$CS74&amp;$CT74&amp;$CU74&amp;$CV74&amp;$CW74&amp;$CX74&amp;$CY74&amp;$CZ74)</f>
        <v/>
      </c>
      <c r="D74" s="59"/>
      <c r="E74" s="59"/>
      <c r="F74" s="59"/>
      <c r="G74" s="59"/>
      <c r="H74" s="59"/>
      <c r="CA74" s="1026" t="str">
        <f>IF($B$74&lt;=$C$61,"","* Gestantes malnutricion no debe ser mayor que Gestantes en Control Obesa (Seccion D). ")</f>
        <v/>
      </c>
      <c r="DA74" s="391">
        <f>IF($B$74&lt;=$C$61,0,1)</f>
        <v>0</v>
      </c>
    </row>
    <row r="75" spans="1:113" ht="24.75" customHeight="1" x14ac:dyDescent="0.15">
      <c r="A75" s="76" t="s">
        <v>58</v>
      </c>
      <c r="B75" s="593"/>
      <c r="C75" s="376" t="str">
        <f>($CA75&amp;$CB75&amp;$CC75&amp;$CD75&amp;$CE75&amp;$CF75&amp;$CG75&amp;$CH75&amp;$CI75&amp;$CJ75&amp;$CL75&amp;$CM75&amp;$CN75&amp;$CO75&amp;$CP75&amp;$CQ75&amp;$CR75&amp;$CS75&amp;$CT75&amp;$CU75&amp;$CV75&amp;$CW75&amp;$CX75&amp;$CY75&amp;$CZ75)</f>
        <v/>
      </c>
      <c r="D75" s="59"/>
      <c r="E75" s="59"/>
      <c r="F75" s="59"/>
      <c r="G75" s="59"/>
      <c r="H75" s="59"/>
      <c r="CA75" s="1026" t="str">
        <f>IF($B$75&lt;=$C$62,"","* Gestantes malnutricion no debe ser mayor que Gestantes en Control Sobrepeso (Seccion D). ")</f>
        <v/>
      </c>
      <c r="DA75" s="391">
        <f>IF($B$75&lt;=$C$62,0,1)</f>
        <v>0</v>
      </c>
    </row>
    <row r="76" spans="1:113" ht="24.75" customHeight="1" x14ac:dyDescent="0.15">
      <c r="A76" s="76" t="s">
        <v>59</v>
      </c>
      <c r="B76" s="593"/>
      <c r="C76" s="376" t="str">
        <f>($CA76&amp;$CB76&amp;$CC76&amp;$CD76&amp;$CE76&amp;$CF76&amp;$CG76&amp;$CH76&amp;$CI76&amp;$CJ76&amp;$CL76&amp;$CM76&amp;$CN76&amp;$CO76&amp;$CP76&amp;$CQ76&amp;$CR76&amp;$CS76&amp;$CT76&amp;$CU76&amp;$CV76&amp;$CW76&amp;$CX76&amp;$CY76&amp;$CZ76)</f>
        <v/>
      </c>
      <c r="D76" s="59"/>
      <c r="E76" s="59"/>
      <c r="F76" s="59"/>
      <c r="G76" s="59"/>
      <c r="H76" s="59"/>
    </row>
    <row r="77" spans="1:113" ht="24.75" customHeight="1" x14ac:dyDescent="0.15">
      <c r="A77" s="77" t="s">
        <v>60</v>
      </c>
      <c r="B77" s="595"/>
      <c r="C77" s="376" t="str">
        <f>($CA77&amp;$CB77&amp;$CC77&amp;$CD77&amp;$CE77&amp;$CF77&amp;$CG77&amp;$CH77&amp;$CI77&amp;$CJ77&amp;$CL77&amp;$CM77&amp;$CN77&amp;$CO77&amp;$CP77&amp;$CQ77&amp;$CR77&amp;$CS77&amp;$CT77&amp;$CU77&amp;$CV77&amp;$CW77&amp;$CX77&amp;$CY77&amp;$CZ77)</f>
        <v/>
      </c>
      <c r="D77" s="59"/>
      <c r="E77" s="59"/>
      <c r="F77" s="59"/>
      <c r="G77" s="59"/>
      <c r="H77" s="59"/>
    </row>
    <row r="78" spans="1:113" ht="25.5" customHeight="1" x14ac:dyDescent="0.2">
      <c r="A78" s="1767" t="s">
        <v>61</v>
      </c>
      <c r="B78" s="1768"/>
      <c r="C78" s="1768"/>
      <c r="D78" s="1768"/>
      <c r="E78" s="1768"/>
      <c r="F78" s="59"/>
      <c r="G78" s="59"/>
      <c r="H78" s="59"/>
    </row>
    <row r="79" spans="1:113" ht="33.75" customHeight="1" x14ac:dyDescent="0.15">
      <c r="A79" s="355" t="s">
        <v>62</v>
      </c>
      <c r="B79" s="355" t="s">
        <v>63</v>
      </c>
      <c r="C79" s="60"/>
      <c r="D79" s="78"/>
      <c r="E79" s="60"/>
      <c r="F79" s="60"/>
      <c r="G79" s="59"/>
      <c r="H79" s="59"/>
    </row>
    <row r="80" spans="1:113" ht="21" customHeight="1" x14ac:dyDescent="0.15">
      <c r="A80" s="79" t="s">
        <v>64</v>
      </c>
      <c r="B80" s="602"/>
      <c r="C80" s="376" t="str">
        <f>($CA80&amp;$CB80&amp;$CC80&amp;$CD80&amp;$CE80&amp;$CF80&amp;$CG80&amp;$CH80&amp;$CI80&amp;$CJ80&amp;$CL80&amp;$CM80&amp;$CN80&amp;$CO80&amp;$CP80&amp;$CQ80&amp;$CR80&amp;$CS80&amp;$CT80&amp;$CU80&amp;$CV80&amp;$CW80&amp;$CX80&amp;$CY80&amp;$CZ80)</f>
        <v/>
      </c>
      <c r="D80" s="59"/>
      <c r="E80" s="59"/>
      <c r="F80" s="59"/>
      <c r="G80" s="59"/>
      <c r="H80" s="59"/>
    </row>
    <row r="81" spans="1:108" ht="24.75" customHeight="1" x14ac:dyDescent="0.15">
      <c r="A81" s="314" t="s">
        <v>65</v>
      </c>
      <c r="B81" s="563"/>
      <c r="C81" s="376" t="str">
        <f>($CA81&amp;$CB81&amp;$CC81&amp;$CD81&amp;$CE81&amp;$CF81&amp;$CG81&amp;$CH81&amp;$CI81&amp;$CJ81&amp;$CL81&amp;$CM81&amp;$CN81&amp;$CO81&amp;$CP81&amp;$CQ81&amp;$CR81&amp;$CS81&amp;$CT81&amp;$CU81&amp;$CV81&amp;$CW81&amp;$CX81&amp;$CY81&amp;$CZ81)</f>
        <v/>
      </c>
      <c r="D81" s="59"/>
      <c r="E81" s="59"/>
      <c r="F81" s="59"/>
      <c r="G81" s="59"/>
      <c r="H81" s="59"/>
      <c r="CA81" s="1026" t="str">
        <f>IF($B81&gt;$B80,"* El Nº de mujeres con pauta aplicada MRS no debe ser mayor a la población de mujeres en control por climaterio. ","")</f>
        <v/>
      </c>
      <c r="DA81" s="391">
        <f>IF($B81&gt;$B80,1,0)</f>
        <v>0</v>
      </c>
    </row>
    <row r="82" spans="1:108" ht="22.5" customHeight="1" x14ac:dyDescent="0.15">
      <c r="A82" s="315" t="s">
        <v>624</v>
      </c>
      <c r="B82" s="575"/>
      <c r="C82" s="376" t="str">
        <f>($CA82&amp;$CB82&amp;$CC82&amp;$CD82&amp;$CE82&amp;$CF82&amp;$CG82&amp;$CH82&amp;$CI82&amp;$CJ82&amp;$CL82&amp;$CM82&amp;$CN82&amp;$CO82&amp;$CP82&amp;$CQ82&amp;$CR82&amp;$CS82&amp;$CT82&amp;$CU82&amp;$CV82&amp;$CW82&amp;$CX82&amp;$CY82&amp;$CZ82)</f>
        <v/>
      </c>
      <c r="D82" s="59"/>
      <c r="E82" s="59"/>
      <c r="F82" s="59"/>
      <c r="G82" s="59"/>
      <c r="H82" s="59"/>
      <c r="CA82" s="1026" t="str">
        <f>IF($B82&gt;$B81,"* El Nº de mujeres con puntaje elevado de MRS no debe ser mayor al Nº de mujeres con pauta aplicada MRS. ","")</f>
        <v/>
      </c>
      <c r="DA82" s="391">
        <f>IF($B82&gt;$B81,1,0)</f>
        <v>0</v>
      </c>
    </row>
    <row r="83" spans="1:108" ht="32.25" customHeight="1" x14ac:dyDescent="0.15">
      <c r="A83" s="315" t="s">
        <v>811</v>
      </c>
      <c r="B83" s="567"/>
      <c r="C83" s="376" t="str">
        <f>($CA83&amp;$CB83&amp;$CC83&amp;$CD83&amp;$CE83&amp;$CF83&amp;$CG83&amp;$CH83&amp;$CI83&amp;$CJ83&amp;$CL83&amp;$CM83&amp;$CN83&amp;$CO83&amp;$CP83&amp;$CQ83&amp;$CR83&amp;$CS83&amp;$CT83&amp;$CU83&amp;$CV83&amp;$CW83&amp;$CX83&amp;$CY83&amp;$CZ83)</f>
        <v/>
      </c>
      <c r="D83" s="59"/>
      <c r="E83" s="59"/>
      <c r="F83" s="59"/>
      <c r="G83" s="59"/>
      <c r="H83" s="59"/>
      <c r="CA83" s="1026" t="str">
        <f>IF($B83&gt;$B82,"* El Nº de mujeres con aplicación de terapia hormonal de reemplazo según MRS no debe ser mayor que el numero de mujeres con puntaje elevado de MRS. ","")</f>
        <v/>
      </c>
      <c r="DA83" s="391">
        <f>IF($B83&gt;$B82,1,0)</f>
        <v>0</v>
      </c>
    </row>
    <row r="84" spans="1:108" ht="21.75" customHeight="1" x14ac:dyDescent="0.15">
      <c r="A84" s="1496" t="s">
        <v>727</v>
      </c>
      <c r="B84" s="559"/>
      <c r="C84" s="376" t="str">
        <f>($CA84&amp;$CB84&amp;$CC84&amp;$CD84&amp;$CE84&amp;$CF84&amp;$CG84&amp;$CH84&amp;$CI84&amp;$CJ84&amp;$CL84&amp;$CM84&amp;$CN84&amp;$CO84&amp;$CP84&amp;$CQ84&amp;$CR84&amp;$CS84&amp;$CT84&amp;$CU84&amp;$CV84&amp;$CW84&amp;$CX84&amp;$CY84&amp;$CZ84)</f>
        <v/>
      </c>
      <c r="D84" s="59"/>
      <c r="E84" s="59"/>
      <c r="F84" s="59"/>
      <c r="G84" s="59"/>
      <c r="H84" s="59"/>
    </row>
    <row r="85" spans="1:108" ht="24.75" customHeight="1" x14ac:dyDescent="0.15">
      <c r="A85" s="1779" t="s">
        <v>66</v>
      </c>
      <c r="B85" s="1779"/>
      <c r="C85" s="80"/>
      <c r="D85" s="59"/>
      <c r="E85" s="59"/>
      <c r="F85" s="59"/>
      <c r="G85" s="59"/>
      <c r="H85" s="59"/>
    </row>
    <row r="86" spans="1:108" ht="17.25" customHeight="1" x14ac:dyDescent="0.2">
      <c r="A86" s="1292" t="s">
        <v>470</v>
      </c>
      <c r="B86" s="454"/>
      <c r="C86" s="440"/>
      <c r="D86" s="440"/>
      <c r="E86" s="440"/>
      <c r="F86" s="440"/>
      <c r="G86" s="440"/>
      <c r="H86" s="440"/>
      <c r="I86" s="440"/>
      <c r="J86" s="440"/>
      <c r="K86" s="450"/>
      <c r="L86" s="450"/>
      <c r="M86" s="450"/>
      <c r="N86" s="450"/>
    </row>
    <row r="87" spans="1:108" ht="24.75" customHeight="1" x14ac:dyDescent="0.15">
      <c r="A87" s="1728" t="s">
        <v>12</v>
      </c>
      <c r="B87" s="1729"/>
      <c r="C87" s="1732" t="s">
        <v>13</v>
      </c>
      <c r="D87" s="1791" t="s">
        <v>14</v>
      </c>
      <c r="E87" s="1792"/>
      <c r="F87" s="1792"/>
      <c r="G87" s="1792"/>
      <c r="H87" s="1793"/>
      <c r="I87" s="1710" t="s">
        <v>15</v>
      </c>
      <c r="J87" s="1764" t="s">
        <v>814</v>
      </c>
    </row>
    <row r="88" spans="1:108" ht="24.75" customHeight="1" x14ac:dyDescent="0.15">
      <c r="A88" s="1730"/>
      <c r="B88" s="1731"/>
      <c r="C88" s="1733"/>
      <c r="D88" s="319" t="s">
        <v>477</v>
      </c>
      <c r="E88" s="320" t="s">
        <v>23</v>
      </c>
      <c r="F88" s="320" t="s">
        <v>24</v>
      </c>
      <c r="G88" s="321" t="s">
        <v>478</v>
      </c>
      <c r="H88" s="321" t="s">
        <v>209</v>
      </c>
      <c r="I88" s="1711"/>
      <c r="J88" s="1765"/>
    </row>
    <row r="89" spans="1:108" ht="18" customHeight="1" x14ac:dyDescent="0.15">
      <c r="A89" s="1726" t="s">
        <v>471</v>
      </c>
      <c r="B89" s="1727"/>
      <c r="C89" s="603">
        <f>SUM(D89:H89)</f>
        <v>0</v>
      </c>
      <c r="D89" s="604"/>
      <c r="E89" s="605"/>
      <c r="F89" s="605"/>
      <c r="G89" s="605"/>
      <c r="H89" s="605"/>
      <c r="I89" s="1119"/>
      <c r="J89" s="606"/>
      <c r="K89" s="376" t="str">
        <f t="shared" ref="K89:K94" si="40">($CA89&amp;$CB89&amp;$CC89&amp;$CD89&amp;$CE89&amp;$CF89&amp;$CG89&amp;$CH89&amp;$CI89&amp;$CJ89&amp;$CL89&amp;$CM89&amp;$CN89&amp;$CO89&amp;$CP89&amp;$CQ89&amp;$CR89&amp;$CS89&amp;$CT89&amp;$CU89&amp;$CV89&amp;$CW89&amp;$CX89&amp;$CY89&amp;$CZ89)</f>
        <v/>
      </c>
      <c r="CA89" s="1026" t="str">
        <f t="shared" ref="CA89:CA94" si="41">IF($I89&gt;$C89,"* La celda 'Pueblos Originarios' debe ser menor o igual al Total en control. ","")</f>
        <v/>
      </c>
      <c r="CB89" s="1026" t="str">
        <f t="shared" ref="CB89:CB94" si="42">IF($J89&gt;$C89,"* La celda 'Población Migrantes' debe ser menor o igual al Total en control. ","")</f>
        <v/>
      </c>
      <c r="CC89" s="1026" t="str">
        <f t="shared" ref="CC89:CC94" si="43">IF(AND($C89&lt;&gt;0,$I89=""),"* No olvide escribir en la celda de 'Pueblos Originarios' (Digite CERO si no tiene). ","")</f>
        <v/>
      </c>
      <c r="CD89" s="1026" t="str">
        <f t="shared" ref="CD89:CD94" si="44">IF(AND($C89&lt;&gt;0,$J89=""),"* No olvide escribir en la celda de 'Población Migrantes' (Digite CERO si no tiene). ","")</f>
        <v/>
      </c>
      <c r="DA89" s="391">
        <f t="shared" ref="DA89:DA94" si="45">IF($I89&gt;$C89,1,0)</f>
        <v>0</v>
      </c>
      <c r="DB89" s="391">
        <f t="shared" ref="DB89:DB94" si="46">IF($J89&gt;$C89,1,0)</f>
        <v>0</v>
      </c>
      <c r="DC89" s="391">
        <f t="shared" ref="DC89:DC94" si="47">IF(AND($C89&lt;&gt;0,$I89=""),1,0)</f>
        <v>0</v>
      </c>
      <c r="DD89" s="391">
        <f t="shared" ref="DD89:DD94" si="48">IF(AND($C89&lt;&gt;0,$J89=""),1,0)</f>
        <v>0</v>
      </c>
    </row>
    <row r="90" spans="1:108" ht="18" customHeight="1" x14ac:dyDescent="0.15">
      <c r="A90" s="322" t="s">
        <v>472</v>
      </c>
      <c r="B90" s="323"/>
      <c r="C90" s="607">
        <f t="shared" ref="C90:C95" si="49">SUM(D90:H90)</f>
        <v>0</v>
      </c>
      <c r="D90" s="608"/>
      <c r="E90" s="608"/>
      <c r="F90" s="609"/>
      <c r="G90" s="609"/>
      <c r="H90" s="609"/>
      <c r="I90" s="1120"/>
      <c r="J90" s="610"/>
      <c r="K90" s="376" t="str">
        <f t="shared" si="40"/>
        <v/>
      </c>
      <c r="CA90" s="1026" t="str">
        <f t="shared" si="41"/>
        <v/>
      </c>
      <c r="CB90" s="1026" t="str">
        <f t="shared" si="42"/>
        <v/>
      </c>
      <c r="CC90" s="1026" t="str">
        <f t="shared" si="43"/>
        <v/>
      </c>
      <c r="CD90" s="1026" t="str">
        <f t="shared" si="44"/>
        <v/>
      </c>
      <c r="DA90" s="391">
        <f t="shared" si="45"/>
        <v>0</v>
      </c>
      <c r="DB90" s="391">
        <f t="shared" si="46"/>
        <v>0</v>
      </c>
      <c r="DC90" s="391">
        <f t="shared" si="47"/>
        <v>0</v>
      </c>
      <c r="DD90" s="391">
        <f t="shared" si="48"/>
        <v>0</v>
      </c>
    </row>
    <row r="91" spans="1:108" ht="18" customHeight="1" x14ac:dyDescent="0.15">
      <c r="A91" s="1722" t="s">
        <v>473</v>
      </c>
      <c r="B91" s="1723"/>
      <c r="C91" s="611">
        <f t="shared" si="49"/>
        <v>0</v>
      </c>
      <c r="D91" s="612"/>
      <c r="E91" s="612"/>
      <c r="F91" s="612"/>
      <c r="G91" s="612"/>
      <c r="H91" s="612"/>
      <c r="I91" s="1121"/>
      <c r="J91" s="613"/>
      <c r="K91" s="376" t="str">
        <f t="shared" si="40"/>
        <v/>
      </c>
      <c r="CA91" s="1026" t="str">
        <f t="shared" si="41"/>
        <v/>
      </c>
      <c r="CB91" s="1026" t="str">
        <f t="shared" si="42"/>
        <v/>
      </c>
      <c r="CC91" s="1026" t="str">
        <f t="shared" si="43"/>
        <v/>
      </c>
      <c r="CD91" s="1026" t="str">
        <f t="shared" si="44"/>
        <v/>
      </c>
      <c r="DA91" s="391">
        <f t="shared" si="45"/>
        <v>0</v>
      </c>
      <c r="DB91" s="391">
        <f t="shared" si="46"/>
        <v>0</v>
      </c>
      <c r="DC91" s="391">
        <f t="shared" si="47"/>
        <v>0</v>
      </c>
      <c r="DD91" s="391">
        <f t="shared" si="48"/>
        <v>0</v>
      </c>
    </row>
    <row r="92" spans="1:108" ht="18" customHeight="1" x14ac:dyDescent="0.15">
      <c r="A92" s="1724" t="s">
        <v>474</v>
      </c>
      <c r="B92" s="1725"/>
      <c r="C92" s="607">
        <f t="shared" si="49"/>
        <v>0</v>
      </c>
      <c r="D92" s="608"/>
      <c r="E92" s="608"/>
      <c r="F92" s="608"/>
      <c r="G92" s="608"/>
      <c r="H92" s="608"/>
      <c r="I92" s="1120"/>
      <c r="J92" s="610"/>
      <c r="K92" s="376" t="str">
        <f t="shared" si="40"/>
        <v/>
      </c>
      <c r="CA92" s="1026" t="str">
        <f t="shared" si="41"/>
        <v/>
      </c>
      <c r="CB92" s="1026" t="str">
        <f t="shared" si="42"/>
        <v/>
      </c>
      <c r="CC92" s="1026" t="str">
        <f t="shared" si="43"/>
        <v/>
      </c>
      <c r="CD92" s="1026" t="str">
        <f t="shared" si="44"/>
        <v/>
      </c>
      <c r="DA92" s="391">
        <f t="shared" si="45"/>
        <v>0</v>
      </c>
      <c r="DB92" s="391">
        <f t="shared" si="46"/>
        <v>0</v>
      </c>
      <c r="DC92" s="391">
        <f t="shared" si="47"/>
        <v>0</v>
      </c>
      <c r="DD92" s="391">
        <f t="shared" si="48"/>
        <v>0</v>
      </c>
    </row>
    <row r="93" spans="1:108" ht="18" customHeight="1" x14ac:dyDescent="0.15">
      <c r="A93" s="1724" t="s">
        <v>475</v>
      </c>
      <c r="B93" s="1725"/>
      <c r="C93" s="607">
        <f t="shared" si="49"/>
        <v>0</v>
      </c>
      <c r="D93" s="608"/>
      <c r="E93" s="608"/>
      <c r="F93" s="608"/>
      <c r="G93" s="608"/>
      <c r="H93" s="608"/>
      <c r="I93" s="1120"/>
      <c r="J93" s="610"/>
      <c r="K93" s="376" t="str">
        <f t="shared" si="40"/>
        <v/>
      </c>
      <c r="CA93" s="1026" t="str">
        <f t="shared" si="41"/>
        <v/>
      </c>
      <c r="CB93" s="1026" t="str">
        <f t="shared" si="42"/>
        <v/>
      </c>
      <c r="CC93" s="1026" t="str">
        <f t="shared" si="43"/>
        <v/>
      </c>
      <c r="CD93" s="1026" t="str">
        <f t="shared" si="44"/>
        <v/>
      </c>
      <c r="DA93" s="391">
        <f t="shared" si="45"/>
        <v>0</v>
      </c>
      <c r="DB93" s="391">
        <f t="shared" si="46"/>
        <v>0</v>
      </c>
      <c r="DC93" s="391">
        <f t="shared" si="47"/>
        <v>0</v>
      </c>
      <c r="DD93" s="391">
        <f t="shared" si="48"/>
        <v>0</v>
      </c>
    </row>
    <row r="94" spans="1:108" ht="18" customHeight="1" x14ac:dyDescent="0.15">
      <c r="A94" s="1724" t="s">
        <v>476</v>
      </c>
      <c r="B94" s="1725"/>
      <c r="C94" s="607">
        <f t="shared" si="49"/>
        <v>0</v>
      </c>
      <c r="D94" s="608"/>
      <c r="E94" s="608"/>
      <c r="F94" s="608"/>
      <c r="G94" s="608"/>
      <c r="H94" s="608"/>
      <c r="I94" s="1120"/>
      <c r="J94" s="610"/>
      <c r="K94" s="376" t="str">
        <f t="shared" si="40"/>
        <v/>
      </c>
      <c r="CA94" s="1026" t="str">
        <f t="shared" si="41"/>
        <v/>
      </c>
      <c r="CB94" s="1026" t="str">
        <f t="shared" si="42"/>
        <v/>
      </c>
      <c r="CC94" s="1026" t="str">
        <f t="shared" si="43"/>
        <v/>
      </c>
      <c r="CD94" s="1026" t="str">
        <f t="shared" si="44"/>
        <v/>
      </c>
      <c r="DA94" s="391">
        <f t="shared" si="45"/>
        <v>0</v>
      </c>
      <c r="DB94" s="391">
        <f t="shared" si="46"/>
        <v>0</v>
      </c>
      <c r="DC94" s="391">
        <f t="shared" si="47"/>
        <v>0</v>
      </c>
      <c r="DD94" s="391">
        <f t="shared" si="48"/>
        <v>0</v>
      </c>
    </row>
    <row r="95" spans="1:108" ht="18" customHeight="1" x14ac:dyDescent="0.15">
      <c r="A95" s="1785" t="s">
        <v>728</v>
      </c>
      <c r="B95" s="1786"/>
      <c r="C95" s="614">
        <f t="shared" si="49"/>
        <v>0</v>
      </c>
      <c r="D95" s="1289"/>
      <c r="E95" s="1289"/>
      <c r="F95" s="1289"/>
      <c r="G95" s="1289"/>
      <c r="H95" s="1289"/>
      <c r="I95" s="1290"/>
      <c r="J95" s="1291"/>
      <c r="K95" s="376"/>
    </row>
    <row r="96" spans="1:108" ht="27" customHeight="1" x14ac:dyDescent="0.2">
      <c r="A96" s="452" t="s">
        <v>504</v>
      </c>
      <c r="B96" s="450"/>
      <c r="C96" s="450"/>
      <c r="D96" s="450"/>
      <c r="E96" s="450"/>
      <c r="F96" s="450"/>
      <c r="G96" s="450"/>
      <c r="H96" s="450"/>
    </row>
    <row r="97" spans="1:130" ht="25.5" customHeight="1" x14ac:dyDescent="0.15">
      <c r="A97" s="1712" t="s">
        <v>62</v>
      </c>
      <c r="B97" s="1714" t="s">
        <v>343</v>
      </c>
      <c r="C97" s="1715"/>
      <c r="D97" s="1716" t="s">
        <v>846</v>
      </c>
      <c r="E97" s="1718" t="s">
        <v>847</v>
      </c>
      <c r="F97" s="60"/>
      <c r="G97" s="60"/>
      <c r="H97" s="59"/>
      <c r="I97" s="59"/>
      <c r="W97" s="308"/>
      <c r="X97" s="326"/>
      <c r="BI97" s="308"/>
      <c r="DZ97" s="180"/>
    </row>
    <row r="98" spans="1:130" ht="23.25" customHeight="1" x14ac:dyDescent="0.15">
      <c r="A98" s="1713"/>
      <c r="B98" s="81" t="s">
        <v>812</v>
      </c>
      <c r="C98" s="1497" t="s">
        <v>813</v>
      </c>
      <c r="D98" s="1717"/>
      <c r="E98" s="1719"/>
      <c r="F98" s="60"/>
      <c r="G98" s="60"/>
      <c r="H98" s="59"/>
      <c r="I98" s="59"/>
      <c r="W98" s="308"/>
      <c r="X98" s="326"/>
      <c r="BI98" s="308"/>
      <c r="DZ98" s="180"/>
    </row>
    <row r="99" spans="1:130" ht="17.25" customHeight="1" x14ac:dyDescent="0.15">
      <c r="A99" s="83" t="s">
        <v>534</v>
      </c>
      <c r="B99" s="548"/>
      <c r="C99" s="552"/>
      <c r="D99" s="549"/>
      <c r="E99" s="618"/>
      <c r="F99" s="376"/>
      <c r="G99" s="59"/>
      <c r="H99" s="59"/>
      <c r="I99" s="59"/>
      <c r="W99" s="308"/>
      <c r="X99" s="326"/>
      <c r="BI99" s="308"/>
      <c r="CA99" s="1026"/>
      <c r="DZ99" s="180"/>
    </row>
    <row r="100" spans="1:130" ht="17.25" customHeight="1" x14ac:dyDescent="0.15">
      <c r="A100" s="84" t="s">
        <v>330</v>
      </c>
      <c r="B100" s="619"/>
      <c r="C100" s="567"/>
      <c r="D100" s="564"/>
      <c r="E100" s="620"/>
      <c r="F100" s="376"/>
      <c r="G100" s="59"/>
      <c r="H100" s="59"/>
      <c r="I100" s="59"/>
      <c r="W100" s="308"/>
      <c r="X100" s="326"/>
      <c r="BI100" s="308"/>
      <c r="CA100" s="1026"/>
      <c r="DZ100" s="180"/>
    </row>
    <row r="101" spans="1:130" ht="17.25" customHeight="1" x14ac:dyDescent="0.15">
      <c r="A101" s="84" t="s">
        <v>316</v>
      </c>
      <c r="B101" s="619"/>
      <c r="C101" s="567"/>
      <c r="D101" s="564"/>
      <c r="E101" s="620"/>
      <c r="F101" s="376"/>
      <c r="G101" s="59"/>
      <c r="H101" s="59"/>
      <c r="I101" s="59"/>
      <c r="W101" s="308"/>
      <c r="X101" s="326"/>
      <c r="BI101" s="308"/>
      <c r="CA101" s="1026"/>
      <c r="DZ101" s="180"/>
    </row>
    <row r="102" spans="1:130" ht="17.25" customHeight="1" x14ac:dyDescent="0.15">
      <c r="A102" s="84" t="s">
        <v>331</v>
      </c>
      <c r="B102" s="619"/>
      <c r="C102" s="567"/>
      <c r="D102" s="564"/>
      <c r="E102" s="620"/>
      <c r="F102" s="376"/>
      <c r="G102" s="59"/>
      <c r="H102" s="59"/>
      <c r="I102" s="59"/>
      <c r="W102" s="308"/>
      <c r="X102" s="326"/>
      <c r="BI102" s="308"/>
      <c r="CA102" s="1026"/>
      <c r="DZ102" s="180"/>
    </row>
    <row r="103" spans="1:130" ht="17.25" customHeight="1" x14ac:dyDescent="0.15">
      <c r="A103" s="84" t="s">
        <v>332</v>
      </c>
      <c r="B103" s="619"/>
      <c r="C103" s="567"/>
      <c r="D103" s="564"/>
      <c r="E103" s="620"/>
      <c r="F103" s="376"/>
      <c r="G103" s="59"/>
      <c r="H103" s="59"/>
      <c r="I103" s="59"/>
      <c r="W103" s="308"/>
      <c r="X103" s="326"/>
      <c r="BI103" s="308"/>
      <c r="CA103" s="1026"/>
      <c r="DZ103" s="180"/>
    </row>
    <row r="104" spans="1:130" ht="17.25" customHeight="1" x14ac:dyDescent="0.15">
      <c r="A104" s="84" t="s">
        <v>333</v>
      </c>
      <c r="B104" s="619"/>
      <c r="C104" s="567"/>
      <c r="D104" s="564"/>
      <c r="E104" s="620"/>
      <c r="F104" s="376"/>
      <c r="G104" s="59"/>
      <c r="H104" s="59"/>
      <c r="I104" s="59"/>
      <c r="W104" s="308"/>
      <c r="X104" s="326"/>
      <c r="BI104" s="308"/>
      <c r="CA104" s="1026"/>
      <c r="DZ104" s="180"/>
    </row>
    <row r="105" spans="1:130" s="59" customFormat="1" ht="17.25" customHeight="1" x14ac:dyDescent="0.15">
      <c r="A105" s="84" t="s">
        <v>334</v>
      </c>
      <c r="B105" s="619"/>
      <c r="C105" s="567"/>
      <c r="D105" s="564"/>
      <c r="E105" s="620"/>
      <c r="F105" s="376"/>
      <c r="J105" s="180"/>
      <c r="K105" s="180"/>
      <c r="L105" s="180"/>
      <c r="M105" s="180"/>
      <c r="N105" s="180"/>
      <c r="O105" s="180"/>
      <c r="T105" s="1681"/>
      <c r="W105" s="328"/>
      <c r="X105" s="326"/>
      <c r="Y105" s="326"/>
      <c r="Z105" s="326"/>
      <c r="AA105" s="326"/>
      <c r="AB105" s="326"/>
      <c r="AC105" s="326"/>
      <c r="AD105" s="326"/>
      <c r="AE105" s="326"/>
      <c r="AF105" s="326"/>
      <c r="AG105" s="326"/>
      <c r="AH105" s="326"/>
      <c r="AI105" s="326"/>
      <c r="AJ105" s="326"/>
      <c r="AK105" s="326"/>
      <c r="AL105" s="326"/>
      <c r="AM105" s="326"/>
      <c r="AN105" s="326"/>
      <c r="AO105" s="326"/>
      <c r="AP105" s="326"/>
      <c r="AQ105" s="326"/>
      <c r="AR105" s="326"/>
      <c r="AS105" s="326"/>
      <c r="AT105" s="326"/>
      <c r="AU105" s="326"/>
      <c r="AV105" s="326"/>
      <c r="AW105" s="326"/>
      <c r="AX105" s="326"/>
      <c r="AY105" s="326"/>
      <c r="AZ105" s="326"/>
      <c r="BA105" s="326"/>
      <c r="BB105" s="326"/>
      <c r="BC105" s="326"/>
      <c r="BD105" s="326"/>
      <c r="BE105" s="326"/>
      <c r="BF105" s="326"/>
      <c r="BG105" s="326"/>
      <c r="BH105" s="326"/>
      <c r="BI105" s="308"/>
      <c r="BJ105" s="308"/>
      <c r="BK105" s="308"/>
      <c r="BL105" s="308"/>
      <c r="BM105" s="308"/>
      <c r="BN105" s="308"/>
      <c r="BO105" s="308"/>
      <c r="BP105" s="328"/>
      <c r="BQ105" s="328"/>
      <c r="BR105" s="328"/>
      <c r="BS105" s="328"/>
      <c r="BT105" s="328"/>
      <c r="BU105" s="328"/>
      <c r="BV105" s="328"/>
      <c r="BW105" s="328"/>
      <c r="BX105" s="328"/>
      <c r="BY105" s="328"/>
      <c r="CA105" s="1026"/>
      <c r="CB105" s="502"/>
      <c r="CC105" s="502"/>
      <c r="CD105" s="502"/>
      <c r="CE105" s="502"/>
      <c r="CF105" s="502"/>
      <c r="CG105" s="502"/>
      <c r="CH105" s="502"/>
      <c r="CI105" s="502"/>
      <c r="CJ105" s="502"/>
      <c r="CK105" s="502"/>
      <c r="CL105" s="502"/>
      <c r="CM105" s="502"/>
      <c r="CN105" s="502"/>
      <c r="CO105" s="502"/>
      <c r="CP105" s="502"/>
      <c r="CQ105" s="502"/>
      <c r="CR105" s="502"/>
      <c r="CS105" s="502"/>
      <c r="CT105" s="502"/>
      <c r="CU105" s="502"/>
      <c r="CV105" s="502"/>
      <c r="CW105" s="502"/>
      <c r="CX105" s="502"/>
      <c r="CY105" s="502"/>
      <c r="DA105" s="391"/>
      <c r="DB105" s="503"/>
      <c r="DC105" s="503"/>
      <c r="DD105" s="503"/>
      <c r="DE105" s="503"/>
      <c r="DF105" s="503"/>
      <c r="DG105" s="503"/>
      <c r="DH105" s="503"/>
      <c r="DI105" s="503"/>
      <c r="DJ105" s="503"/>
      <c r="DK105" s="503"/>
      <c r="DL105" s="503"/>
      <c r="DM105" s="503"/>
      <c r="DN105" s="503"/>
      <c r="DO105" s="503"/>
      <c r="DP105" s="503"/>
      <c r="DQ105" s="503"/>
      <c r="DR105" s="503"/>
      <c r="DS105" s="503"/>
      <c r="DT105" s="503"/>
      <c r="DU105" s="503"/>
      <c r="DV105" s="503"/>
      <c r="DW105" s="503"/>
      <c r="DX105" s="503"/>
      <c r="DY105" s="503"/>
    </row>
    <row r="106" spans="1:130" s="59" customFormat="1" ht="17.25" customHeight="1" x14ac:dyDescent="0.15">
      <c r="A106" s="84" t="s">
        <v>335</v>
      </c>
      <c r="B106" s="619"/>
      <c r="C106" s="567"/>
      <c r="D106" s="564"/>
      <c r="E106" s="620"/>
      <c r="F106" s="376"/>
      <c r="J106" s="180"/>
      <c r="K106" s="180"/>
      <c r="L106" s="180"/>
      <c r="M106" s="180"/>
      <c r="N106" s="180"/>
      <c r="O106" s="180"/>
      <c r="T106" s="1681"/>
      <c r="W106" s="328"/>
      <c r="X106" s="326"/>
      <c r="Y106" s="326"/>
      <c r="Z106" s="326"/>
      <c r="AA106" s="326"/>
      <c r="AB106" s="326"/>
      <c r="AC106" s="326"/>
      <c r="AD106" s="326"/>
      <c r="AE106" s="326"/>
      <c r="AF106" s="326"/>
      <c r="AG106" s="326"/>
      <c r="AH106" s="326"/>
      <c r="AI106" s="326"/>
      <c r="AJ106" s="326"/>
      <c r="AK106" s="326"/>
      <c r="AL106" s="326"/>
      <c r="AM106" s="326"/>
      <c r="AN106" s="326"/>
      <c r="AO106" s="326"/>
      <c r="AP106" s="326"/>
      <c r="AQ106" s="326"/>
      <c r="AR106" s="326"/>
      <c r="AS106" s="326"/>
      <c r="AT106" s="326"/>
      <c r="AU106" s="326"/>
      <c r="AV106" s="326"/>
      <c r="AW106" s="326"/>
      <c r="AX106" s="326"/>
      <c r="AY106" s="326"/>
      <c r="AZ106" s="326"/>
      <c r="BA106" s="326"/>
      <c r="BB106" s="326"/>
      <c r="BC106" s="326"/>
      <c r="BD106" s="326"/>
      <c r="BE106" s="326"/>
      <c r="BF106" s="326"/>
      <c r="BG106" s="326"/>
      <c r="BH106" s="326"/>
      <c r="BI106" s="308"/>
      <c r="BJ106" s="308"/>
      <c r="BK106" s="308"/>
      <c r="BL106" s="308"/>
      <c r="BM106" s="308"/>
      <c r="BN106" s="308"/>
      <c r="BO106" s="308"/>
      <c r="BP106" s="328"/>
      <c r="BQ106" s="328"/>
      <c r="BR106" s="328"/>
      <c r="BS106" s="328"/>
      <c r="BT106" s="328"/>
      <c r="BU106" s="328"/>
      <c r="BV106" s="328"/>
      <c r="BW106" s="328"/>
      <c r="BX106" s="328"/>
      <c r="BY106" s="328"/>
      <c r="CA106" s="1026"/>
      <c r="CB106" s="502"/>
      <c r="CC106" s="502"/>
      <c r="CD106" s="502"/>
      <c r="CE106" s="502"/>
      <c r="CF106" s="502"/>
      <c r="CG106" s="502"/>
      <c r="CH106" s="502"/>
      <c r="CI106" s="502"/>
      <c r="CJ106" s="502"/>
      <c r="CK106" s="502"/>
      <c r="CL106" s="502"/>
      <c r="CM106" s="502"/>
      <c r="CN106" s="502"/>
      <c r="CO106" s="502"/>
      <c r="CP106" s="502"/>
      <c r="CQ106" s="502"/>
      <c r="CR106" s="502"/>
      <c r="CS106" s="502"/>
      <c r="CT106" s="502"/>
      <c r="CU106" s="502"/>
      <c r="CV106" s="502"/>
      <c r="CW106" s="502"/>
      <c r="CX106" s="502"/>
      <c r="CY106" s="502"/>
      <c r="DA106" s="391"/>
      <c r="DB106" s="503"/>
      <c r="DC106" s="503"/>
      <c r="DD106" s="503"/>
      <c r="DE106" s="503"/>
      <c r="DF106" s="503"/>
      <c r="DG106" s="503"/>
      <c r="DH106" s="503"/>
      <c r="DI106" s="503"/>
      <c r="DJ106" s="503"/>
      <c r="DK106" s="503"/>
      <c r="DL106" s="503"/>
      <c r="DM106" s="503"/>
      <c r="DN106" s="503"/>
      <c r="DO106" s="503"/>
      <c r="DP106" s="503"/>
      <c r="DQ106" s="503"/>
      <c r="DR106" s="503"/>
      <c r="DS106" s="503"/>
      <c r="DT106" s="503"/>
      <c r="DU106" s="503"/>
      <c r="DV106" s="503"/>
      <c r="DW106" s="503"/>
      <c r="DX106" s="503"/>
      <c r="DY106" s="503"/>
    </row>
    <row r="107" spans="1:130" s="59" customFormat="1" ht="21.75" customHeight="1" x14ac:dyDescent="0.15">
      <c r="A107" s="85" t="s">
        <v>336</v>
      </c>
      <c r="B107" s="578"/>
      <c r="C107" s="571"/>
      <c r="D107" s="555"/>
      <c r="E107" s="621"/>
      <c r="F107" s="376"/>
      <c r="J107" s="180"/>
      <c r="K107" s="180"/>
      <c r="L107" s="180"/>
      <c r="M107" s="180"/>
      <c r="N107" s="180"/>
      <c r="O107" s="180"/>
      <c r="T107" s="1681"/>
      <c r="W107" s="328"/>
      <c r="X107" s="326"/>
      <c r="Y107" s="326"/>
      <c r="Z107" s="326"/>
      <c r="AA107" s="326"/>
      <c r="AB107" s="326"/>
      <c r="AC107" s="326"/>
      <c r="AD107" s="326"/>
      <c r="AE107" s="326"/>
      <c r="AF107" s="326"/>
      <c r="AG107" s="326"/>
      <c r="AH107" s="326"/>
      <c r="AI107" s="326"/>
      <c r="AJ107" s="326"/>
      <c r="AK107" s="326"/>
      <c r="AL107" s="326"/>
      <c r="AM107" s="326"/>
      <c r="AN107" s="326"/>
      <c r="AO107" s="326"/>
      <c r="AP107" s="326"/>
      <c r="AQ107" s="326"/>
      <c r="AR107" s="326"/>
      <c r="AS107" s="326"/>
      <c r="AT107" s="326"/>
      <c r="AU107" s="326"/>
      <c r="AV107" s="326"/>
      <c r="AW107" s="326"/>
      <c r="AX107" s="326"/>
      <c r="AY107" s="326"/>
      <c r="AZ107" s="326"/>
      <c r="BA107" s="326"/>
      <c r="BB107" s="326"/>
      <c r="BC107" s="326"/>
      <c r="BD107" s="326"/>
      <c r="BE107" s="326"/>
      <c r="BF107" s="326"/>
      <c r="BG107" s="326"/>
      <c r="BH107" s="326"/>
      <c r="BI107" s="328"/>
      <c r="BJ107" s="328"/>
      <c r="BK107" s="328"/>
      <c r="BL107" s="328"/>
      <c r="BM107" s="328"/>
      <c r="BN107" s="328"/>
      <c r="BO107" s="328"/>
      <c r="BP107" s="328"/>
      <c r="BQ107" s="328"/>
      <c r="BR107" s="328"/>
      <c r="BS107" s="328"/>
      <c r="BT107" s="328"/>
      <c r="BU107" s="328"/>
      <c r="BV107" s="328"/>
      <c r="BW107" s="328"/>
      <c r="BX107" s="328"/>
      <c r="BY107" s="328"/>
      <c r="CA107" s="1026"/>
      <c r="CB107" s="502"/>
      <c r="CC107" s="502"/>
      <c r="CD107" s="502"/>
      <c r="CE107" s="502"/>
      <c r="CF107" s="502"/>
      <c r="CG107" s="502"/>
      <c r="CH107" s="502"/>
      <c r="CI107" s="502"/>
      <c r="CJ107" s="502"/>
      <c r="CK107" s="502"/>
      <c r="CL107" s="502"/>
      <c r="CM107" s="502"/>
      <c r="CN107" s="502"/>
      <c r="CO107" s="502"/>
      <c r="CP107" s="502"/>
      <c r="CQ107" s="502"/>
      <c r="CR107" s="502"/>
      <c r="CS107" s="502"/>
      <c r="CT107" s="502"/>
      <c r="CU107" s="502"/>
      <c r="CV107" s="502"/>
      <c r="CW107" s="502"/>
      <c r="CX107" s="502"/>
      <c r="CY107" s="502"/>
      <c r="DA107" s="391"/>
      <c r="DB107" s="503"/>
      <c r="DC107" s="503"/>
      <c r="DD107" s="503"/>
      <c r="DE107" s="503"/>
      <c r="DF107" s="503"/>
      <c r="DG107" s="503"/>
      <c r="DH107" s="503"/>
      <c r="DI107" s="503"/>
      <c r="DJ107" s="503"/>
      <c r="DK107" s="503"/>
      <c r="DL107" s="503"/>
      <c r="DM107" s="503"/>
      <c r="DN107" s="503"/>
      <c r="DO107" s="503"/>
      <c r="DP107" s="503"/>
      <c r="DQ107" s="503"/>
      <c r="DR107" s="503"/>
      <c r="DS107" s="503"/>
      <c r="DT107" s="503"/>
      <c r="DU107" s="503"/>
      <c r="DV107" s="503"/>
      <c r="DW107" s="503"/>
      <c r="DX107" s="503"/>
      <c r="DY107" s="503"/>
    </row>
    <row r="108" spans="1:130" s="59" customFormat="1" ht="21.75" customHeight="1" x14ac:dyDescent="0.15">
      <c r="A108" s="294" t="s">
        <v>13</v>
      </c>
      <c r="B108" s="1124">
        <f>SUM(B99:B107)</f>
        <v>0</v>
      </c>
      <c r="C108" s="990">
        <f>SUM(C99:C107)</f>
        <v>0</v>
      </c>
      <c r="D108" s="616">
        <f>SUM(D99:D107)</f>
        <v>0</v>
      </c>
      <c r="E108" s="1331">
        <f>SUM(E99:E107)</f>
        <v>0</v>
      </c>
      <c r="J108" s="180"/>
      <c r="K108" s="180"/>
      <c r="L108" s="180"/>
      <c r="M108" s="180"/>
      <c r="N108" s="180"/>
      <c r="O108" s="180"/>
      <c r="T108" s="1681"/>
      <c r="W108" s="328"/>
      <c r="X108" s="326"/>
      <c r="Y108" s="326"/>
      <c r="Z108" s="326"/>
      <c r="AA108" s="326"/>
      <c r="AB108" s="326"/>
      <c r="AC108" s="326"/>
      <c r="AD108" s="326"/>
      <c r="AE108" s="326"/>
      <c r="AF108" s="326"/>
      <c r="AG108" s="326"/>
      <c r="AH108" s="326"/>
      <c r="AI108" s="326"/>
      <c r="AJ108" s="326"/>
      <c r="AK108" s="326"/>
      <c r="AL108" s="326"/>
      <c r="AM108" s="326"/>
      <c r="AN108" s="326"/>
      <c r="AO108" s="326"/>
      <c r="AP108" s="326"/>
      <c r="AQ108" s="326"/>
      <c r="AR108" s="326"/>
      <c r="AS108" s="326"/>
      <c r="AT108" s="326"/>
      <c r="AU108" s="326"/>
      <c r="AV108" s="326"/>
      <c r="AW108" s="326"/>
      <c r="AX108" s="326"/>
      <c r="AY108" s="326"/>
      <c r="AZ108" s="326"/>
      <c r="BA108" s="326"/>
      <c r="BB108" s="326"/>
      <c r="BC108" s="326"/>
      <c r="BD108" s="326"/>
      <c r="BE108" s="326"/>
      <c r="BF108" s="326"/>
      <c r="BG108" s="326"/>
      <c r="BH108" s="326"/>
      <c r="BI108" s="328"/>
      <c r="BJ108" s="328"/>
      <c r="BK108" s="328"/>
      <c r="BL108" s="328"/>
      <c r="BM108" s="328"/>
      <c r="BN108" s="328"/>
      <c r="BO108" s="328"/>
      <c r="BP108" s="328"/>
      <c r="BQ108" s="328"/>
      <c r="BR108" s="328"/>
      <c r="BS108" s="328"/>
      <c r="BT108" s="328"/>
      <c r="BU108" s="328"/>
      <c r="BV108" s="328"/>
      <c r="BW108" s="328"/>
      <c r="BX108" s="328"/>
      <c r="BY108" s="328"/>
      <c r="CA108" s="502"/>
      <c r="CB108" s="502"/>
      <c r="CC108" s="502"/>
      <c r="CD108" s="502"/>
      <c r="CE108" s="502"/>
      <c r="CF108" s="502"/>
      <c r="CG108" s="502"/>
      <c r="CH108" s="502"/>
      <c r="CI108" s="502"/>
      <c r="CJ108" s="502"/>
      <c r="CK108" s="502"/>
      <c r="CL108" s="502"/>
      <c r="CM108" s="502"/>
      <c r="CN108" s="502"/>
      <c r="CO108" s="502"/>
      <c r="CP108" s="502"/>
      <c r="CQ108" s="502"/>
      <c r="CR108" s="502"/>
      <c r="CS108" s="502"/>
      <c r="CT108" s="502"/>
      <c r="CU108" s="502"/>
      <c r="CV108" s="502"/>
      <c r="CW108" s="502"/>
      <c r="CX108" s="502"/>
      <c r="CY108" s="502"/>
      <c r="DA108" s="503"/>
      <c r="DB108" s="503"/>
      <c r="DC108" s="503"/>
      <c r="DD108" s="503"/>
      <c r="DE108" s="503"/>
      <c r="DF108" s="503"/>
      <c r="DG108" s="503"/>
      <c r="DH108" s="503"/>
      <c r="DI108" s="503"/>
      <c r="DJ108" s="503"/>
      <c r="DK108" s="503"/>
      <c r="DL108" s="503"/>
      <c r="DM108" s="503"/>
      <c r="DN108" s="503"/>
      <c r="DO108" s="503"/>
      <c r="DP108" s="503"/>
      <c r="DQ108" s="503"/>
      <c r="DR108" s="503"/>
      <c r="DS108" s="503"/>
      <c r="DT108" s="503"/>
      <c r="DU108" s="503"/>
      <c r="DV108" s="503"/>
      <c r="DW108" s="503"/>
      <c r="DX108" s="503"/>
      <c r="DY108" s="503"/>
    </row>
    <row r="109" spans="1:130" ht="25.5" customHeight="1" x14ac:dyDescent="0.25">
      <c r="A109" s="453" t="s">
        <v>613</v>
      </c>
      <c r="B109" s="1069"/>
      <c r="C109" s="1069"/>
      <c r="D109" s="1069"/>
      <c r="E109" s="1070"/>
      <c r="F109" s="1070"/>
      <c r="G109" s="1070"/>
      <c r="H109" s="1050"/>
      <c r="I109" s="1050"/>
      <c r="J109" s="1050"/>
      <c r="K109" s="1050"/>
      <c r="L109" s="1050"/>
    </row>
    <row r="110" spans="1:130" ht="21.75" customHeight="1" x14ac:dyDescent="0.15">
      <c r="A110" s="1712" t="s">
        <v>44</v>
      </c>
      <c r="B110" s="1712" t="s">
        <v>45</v>
      </c>
      <c r="C110" s="1712" t="s">
        <v>13</v>
      </c>
      <c r="D110" s="1787" t="s">
        <v>46</v>
      </c>
      <c r="E110" s="1787"/>
      <c r="F110" s="1787"/>
      <c r="G110" s="1787"/>
      <c r="H110" s="1787"/>
      <c r="I110" s="1787"/>
      <c r="J110" s="1787"/>
      <c r="K110" s="1787"/>
      <c r="L110" s="1787"/>
    </row>
    <row r="111" spans="1:130" ht="27" customHeight="1" x14ac:dyDescent="0.15">
      <c r="A111" s="1713"/>
      <c r="B111" s="1713"/>
      <c r="C111" s="1713"/>
      <c r="D111" s="1071" t="s">
        <v>47</v>
      </c>
      <c r="E111" s="82" t="s">
        <v>17</v>
      </c>
      <c r="F111" s="82" t="s">
        <v>18</v>
      </c>
      <c r="G111" s="82" t="s">
        <v>19</v>
      </c>
      <c r="H111" s="82" t="s">
        <v>20</v>
      </c>
      <c r="I111" s="82" t="s">
        <v>21</v>
      </c>
      <c r="J111" s="82" t="s">
        <v>22</v>
      </c>
      <c r="K111" s="82" t="s">
        <v>23</v>
      </c>
      <c r="L111" s="1072" t="s">
        <v>24</v>
      </c>
    </row>
    <row r="112" spans="1:130" ht="17.25" customHeight="1" x14ac:dyDescent="0.15">
      <c r="A112" s="1788" t="s">
        <v>594</v>
      </c>
      <c r="B112" s="1073" t="s">
        <v>49</v>
      </c>
      <c r="C112" s="1074">
        <f>SUM(D112:L112)</f>
        <v>0</v>
      </c>
      <c r="D112" s="1092"/>
      <c r="E112" s="1093"/>
      <c r="F112" s="1093"/>
      <c r="G112" s="1093"/>
      <c r="H112" s="1093"/>
      <c r="I112" s="1093"/>
      <c r="J112" s="1093"/>
      <c r="K112" s="1093"/>
      <c r="L112" s="1094"/>
      <c r="M112" s="1682"/>
      <c r="O112" s="59"/>
      <c r="P112" s="59"/>
    </row>
    <row r="113" spans="1:105" ht="18" customHeight="1" x14ac:dyDescent="0.15">
      <c r="A113" s="1789"/>
      <c r="B113" s="1075" t="s">
        <v>50</v>
      </c>
      <c r="C113" s="1076">
        <f>SUM(D113:L113)</f>
        <v>0</v>
      </c>
      <c r="D113" s="1095"/>
      <c r="E113" s="1096"/>
      <c r="F113" s="1096"/>
      <c r="G113" s="1096"/>
      <c r="H113" s="1096"/>
      <c r="I113" s="1096"/>
      <c r="J113" s="1096"/>
      <c r="K113" s="1096"/>
      <c r="L113" s="1097"/>
      <c r="M113" s="1682"/>
      <c r="O113" s="59"/>
      <c r="P113" s="59"/>
    </row>
    <row r="114" spans="1:105" ht="16.5" customHeight="1" x14ac:dyDescent="0.15">
      <c r="A114" s="1789"/>
      <c r="B114" s="1075" t="s">
        <v>51</v>
      </c>
      <c r="C114" s="1076">
        <f>SUM(D114:L114)</f>
        <v>0</v>
      </c>
      <c r="D114" s="1095"/>
      <c r="E114" s="1096"/>
      <c r="F114" s="1096"/>
      <c r="G114" s="1096"/>
      <c r="H114" s="1096"/>
      <c r="I114" s="1096"/>
      <c r="J114" s="1096"/>
      <c r="K114" s="1096"/>
      <c r="L114" s="1097"/>
      <c r="M114" s="1682"/>
      <c r="N114" s="59"/>
      <c r="O114" s="59"/>
      <c r="P114" s="59"/>
    </row>
    <row r="115" spans="1:105" ht="16.5" customHeight="1" x14ac:dyDescent="0.15">
      <c r="A115" s="1789"/>
      <c r="B115" s="1077" t="s">
        <v>52</v>
      </c>
      <c r="C115" s="1078">
        <f>SUM(D115:L115)</f>
        <v>0</v>
      </c>
      <c r="D115" s="1098"/>
      <c r="E115" s="1099"/>
      <c r="F115" s="1099"/>
      <c r="G115" s="1099"/>
      <c r="H115" s="1099"/>
      <c r="I115" s="1099"/>
      <c r="J115" s="1099"/>
      <c r="K115" s="1099"/>
      <c r="L115" s="1100"/>
      <c r="M115" s="1682"/>
      <c r="N115" s="59"/>
      <c r="O115" s="59"/>
      <c r="P115" s="59"/>
    </row>
    <row r="116" spans="1:105" ht="19.5" customHeight="1" x14ac:dyDescent="0.15">
      <c r="A116" s="1790"/>
      <c r="B116" s="1079" t="s">
        <v>13</v>
      </c>
      <c r="C116" s="1080">
        <f>SUM(D116:L116)</f>
        <v>0</v>
      </c>
      <c r="D116" s="1081">
        <f>SUM(D112:D115)</f>
        <v>0</v>
      </c>
      <c r="E116" s="1082">
        <f t="shared" ref="E116:L116" si="50">SUM(E112:E115)</f>
        <v>0</v>
      </c>
      <c r="F116" s="1082">
        <f t="shared" si="50"/>
        <v>0</v>
      </c>
      <c r="G116" s="1082">
        <f t="shared" si="50"/>
        <v>0</v>
      </c>
      <c r="H116" s="1082">
        <f t="shared" si="50"/>
        <v>0</v>
      </c>
      <c r="I116" s="1082">
        <f t="shared" si="50"/>
        <v>0</v>
      </c>
      <c r="J116" s="1082">
        <f t="shared" si="50"/>
        <v>0</v>
      </c>
      <c r="K116" s="1082">
        <f t="shared" si="50"/>
        <v>0</v>
      </c>
      <c r="L116" s="1083">
        <f t="shared" si="50"/>
        <v>0</v>
      </c>
      <c r="N116" s="59"/>
      <c r="O116" s="59"/>
      <c r="P116" s="59"/>
    </row>
    <row r="117" spans="1:105" ht="24" customHeight="1" x14ac:dyDescent="0.15">
      <c r="A117" s="1498" t="s">
        <v>869</v>
      </c>
      <c r="B117" s="1499"/>
      <c r="C117" s="1499"/>
      <c r="D117" s="1499"/>
      <c r="E117" s="1499"/>
      <c r="F117" s="1360"/>
      <c r="G117" s="1360"/>
      <c r="H117" s="1360"/>
      <c r="I117" s="1360"/>
      <c r="J117" s="1360"/>
      <c r="K117" s="1360"/>
      <c r="L117" s="1360"/>
      <c r="N117" s="59"/>
      <c r="O117" s="59"/>
      <c r="P117" s="59"/>
    </row>
    <row r="118" spans="1:105" ht="67.150000000000006" customHeight="1" x14ac:dyDescent="0.15">
      <c r="A118" s="1505" t="s">
        <v>62</v>
      </c>
      <c r="B118" s="1505" t="s">
        <v>842</v>
      </c>
      <c r="C118" s="1501" t="s">
        <v>873</v>
      </c>
      <c r="D118" s="1500" t="s">
        <v>870</v>
      </c>
      <c r="E118" s="1501" t="s">
        <v>890</v>
      </c>
      <c r="F118" s="1505" t="s">
        <v>871</v>
      </c>
      <c r="G118" s="1505" t="s">
        <v>874</v>
      </c>
      <c r="H118" s="1360"/>
      <c r="I118" s="1360"/>
      <c r="J118" s="1360"/>
      <c r="K118" s="1360"/>
      <c r="L118" s="1360"/>
      <c r="M118" s="1360"/>
      <c r="O118" s="59"/>
      <c r="P118" s="59"/>
      <c r="Q118" s="59"/>
      <c r="X118" s="180"/>
      <c r="Y118" s="308"/>
      <c r="BJ118" s="326"/>
      <c r="CA118" s="308"/>
      <c r="DA118" s="381"/>
    </row>
    <row r="119" spans="1:105" ht="19.5" customHeight="1" x14ac:dyDescent="0.15">
      <c r="A119" s="1319" t="s">
        <v>534</v>
      </c>
      <c r="B119" s="1652"/>
      <c r="C119" s="1653"/>
      <c r="D119" s="1654"/>
      <c r="E119" s="1653"/>
      <c r="F119" s="1652"/>
      <c r="G119" s="1652"/>
      <c r="H119" s="1683"/>
      <c r="I119" s="1360"/>
      <c r="J119" s="1360"/>
      <c r="K119" s="1360"/>
      <c r="L119" s="1360"/>
      <c r="M119" s="1360"/>
      <c r="O119" s="59"/>
      <c r="P119" s="59"/>
      <c r="Q119" s="59"/>
      <c r="X119" s="180"/>
      <c r="Y119" s="308"/>
      <c r="BJ119" s="326"/>
      <c r="CA119" s="308"/>
      <c r="DA119" s="381"/>
    </row>
    <row r="120" spans="1:105" ht="19.5" customHeight="1" x14ac:dyDescent="0.15">
      <c r="A120" s="1502" t="s">
        <v>330</v>
      </c>
      <c r="B120" s="1655"/>
      <c r="C120" s="1656"/>
      <c r="D120" s="1657"/>
      <c r="E120" s="1656"/>
      <c r="F120" s="1655"/>
      <c r="G120" s="1655"/>
      <c r="H120" s="1683"/>
      <c r="I120" s="1360"/>
      <c r="J120" s="1360"/>
      <c r="K120" s="1360"/>
      <c r="L120" s="1360"/>
      <c r="M120" s="1360"/>
      <c r="O120" s="59"/>
      <c r="P120" s="59"/>
      <c r="Q120" s="59"/>
      <c r="X120" s="180"/>
      <c r="Y120" s="308"/>
      <c r="BJ120" s="326"/>
      <c r="CA120" s="308"/>
      <c r="DA120" s="381"/>
    </row>
    <row r="121" spans="1:105" ht="19.5" customHeight="1" x14ac:dyDescent="0.15">
      <c r="A121" s="1502" t="s">
        <v>316</v>
      </c>
      <c r="B121" s="1655"/>
      <c r="C121" s="1656"/>
      <c r="D121" s="1657"/>
      <c r="E121" s="1656"/>
      <c r="F121" s="1655"/>
      <c r="G121" s="1655"/>
      <c r="H121" s="1683"/>
      <c r="I121" s="1360"/>
      <c r="J121" s="1360"/>
      <c r="K121" s="1360"/>
      <c r="L121" s="1360"/>
      <c r="M121" s="1360"/>
      <c r="O121" s="59"/>
      <c r="P121" s="59"/>
      <c r="Q121" s="59"/>
      <c r="X121" s="180"/>
      <c r="Y121" s="308"/>
      <c r="BJ121" s="326"/>
      <c r="CA121" s="308"/>
      <c r="DA121" s="381"/>
    </row>
    <row r="122" spans="1:105" ht="19.5" customHeight="1" x14ac:dyDescent="0.15">
      <c r="A122" s="1502" t="s">
        <v>331</v>
      </c>
      <c r="B122" s="1655"/>
      <c r="C122" s="1656"/>
      <c r="D122" s="1657"/>
      <c r="E122" s="1656"/>
      <c r="F122" s="1655"/>
      <c r="G122" s="1655"/>
      <c r="H122" s="1683"/>
      <c r="I122" s="1360"/>
      <c r="J122" s="1360"/>
      <c r="K122" s="1360"/>
      <c r="L122" s="1360"/>
      <c r="M122" s="1360"/>
      <c r="O122" s="59"/>
      <c r="P122" s="59"/>
      <c r="Q122" s="59"/>
      <c r="X122" s="180"/>
      <c r="Y122" s="308"/>
      <c r="BJ122" s="326"/>
      <c r="CA122" s="308"/>
      <c r="DA122" s="381"/>
    </row>
    <row r="123" spans="1:105" ht="19.5" customHeight="1" x14ac:dyDescent="0.15">
      <c r="A123" s="1502" t="s">
        <v>332</v>
      </c>
      <c r="B123" s="1655"/>
      <c r="C123" s="1656"/>
      <c r="D123" s="1657"/>
      <c r="E123" s="1656"/>
      <c r="F123" s="1655"/>
      <c r="G123" s="1655"/>
      <c r="H123" s="1683"/>
      <c r="I123" s="1360"/>
      <c r="J123" s="1360"/>
      <c r="K123" s="1360"/>
      <c r="L123" s="1360"/>
      <c r="M123" s="1360"/>
      <c r="O123" s="59"/>
      <c r="P123" s="59"/>
      <c r="Q123" s="59"/>
      <c r="X123" s="180"/>
      <c r="Y123" s="308"/>
      <c r="BJ123" s="326"/>
      <c r="CA123" s="308"/>
      <c r="DA123" s="381"/>
    </row>
    <row r="124" spans="1:105" ht="19.5" customHeight="1" x14ac:dyDescent="0.15">
      <c r="A124" s="1502" t="s">
        <v>333</v>
      </c>
      <c r="B124" s="1655"/>
      <c r="C124" s="1656"/>
      <c r="D124" s="1657"/>
      <c r="E124" s="1656"/>
      <c r="F124" s="1655"/>
      <c r="G124" s="1655"/>
      <c r="H124" s="1683"/>
      <c r="I124" s="1360"/>
      <c r="J124" s="1360"/>
      <c r="K124" s="1360"/>
      <c r="L124" s="1360"/>
      <c r="M124" s="1360"/>
      <c r="O124" s="59"/>
      <c r="P124" s="59"/>
      <c r="Q124" s="59"/>
      <c r="X124" s="180"/>
      <c r="Y124" s="308"/>
      <c r="BJ124" s="326"/>
      <c r="CA124" s="308"/>
      <c r="DA124" s="381"/>
    </row>
    <row r="125" spans="1:105" ht="19.5" customHeight="1" x14ac:dyDescent="0.15">
      <c r="A125" s="1502" t="s">
        <v>334</v>
      </c>
      <c r="B125" s="1655"/>
      <c r="C125" s="1656"/>
      <c r="D125" s="1657"/>
      <c r="E125" s="1656"/>
      <c r="F125" s="1655"/>
      <c r="G125" s="1655"/>
      <c r="H125" s="1683"/>
      <c r="I125" s="1360"/>
      <c r="J125" s="1360"/>
      <c r="K125" s="1360"/>
      <c r="L125" s="1360"/>
      <c r="M125" s="1360"/>
      <c r="O125" s="59"/>
      <c r="P125" s="59"/>
      <c r="Q125" s="59"/>
      <c r="X125" s="180"/>
      <c r="Y125" s="308"/>
      <c r="BJ125" s="326"/>
      <c r="CA125" s="308"/>
      <c r="DA125" s="381"/>
    </row>
    <row r="126" spans="1:105" ht="19.5" customHeight="1" x14ac:dyDescent="0.15">
      <c r="A126" s="1502" t="s">
        <v>335</v>
      </c>
      <c r="B126" s="1655"/>
      <c r="C126" s="1656"/>
      <c r="D126" s="1657"/>
      <c r="E126" s="1656"/>
      <c r="F126" s="1655"/>
      <c r="G126" s="1655"/>
      <c r="H126" s="1683"/>
      <c r="I126" s="1360"/>
      <c r="J126" s="1360"/>
      <c r="K126" s="1360"/>
      <c r="L126" s="1360"/>
      <c r="M126" s="1360"/>
      <c r="O126" s="59"/>
      <c r="P126" s="59"/>
      <c r="Q126" s="59"/>
      <c r="X126" s="180"/>
      <c r="Y126" s="308"/>
      <c r="BJ126" s="326"/>
      <c r="CA126" s="308"/>
      <c r="DA126" s="381"/>
    </row>
    <row r="127" spans="1:105" ht="19.5" customHeight="1" x14ac:dyDescent="0.15">
      <c r="A127" s="1491" t="s">
        <v>336</v>
      </c>
      <c r="B127" s="1658"/>
      <c r="C127" s="1659"/>
      <c r="D127" s="1660"/>
      <c r="E127" s="1659"/>
      <c r="F127" s="1658"/>
      <c r="G127" s="1658"/>
      <c r="H127" s="1683"/>
      <c r="I127" s="1360"/>
      <c r="J127" s="1360"/>
      <c r="K127" s="1360"/>
      <c r="L127" s="1360"/>
      <c r="M127" s="1360"/>
      <c r="O127" s="59"/>
      <c r="P127" s="59"/>
      <c r="Q127" s="59"/>
      <c r="X127" s="180"/>
      <c r="Y127" s="308"/>
      <c r="BJ127" s="326"/>
      <c r="CA127" s="308"/>
      <c r="DA127" s="381"/>
    </row>
    <row r="128" spans="1:105" ht="19.5" customHeight="1" x14ac:dyDescent="0.15">
      <c r="A128" s="1505" t="s">
        <v>13</v>
      </c>
      <c r="B128" s="1506">
        <f t="shared" ref="B128:G128" si="51">SUM(B119:B127)</f>
        <v>0</v>
      </c>
      <c r="C128" s="1503">
        <f t="shared" si="51"/>
        <v>0</v>
      </c>
      <c r="D128" s="1509">
        <f t="shared" si="51"/>
        <v>0</v>
      </c>
      <c r="E128" s="1508">
        <f t="shared" si="51"/>
        <v>0</v>
      </c>
      <c r="F128" s="1506">
        <f t="shared" si="51"/>
        <v>0</v>
      </c>
      <c r="G128" s="1506">
        <f t="shared" si="51"/>
        <v>0</v>
      </c>
      <c r="H128" s="1683"/>
      <c r="I128" s="1360"/>
      <c r="J128" s="1360"/>
      <c r="K128" s="1360"/>
      <c r="L128" s="1360"/>
      <c r="M128" s="1360"/>
      <c r="O128" s="59"/>
      <c r="P128" s="59"/>
      <c r="Q128" s="59"/>
      <c r="X128" s="180"/>
      <c r="Y128" s="308"/>
      <c r="BJ128" s="326"/>
      <c r="CA128" s="308"/>
      <c r="DA128" s="381"/>
    </row>
    <row r="129" spans="1:105" ht="21" customHeight="1" x14ac:dyDescent="0.15">
      <c r="A129" s="1505" t="s">
        <v>872</v>
      </c>
      <c r="B129" s="1507"/>
      <c r="C129" s="1661"/>
      <c r="D129" s="1662"/>
      <c r="E129" s="1504"/>
      <c r="F129" s="1663"/>
      <c r="G129" s="1663"/>
      <c r="H129" s="1683"/>
      <c r="I129" s="1360"/>
      <c r="J129" s="1360"/>
      <c r="K129" s="1360"/>
      <c r="L129" s="1360"/>
      <c r="M129" s="1360"/>
      <c r="O129" s="59"/>
      <c r="P129" s="59"/>
      <c r="Q129" s="59"/>
      <c r="X129" s="180"/>
      <c r="Y129" s="308"/>
      <c r="BJ129" s="326"/>
      <c r="CA129" s="308"/>
      <c r="DA129" s="381"/>
    </row>
    <row r="130" spans="1:105" ht="24" customHeight="1" x14ac:dyDescent="0.2">
      <c r="A130" s="455" t="s">
        <v>67</v>
      </c>
      <c r="B130" s="59"/>
      <c r="C130" s="59"/>
      <c r="D130" s="59"/>
      <c r="E130" s="59"/>
      <c r="F130" s="59"/>
      <c r="G130" s="59"/>
      <c r="H130" s="59"/>
      <c r="N130" s="59"/>
      <c r="O130" s="59"/>
      <c r="P130" s="59"/>
    </row>
    <row r="131" spans="1:105" ht="24" customHeight="1" x14ac:dyDescent="0.2">
      <c r="A131" s="1767" t="s">
        <v>843</v>
      </c>
      <c r="B131" s="1768"/>
      <c r="C131" s="1768"/>
      <c r="D131" s="1768"/>
      <c r="E131" s="1768"/>
      <c r="F131" s="1768"/>
      <c r="G131" s="1768"/>
      <c r="H131" s="1768"/>
      <c r="N131" s="59"/>
      <c r="O131" s="59"/>
      <c r="P131" s="59"/>
    </row>
    <row r="132" spans="1:105" ht="24" customHeight="1" x14ac:dyDescent="0.15">
      <c r="A132" s="355" t="s">
        <v>68</v>
      </c>
      <c r="B132" s="355" t="s">
        <v>13</v>
      </c>
      <c r="C132" s="1684"/>
      <c r="D132" s="87"/>
      <c r="E132" s="59"/>
      <c r="F132" s="59"/>
      <c r="G132" s="59"/>
      <c r="H132" s="88"/>
      <c r="N132" s="59"/>
      <c r="O132" s="59"/>
      <c r="P132" s="59"/>
    </row>
    <row r="133" spans="1:105" ht="24" customHeight="1" x14ac:dyDescent="0.15">
      <c r="A133" s="89" t="s">
        <v>69</v>
      </c>
      <c r="B133" s="592"/>
      <c r="C133" s="376" t="str">
        <f t="shared" ref="C133:C138" si="52">($CA111&amp;$CB111&amp;$CC111&amp;$CD111&amp;$CE111&amp;$CF111&amp;$CG111&amp;$CH111&amp;$CI111&amp;$CJ111&amp;$CL111&amp;$CM111&amp;$CN111&amp;$CO111&amp;$CP111&amp;$CQ111&amp;$CR111&amp;$CS111&amp;$CT111&amp;$CU111&amp;$CV111&amp;$CW111&amp;$CX111&amp;$CY111&amp;$CZ111)</f>
        <v/>
      </c>
      <c r="D133" s="380"/>
      <c r="E133" s="59"/>
      <c r="F133" s="59"/>
      <c r="G133" s="59"/>
      <c r="N133" s="59"/>
    </row>
    <row r="134" spans="1:105" ht="36" customHeight="1" x14ac:dyDescent="0.15">
      <c r="A134" s="90" t="s">
        <v>70</v>
      </c>
      <c r="B134" s="593"/>
      <c r="C134" s="376" t="str">
        <f t="shared" si="52"/>
        <v/>
      </c>
      <c r="E134" s="438"/>
      <c r="F134" s="59"/>
      <c r="G134" s="59"/>
      <c r="N134" s="59"/>
    </row>
    <row r="135" spans="1:105" ht="36" customHeight="1" x14ac:dyDescent="0.15">
      <c r="A135" s="91" t="s">
        <v>71</v>
      </c>
      <c r="B135" s="593"/>
      <c r="C135" s="376" t="str">
        <f t="shared" si="52"/>
        <v/>
      </c>
      <c r="D135" s="380"/>
      <c r="E135" s="59"/>
      <c r="F135" s="59"/>
      <c r="G135" s="59"/>
    </row>
    <row r="136" spans="1:105" ht="27.75" customHeight="1" x14ac:dyDescent="0.15">
      <c r="A136" s="90" t="s">
        <v>822</v>
      </c>
      <c r="B136" s="593"/>
      <c r="C136" s="376" t="str">
        <f t="shared" si="52"/>
        <v/>
      </c>
      <c r="D136" s="380"/>
      <c r="E136" s="59"/>
      <c r="F136" s="59"/>
      <c r="G136" s="59"/>
    </row>
    <row r="137" spans="1:105" ht="24" customHeight="1" x14ac:dyDescent="0.15">
      <c r="A137" s="90" t="s">
        <v>876</v>
      </c>
      <c r="B137" s="593"/>
      <c r="C137" s="376" t="str">
        <f t="shared" si="52"/>
        <v/>
      </c>
      <c r="D137" s="59"/>
      <c r="E137" s="59"/>
    </row>
    <row r="138" spans="1:105" ht="24" customHeight="1" x14ac:dyDescent="0.15">
      <c r="A138" s="90" t="s">
        <v>72</v>
      </c>
      <c r="B138" s="593"/>
      <c r="C138" s="376" t="str">
        <f t="shared" si="52"/>
        <v/>
      </c>
      <c r="D138" s="380"/>
      <c r="E138" s="59"/>
      <c r="F138" s="59"/>
      <c r="G138" s="59"/>
    </row>
    <row r="139" spans="1:105" ht="22.9" customHeight="1" x14ac:dyDescent="0.15">
      <c r="A139" s="90" t="s">
        <v>344</v>
      </c>
      <c r="B139" s="593"/>
      <c r="C139" s="376" t="str">
        <f t="shared" ref="C139:C150" si="53">($CA130&amp;$CB130&amp;$CC130&amp;$CD130&amp;$CE130&amp;$CF130&amp;$CG130&amp;$CH130&amp;$CI130&amp;$CJ130&amp;$CL130&amp;$CM130&amp;$CN130&amp;$CO130&amp;$CP130&amp;$CQ130&amp;$CR130&amp;$CS130&amp;$CT130&amp;$CU130&amp;$CV130&amp;$CW130&amp;$CX130&amp;$CY130&amp;$CZ130)</f>
        <v/>
      </c>
      <c r="D139" s="380"/>
      <c r="E139" s="59"/>
      <c r="F139" s="59"/>
      <c r="G139" s="59"/>
    </row>
    <row r="140" spans="1:105" ht="22.9" customHeight="1" x14ac:dyDescent="0.15">
      <c r="A140" s="90" t="s">
        <v>345</v>
      </c>
      <c r="B140" s="593"/>
      <c r="C140" s="376" t="str">
        <f t="shared" si="53"/>
        <v/>
      </c>
      <c r="D140" s="380"/>
      <c r="E140" s="59"/>
      <c r="F140" s="59"/>
      <c r="G140" s="59"/>
    </row>
    <row r="141" spans="1:105" ht="22.9" customHeight="1" x14ac:dyDescent="0.15">
      <c r="A141" s="90" t="s">
        <v>73</v>
      </c>
      <c r="B141" s="593"/>
      <c r="C141" s="376" t="str">
        <f t="shared" si="53"/>
        <v/>
      </c>
      <c r="D141" s="380"/>
      <c r="E141" s="59"/>
      <c r="F141" s="59"/>
      <c r="G141" s="59"/>
    </row>
    <row r="142" spans="1:105" ht="22.9" customHeight="1" x14ac:dyDescent="0.15">
      <c r="A142" s="90" t="s">
        <v>74</v>
      </c>
      <c r="B142" s="593"/>
      <c r="C142" s="376" t="str">
        <f t="shared" si="53"/>
        <v/>
      </c>
      <c r="D142" s="380"/>
      <c r="E142" s="59"/>
      <c r="F142" s="59"/>
      <c r="G142" s="59"/>
    </row>
    <row r="143" spans="1:105" ht="19.5" customHeight="1" x14ac:dyDescent="0.15">
      <c r="A143" s="90" t="s">
        <v>347</v>
      </c>
      <c r="B143" s="593"/>
      <c r="C143" s="376" t="str">
        <f t="shared" si="53"/>
        <v/>
      </c>
      <c r="D143" s="380"/>
      <c r="E143" s="59"/>
      <c r="F143" s="59"/>
      <c r="G143" s="59"/>
    </row>
    <row r="144" spans="1:105" ht="22.5" customHeight="1" x14ac:dyDescent="0.15">
      <c r="A144" s="90" t="s">
        <v>348</v>
      </c>
      <c r="B144" s="593"/>
      <c r="C144" s="376" t="str">
        <f t="shared" si="53"/>
        <v/>
      </c>
      <c r="D144" s="380"/>
      <c r="E144" s="59"/>
      <c r="F144" s="59"/>
      <c r="G144" s="59"/>
    </row>
    <row r="145" spans="1:104" ht="23.25" customHeight="1" x14ac:dyDescent="0.15">
      <c r="A145" s="90" t="s">
        <v>349</v>
      </c>
      <c r="B145" s="593"/>
      <c r="C145" s="376" t="str">
        <f t="shared" si="53"/>
        <v/>
      </c>
      <c r="D145" s="380"/>
      <c r="E145" s="59"/>
      <c r="F145" s="59"/>
      <c r="G145" s="59"/>
    </row>
    <row r="146" spans="1:104" ht="22.5" customHeight="1" x14ac:dyDescent="0.15">
      <c r="A146" s="90" t="s">
        <v>350</v>
      </c>
      <c r="B146" s="593"/>
      <c r="C146" s="376" t="str">
        <f t="shared" si="53"/>
        <v/>
      </c>
      <c r="D146" s="380"/>
      <c r="E146" s="59"/>
      <c r="F146" s="59"/>
      <c r="G146" s="59"/>
    </row>
    <row r="147" spans="1:104" ht="26.25" customHeight="1" x14ac:dyDescent="0.15">
      <c r="A147" s="90" t="s">
        <v>351</v>
      </c>
      <c r="B147" s="593"/>
      <c r="C147" s="376" t="str">
        <f t="shared" si="53"/>
        <v/>
      </c>
      <c r="D147" s="380"/>
      <c r="E147" s="59"/>
      <c r="F147" s="59"/>
      <c r="G147" s="59"/>
    </row>
    <row r="148" spans="1:104" ht="26.25" customHeight="1" x14ac:dyDescent="0.15">
      <c r="A148" s="90" t="s">
        <v>352</v>
      </c>
      <c r="B148" s="593"/>
      <c r="C148" s="376" t="str">
        <f t="shared" si="53"/>
        <v/>
      </c>
      <c r="D148" s="380"/>
      <c r="E148" s="59"/>
      <c r="F148" s="59"/>
      <c r="G148" s="59"/>
    </row>
    <row r="149" spans="1:104" ht="27" customHeight="1" x14ac:dyDescent="0.15">
      <c r="A149" s="90" t="s">
        <v>353</v>
      </c>
      <c r="B149" s="593"/>
      <c r="C149" s="376" t="str">
        <f t="shared" si="53"/>
        <v/>
      </c>
      <c r="D149" s="380"/>
      <c r="E149" s="59"/>
      <c r="F149" s="59"/>
      <c r="G149" s="59"/>
    </row>
    <row r="150" spans="1:104" ht="29.25" customHeight="1" x14ac:dyDescent="0.15">
      <c r="A150" s="92" t="s">
        <v>75</v>
      </c>
      <c r="B150" s="600"/>
      <c r="C150" s="376" t="str">
        <f t="shared" si="53"/>
        <v/>
      </c>
      <c r="D150" s="380"/>
      <c r="E150" s="59"/>
      <c r="F150" s="59"/>
      <c r="G150" s="59"/>
      <c r="H150" s="59"/>
    </row>
    <row r="151" spans="1:104" ht="21" customHeight="1" x14ac:dyDescent="0.15">
      <c r="A151" s="92" t="s">
        <v>13</v>
      </c>
      <c r="B151" s="596">
        <f>SUM(B133:B150)</f>
        <v>0</v>
      </c>
      <c r="C151" s="1685"/>
    </row>
    <row r="152" spans="1:104" ht="15.75" customHeight="1" x14ac:dyDescent="0.15"/>
    <row r="154" spans="1:104" s="382" customFormat="1" ht="10.5" customHeight="1" x14ac:dyDescent="0.15">
      <c r="A154" s="180"/>
      <c r="B154" s="180"/>
      <c r="C154" s="180"/>
      <c r="D154" s="180"/>
      <c r="E154" s="180"/>
      <c r="F154" s="180"/>
      <c r="G154" s="180"/>
      <c r="H154" s="180"/>
      <c r="I154" s="180"/>
      <c r="J154" s="180"/>
      <c r="K154" s="180"/>
      <c r="L154" s="180"/>
      <c r="M154" s="180"/>
      <c r="N154" s="180"/>
      <c r="O154" s="180"/>
      <c r="P154" s="180"/>
      <c r="Q154" s="180"/>
      <c r="R154" s="180"/>
      <c r="S154" s="180"/>
      <c r="T154" s="376"/>
      <c r="U154" s="180"/>
      <c r="V154" s="180"/>
      <c r="W154" s="180"/>
      <c r="X154" s="308"/>
      <c r="Y154" s="326"/>
      <c r="Z154" s="326"/>
      <c r="AA154" s="326"/>
      <c r="AB154" s="326"/>
      <c r="AC154" s="326"/>
      <c r="AD154" s="326"/>
      <c r="AE154" s="326"/>
      <c r="AF154" s="326"/>
      <c r="AG154" s="326"/>
      <c r="AH154" s="326"/>
      <c r="AI154" s="326"/>
      <c r="AJ154" s="326"/>
      <c r="AK154" s="326"/>
      <c r="AL154" s="326"/>
      <c r="AM154" s="326"/>
      <c r="AN154" s="326"/>
      <c r="AO154" s="326"/>
      <c r="AP154" s="326"/>
      <c r="AQ154" s="326"/>
      <c r="AR154" s="326"/>
      <c r="AS154" s="326"/>
      <c r="AT154" s="326"/>
      <c r="AU154" s="326"/>
      <c r="AV154" s="326"/>
      <c r="AW154" s="326"/>
      <c r="AX154" s="326"/>
      <c r="AY154" s="326"/>
      <c r="AZ154" s="326"/>
      <c r="BA154" s="326"/>
      <c r="BB154" s="326"/>
      <c r="BC154" s="326"/>
      <c r="BD154" s="326"/>
      <c r="BE154" s="326"/>
      <c r="BF154" s="326"/>
      <c r="BG154" s="326"/>
      <c r="BH154" s="326"/>
      <c r="BI154" s="326"/>
      <c r="BJ154" s="308"/>
      <c r="BK154" s="308"/>
      <c r="BL154" s="308"/>
      <c r="BM154" s="308"/>
      <c r="BN154" s="308"/>
      <c r="BO154" s="308"/>
      <c r="BP154" s="308"/>
      <c r="BQ154" s="308"/>
      <c r="BR154" s="308"/>
      <c r="BS154" s="308"/>
      <c r="BT154" s="308"/>
      <c r="BU154" s="308"/>
      <c r="BV154" s="308"/>
      <c r="BW154" s="308"/>
      <c r="BX154" s="308"/>
      <c r="BY154" s="308"/>
      <c r="BZ154" s="308"/>
      <c r="CA154" s="387"/>
      <c r="CB154" s="387"/>
      <c r="CC154" s="387"/>
      <c r="CD154" s="387"/>
      <c r="CE154" s="387"/>
      <c r="CF154" s="387"/>
      <c r="CG154" s="387"/>
      <c r="CH154" s="387"/>
      <c r="CI154" s="387"/>
      <c r="CJ154" s="387"/>
      <c r="CK154" s="387"/>
      <c r="CL154" s="387"/>
      <c r="CM154" s="387"/>
      <c r="CN154" s="387"/>
      <c r="CO154" s="387"/>
      <c r="CP154" s="387"/>
      <c r="CQ154" s="387"/>
      <c r="CR154" s="387"/>
      <c r="CS154" s="387"/>
      <c r="CT154" s="387"/>
      <c r="CU154" s="387"/>
      <c r="CV154" s="387"/>
      <c r="CW154" s="387"/>
      <c r="CX154" s="387"/>
      <c r="CY154" s="387"/>
      <c r="CZ154" s="387"/>
    </row>
    <row r="155" spans="1:104" s="382" customFormat="1" ht="9" customHeight="1" x14ac:dyDescent="0.15">
      <c r="A155" s="180"/>
      <c r="B155" s="180"/>
      <c r="C155" s="180"/>
      <c r="D155" s="180"/>
      <c r="E155" s="180"/>
      <c r="F155" s="180"/>
      <c r="G155" s="180"/>
      <c r="H155" s="180"/>
      <c r="I155" s="180"/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376"/>
      <c r="U155" s="180"/>
      <c r="V155" s="180"/>
      <c r="W155" s="180"/>
      <c r="X155" s="308"/>
      <c r="Y155" s="326"/>
      <c r="Z155" s="326"/>
      <c r="AA155" s="326"/>
      <c r="AB155" s="326"/>
      <c r="AC155" s="326"/>
      <c r="AD155" s="326"/>
      <c r="AE155" s="326"/>
      <c r="AF155" s="326"/>
      <c r="AG155" s="326"/>
      <c r="AH155" s="326"/>
      <c r="AI155" s="326"/>
      <c r="AJ155" s="326"/>
      <c r="AK155" s="326"/>
      <c r="AL155" s="326"/>
      <c r="AM155" s="326"/>
      <c r="AN155" s="326"/>
      <c r="AO155" s="326"/>
      <c r="AP155" s="326"/>
      <c r="AQ155" s="326"/>
      <c r="AR155" s="326"/>
      <c r="AS155" s="326"/>
      <c r="AT155" s="326"/>
      <c r="AU155" s="326"/>
      <c r="AV155" s="326"/>
      <c r="AW155" s="326"/>
      <c r="AX155" s="326"/>
      <c r="AY155" s="326"/>
      <c r="AZ155" s="326"/>
      <c r="BA155" s="326"/>
      <c r="BB155" s="326"/>
      <c r="BC155" s="326"/>
      <c r="BD155" s="326"/>
      <c r="BE155" s="326"/>
      <c r="BF155" s="326"/>
      <c r="BG155" s="326"/>
      <c r="BH155" s="326"/>
      <c r="BI155" s="326"/>
      <c r="BJ155" s="308"/>
      <c r="BK155" s="308"/>
      <c r="BL155" s="308"/>
      <c r="BM155" s="308"/>
      <c r="BN155" s="308"/>
      <c r="BO155" s="308"/>
      <c r="BP155" s="308"/>
      <c r="BQ155" s="308"/>
      <c r="BR155" s="308"/>
      <c r="BS155" s="308"/>
      <c r="BT155" s="308"/>
      <c r="BU155" s="308"/>
      <c r="BV155" s="308"/>
      <c r="BW155" s="308"/>
      <c r="BX155" s="308"/>
      <c r="BY155" s="308"/>
      <c r="BZ155" s="308"/>
      <c r="CA155" s="387"/>
      <c r="CB155" s="387"/>
      <c r="CC155" s="387"/>
      <c r="CD155" s="387"/>
      <c r="CE155" s="387"/>
      <c r="CF155" s="387"/>
      <c r="CG155" s="387"/>
      <c r="CH155" s="387"/>
      <c r="CI155" s="387"/>
      <c r="CJ155" s="387"/>
      <c r="CK155" s="387"/>
      <c r="CL155" s="387"/>
      <c r="CM155" s="387"/>
      <c r="CN155" s="387"/>
      <c r="CO155" s="387"/>
      <c r="CP155" s="387"/>
      <c r="CQ155" s="387"/>
      <c r="CR155" s="387"/>
      <c r="CS155" s="387"/>
      <c r="CT155" s="387"/>
      <c r="CU155" s="387"/>
      <c r="CV155" s="387"/>
      <c r="CW155" s="387"/>
      <c r="CX155" s="387"/>
      <c r="CY155" s="387"/>
      <c r="CZ155" s="387"/>
    </row>
    <row r="157" spans="1:104" x14ac:dyDescent="0.15">
      <c r="BJ157" s="384"/>
      <c r="BK157" s="384"/>
      <c r="BL157" s="384"/>
      <c r="BM157" s="384"/>
      <c r="BN157" s="384"/>
      <c r="BO157" s="384"/>
      <c r="BP157" s="384"/>
    </row>
    <row r="162" spans="1:12" ht="13.5" customHeight="1" x14ac:dyDescent="0.15"/>
    <row r="163" spans="1:12" hidden="1" x14ac:dyDescent="0.15">
      <c r="A163" s="1623">
        <f>SUM(C11:C36,B49:F49,B57:C57,C61:C70,B73:B77,B80:B84,C89:J95,B108:E108,C116,B119:G129,B133:B151)</f>
        <v>0</v>
      </c>
      <c r="B163" s="1028" t="s">
        <v>317</v>
      </c>
      <c r="C163" s="382"/>
      <c r="D163" s="382"/>
      <c r="E163" s="382"/>
      <c r="F163" s="382"/>
      <c r="G163" s="382"/>
      <c r="H163" s="382"/>
      <c r="I163" s="382"/>
      <c r="J163" s="382"/>
      <c r="K163" s="382"/>
      <c r="L163" s="382"/>
    </row>
    <row r="164" spans="1:12" hidden="1" x14ac:dyDescent="0.15">
      <c r="A164" s="1623">
        <f>SUM(DA11:DZ151)</f>
        <v>0</v>
      </c>
      <c r="B164" s="1028" t="s">
        <v>318</v>
      </c>
      <c r="C164" s="382"/>
      <c r="D164" s="382"/>
      <c r="E164" s="382"/>
      <c r="F164" s="382"/>
      <c r="G164" s="382"/>
      <c r="H164" s="382"/>
      <c r="I164" s="382"/>
      <c r="J164" s="382"/>
      <c r="K164" s="382"/>
      <c r="L164" s="382"/>
    </row>
  </sheetData>
  <sheetProtection algorithmName="SHA-512" hashValue="I5o1a+ZsQFoOHYU7jz+qTIZm4ek3SVN3JNupWzCWLsIxwYsFErdOxaxKmEsRa2GG0qlcoWeTedxIpBqOcl0X8Q==" saltValue="wWTqo/Lrs9LhLSXCStwsfA==" spinCount="100000" sheet="1" objects="1" scenarios="1"/>
  <mergeCells count="61">
    <mergeCell ref="A131:H131"/>
    <mergeCell ref="A85:B85"/>
    <mergeCell ref="A59:A60"/>
    <mergeCell ref="B59:B60"/>
    <mergeCell ref="C59:C60"/>
    <mergeCell ref="A61:A65"/>
    <mergeCell ref="A66:A70"/>
    <mergeCell ref="D59:L59"/>
    <mergeCell ref="A95:B95"/>
    <mergeCell ref="A110:A111"/>
    <mergeCell ref="C110:C111"/>
    <mergeCell ref="A93:B93"/>
    <mergeCell ref="A94:B94"/>
    <mergeCell ref="D110:L110"/>
    <mergeCell ref="A112:A116"/>
    <mergeCell ref="D87:H87"/>
    <mergeCell ref="A31:B31"/>
    <mergeCell ref="J87:J88"/>
    <mergeCell ref="C6:P6"/>
    <mergeCell ref="A78:E78"/>
    <mergeCell ref="A37:F37"/>
    <mergeCell ref="A58:L58"/>
    <mergeCell ref="F38:F39"/>
    <mergeCell ref="A51:A52"/>
    <mergeCell ref="A7:G7"/>
    <mergeCell ref="E38:E39"/>
    <mergeCell ref="D38:D39"/>
    <mergeCell ref="A38:A39"/>
    <mergeCell ref="B38:B39"/>
    <mergeCell ref="A32:A33"/>
    <mergeCell ref="A34:A35"/>
    <mergeCell ref="A36:B36"/>
    <mergeCell ref="S9:S10"/>
    <mergeCell ref="A20:A21"/>
    <mergeCell ref="A24:B24"/>
    <mergeCell ref="A30:B30"/>
    <mergeCell ref="A25:B25"/>
    <mergeCell ref="A22:A23"/>
    <mergeCell ref="R9:R10"/>
    <mergeCell ref="C9:C10"/>
    <mergeCell ref="Q9:Q10"/>
    <mergeCell ref="A11:B11"/>
    <mergeCell ref="D9:P9"/>
    <mergeCell ref="A13:A19"/>
    <mergeCell ref="A26:A27"/>
    <mergeCell ref="A28:A29"/>
    <mergeCell ref="A9:B10"/>
    <mergeCell ref="C51:C52"/>
    <mergeCell ref="C38:C39"/>
    <mergeCell ref="A91:B91"/>
    <mergeCell ref="A92:B92"/>
    <mergeCell ref="A89:B89"/>
    <mergeCell ref="A87:B88"/>
    <mergeCell ref="C87:C88"/>
    <mergeCell ref="B51:B52"/>
    <mergeCell ref="I87:I88"/>
    <mergeCell ref="B110:B111"/>
    <mergeCell ref="B97:C97"/>
    <mergeCell ref="A97:A98"/>
    <mergeCell ref="D97:D98"/>
    <mergeCell ref="E97:E98"/>
  </mergeCells>
  <phoneticPr fontId="26" type="noConversion"/>
  <dataValidations count="3">
    <dataValidation allowBlank="1" showInputMessage="1" showErrorMessage="1" errorTitle="Error de ingreso" error="Debe ingresar sólo números enteros positivos." sqref="B110:B111 D111:F111 DA97:XFD108 M65:Z65 AJ65:XFD65 CA97:CY108 E1:P8 B1:B18 A1:A13 T1:XFD64 A28 B20:B29 A20:A26 G96:J96 A99:A108 C108:E108 A97 F97:BY108 D97:E97 D96:F96 Q1:S10 M66:XFD96 N118:XFD129 M109:XFD117 M37:S64 D1:D10 B108 C1:C29 E10:P10 A30:A96 B30:C39 C57:C96 D37:F39 B85:B96 B49:B52 C49:C55 G37:L60 D49:F60 D65:F65 G65:L65 B57:B72 B78:B79 K70:L96 G70:J88 D70:F88 B97:B98 A130:A1048576 C130:XFD1048576 B130:B132 B151:B1048576" xr:uid="{00000000-0002-0000-0100-000000000000}"/>
    <dataValidation type="whole" operator="greaterThanOrEqual" allowBlank="1" showInputMessage="1" showErrorMessage="1" errorTitle="Error de ingreso" error="Debe ingresar sólo números enteros positivos." sqref="D11:S36" xr:uid="{0E895D23-E0F5-421C-8FFE-73566258F440}">
      <formula1>0</formula1>
    </dataValidation>
    <dataValidation type="whole" operator="greaterThanOrEqual" allowBlank="1" showInputMessage="1" showErrorMessage="1" sqref="B40:F48 B53:B56 C56 D61:L64 D66:L69 B73:B77 B80:B84 D89:J95 B99:E107 D112:L115 B119:G127 C129:D129 F129:G129 B133:B150" xr:uid="{62DA0C69-2EE4-403A-9090-7875078FBEFE}">
      <formula1>0</formula1>
    </dataValidation>
  </dataValidations>
  <printOptions gridLines="1"/>
  <pageMargins left="0.23622047244094491" right="0.23622047244094491" top="0.74803149606299213" bottom="0.74803149606299213" header="0.31496062992125984" footer="0.31496062992125984"/>
  <pageSetup scale="65" fitToHeight="0" orientation="landscape" r:id="rId1"/>
  <rowBreaks count="1" manualBreakCount="1">
    <brk id="57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Z216"/>
  <sheetViews>
    <sheetView showGridLines="0" zoomScaleNormal="100" workbookViewId="0">
      <selection activeCell="A6" sqref="A6:X6"/>
    </sheetView>
  </sheetViews>
  <sheetFormatPr baseColWidth="10" defaultColWidth="11.42578125" defaultRowHeight="15" x14ac:dyDescent="0.25"/>
  <cols>
    <col min="1" max="1" width="28.28515625" style="183" customWidth="1"/>
    <col min="2" max="2" width="39.85546875" style="183" customWidth="1"/>
    <col min="3" max="3" width="11.85546875" style="183" customWidth="1"/>
    <col min="4" max="4" width="10.7109375" style="183" customWidth="1"/>
    <col min="5" max="5" width="8.7109375" style="183" customWidth="1"/>
    <col min="6" max="6" width="10.140625" style="183" customWidth="1"/>
    <col min="7" max="7" width="9.140625" style="183" customWidth="1"/>
    <col min="8" max="8" width="10.140625" style="183" customWidth="1"/>
    <col min="9" max="9" width="10.85546875" style="183" customWidth="1"/>
    <col min="10" max="10" width="10.42578125" style="183" customWidth="1"/>
    <col min="11" max="11" width="11" style="183" customWidth="1"/>
    <col min="12" max="12" width="10.42578125" style="183" customWidth="1"/>
    <col min="13" max="13" width="10.140625" style="183" customWidth="1"/>
    <col min="14" max="39" width="8.7109375" style="183" customWidth="1"/>
    <col min="40" max="40" width="8.42578125" style="183" customWidth="1"/>
    <col min="41" max="41" width="8.85546875" style="183" customWidth="1"/>
    <col min="42" max="43" width="9" style="183" customWidth="1"/>
    <col min="44" max="46" width="10.28515625" style="183" customWidth="1"/>
    <col min="47" max="48" width="10.42578125" style="183" customWidth="1"/>
    <col min="49" max="69" width="11.42578125" style="1050" customWidth="1"/>
    <col min="70" max="73" width="10.42578125" style="180" customWidth="1"/>
    <col min="74" max="78" width="11.42578125" style="180" customWidth="1"/>
    <col min="79" max="89" width="10.42578125" style="387" hidden="1" customWidth="1"/>
    <col min="90" max="104" width="11.42578125" style="325" hidden="1" customWidth="1"/>
    <col min="105" max="114" width="10.42578125" style="387" hidden="1" customWidth="1"/>
    <col min="115" max="130" width="11.42578125" style="385" hidden="1" customWidth="1"/>
    <col min="131" max="16384" width="11.42578125" style="180"/>
  </cols>
  <sheetData>
    <row r="1" spans="1:130" s="57" customFormat="1" ht="13.5" customHeight="1" x14ac:dyDescent="0.1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BR1" s="180"/>
      <c r="CA1" s="325"/>
      <c r="CB1" s="325"/>
      <c r="CC1" s="325"/>
      <c r="CD1" s="325"/>
      <c r="CE1" s="325"/>
      <c r="CF1" s="325"/>
      <c r="CG1" s="325"/>
      <c r="CH1" s="325"/>
      <c r="CI1" s="325"/>
      <c r="CJ1" s="325"/>
      <c r="CK1" s="325"/>
      <c r="CL1" s="325"/>
      <c r="CM1" s="325"/>
      <c r="CN1" s="325"/>
      <c r="CO1" s="325"/>
      <c r="CP1" s="325"/>
      <c r="CQ1" s="325"/>
      <c r="CR1" s="325"/>
      <c r="CS1" s="325"/>
      <c r="CT1" s="325"/>
      <c r="CU1" s="325"/>
      <c r="CV1" s="325"/>
      <c r="CW1" s="325"/>
      <c r="CX1" s="325"/>
      <c r="CY1" s="325"/>
      <c r="CZ1" s="325"/>
      <c r="DA1" s="385"/>
      <c r="DB1" s="385"/>
      <c r="DC1" s="385"/>
      <c r="DD1" s="385"/>
      <c r="DE1" s="385"/>
      <c r="DF1" s="385"/>
      <c r="DG1" s="385"/>
      <c r="DH1" s="385"/>
      <c r="DI1" s="385"/>
      <c r="DJ1" s="385"/>
      <c r="DK1" s="385"/>
      <c r="DL1" s="385"/>
      <c r="DM1" s="385"/>
      <c r="DN1" s="385"/>
      <c r="DO1" s="385"/>
      <c r="DP1" s="385"/>
      <c r="DQ1" s="385"/>
      <c r="DR1" s="385"/>
      <c r="DS1" s="385"/>
      <c r="DT1" s="385"/>
      <c r="DU1" s="385"/>
      <c r="DV1" s="385"/>
      <c r="DW1" s="385"/>
      <c r="DX1" s="385"/>
      <c r="DY1" s="385"/>
      <c r="DZ1" s="385"/>
    </row>
    <row r="2" spans="1:130" s="57" customFormat="1" ht="13.5" customHeight="1" x14ac:dyDescent="0.15">
      <c r="A2" s="56" t="str">
        <f>CONCATENATE("COMUNA: ",NOMBRE!$B$2," - ","( ",NOMBRE!$C$2,NOMBRE!$D$2,NOMBRE!$E$2,NOMBRE!$F$2,NOMBRE!$G$2," )")</f>
        <v>COMUNA:  - (  )</v>
      </c>
      <c r="B2" s="56"/>
      <c r="C2" s="56"/>
      <c r="D2" s="58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BR2" s="180"/>
      <c r="CA2" s="325"/>
      <c r="CB2" s="325"/>
      <c r="CC2" s="325"/>
      <c r="CD2" s="325"/>
      <c r="CE2" s="325"/>
      <c r="CF2" s="325"/>
      <c r="CG2" s="325"/>
      <c r="CH2" s="325"/>
      <c r="CI2" s="325"/>
      <c r="CJ2" s="325"/>
      <c r="CK2" s="325"/>
      <c r="CL2" s="325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85"/>
      <c r="DB2" s="385"/>
      <c r="DC2" s="385"/>
      <c r="DD2" s="385"/>
      <c r="DE2" s="385"/>
      <c r="DF2" s="385"/>
      <c r="DG2" s="385"/>
      <c r="DH2" s="385"/>
      <c r="DI2" s="385"/>
      <c r="DJ2" s="385"/>
      <c r="DK2" s="385"/>
      <c r="DL2" s="385"/>
      <c r="DM2" s="385"/>
      <c r="DN2" s="385"/>
      <c r="DO2" s="385"/>
      <c r="DP2" s="385"/>
      <c r="DQ2" s="385"/>
      <c r="DR2" s="385"/>
      <c r="DS2" s="385"/>
      <c r="DT2" s="385"/>
      <c r="DU2" s="385"/>
      <c r="DV2" s="385"/>
      <c r="DW2" s="385"/>
      <c r="DX2" s="385"/>
      <c r="DY2" s="385"/>
      <c r="DZ2" s="385"/>
    </row>
    <row r="3" spans="1:130" s="57" customFormat="1" ht="13.5" customHeight="1" x14ac:dyDescent="0.15">
      <c r="A3" s="56" t="str">
        <f>CONCATENATE("ESTABLECIMIENTO/ESTRATEGIA: ",NOMBRE!$B$3," - ","( ",NOMBRE!$C$3,NOMBRE!$D$3,NOMBRE!$E$3,NOMBRE!$F$3,NOMBRE!$G$3,NOMBRE!$H$3," )")</f>
        <v>ESTABLECIMIENTO/ESTRATEGIA:  - (  )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BR3" s="180"/>
      <c r="CA3" s="325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85"/>
      <c r="DB3" s="385"/>
      <c r="DC3" s="385"/>
      <c r="DD3" s="385"/>
      <c r="DE3" s="385"/>
      <c r="DF3" s="385"/>
      <c r="DG3" s="385"/>
      <c r="DH3" s="385"/>
      <c r="DI3" s="385"/>
      <c r="DJ3" s="385"/>
      <c r="DK3" s="385"/>
      <c r="DL3" s="385"/>
      <c r="DM3" s="385"/>
      <c r="DN3" s="385"/>
      <c r="DO3" s="385"/>
      <c r="DP3" s="385"/>
      <c r="DQ3" s="385"/>
      <c r="DR3" s="385"/>
      <c r="DS3" s="385"/>
      <c r="DT3" s="385"/>
      <c r="DU3" s="385"/>
      <c r="DV3" s="385"/>
      <c r="DW3" s="385"/>
      <c r="DX3" s="385"/>
      <c r="DY3" s="385"/>
      <c r="DZ3" s="385"/>
    </row>
    <row r="4" spans="1:130" s="57" customFormat="1" ht="13.5" customHeight="1" x14ac:dyDescent="0.15">
      <c r="A4" s="56" t="str">
        <f>CONCATENATE("MES: ",NOMBRE!$B$6," - ","( ",NOMBRE!$C$6,NOMBRE!$D$6," )")</f>
        <v>MES:  - (  )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BR4" s="180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85"/>
      <c r="DB4" s="385"/>
      <c r="DC4" s="385"/>
      <c r="DD4" s="385"/>
      <c r="DE4" s="385"/>
      <c r="DF4" s="385"/>
      <c r="DG4" s="385"/>
      <c r="DH4" s="385"/>
      <c r="DI4" s="385"/>
      <c r="DJ4" s="385"/>
      <c r="DK4" s="385"/>
      <c r="DL4" s="385"/>
      <c r="DM4" s="385"/>
      <c r="DN4" s="385"/>
      <c r="DO4" s="385"/>
      <c r="DP4" s="385"/>
      <c r="DQ4" s="385"/>
      <c r="DR4" s="385"/>
      <c r="DS4" s="385"/>
      <c r="DT4" s="385"/>
      <c r="DU4" s="385"/>
      <c r="DV4" s="385"/>
      <c r="DW4" s="385"/>
      <c r="DX4" s="385"/>
      <c r="DY4" s="385"/>
      <c r="DZ4" s="385"/>
    </row>
    <row r="5" spans="1:130" s="57" customFormat="1" ht="13.5" customHeight="1" x14ac:dyDescent="0.15">
      <c r="A5" s="56" t="str">
        <f>CONCATENATE("AÑO: ",NOMBRE!$B$7)</f>
        <v>AÑO: 2023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BR5" s="180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85"/>
      <c r="DB5" s="385"/>
      <c r="DC5" s="385"/>
      <c r="DD5" s="385"/>
      <c r="DE5" s="385"/>
      <c r="DF5" s="385"/>
      <c r="DG5" s="385"/>
      <c r="DH5" s="385"/>
      <c r="DI5" s="385"/>
      <c r="DJ5" s="385"/>
      <c r="DK5" s="385"/>
      <c r="DL5" s="385"/>
      <c r="DM5" s="385"/>
      <c r="DN5" s="385"/>
      <c r="DO5" s="385"/>
      <c r="DP5" s="385"/>
      <c r="DQ5" s="385"/>
      <c r="DR5" s="385"/>
      <c r="DS5" s="385"/>
      <c r="DT5" s="385"/>
      <c r="DU5" s="385"/>
      <c r="DV5" s="385"/>
      <c r="DW5" s="385"/>
      <c r="DX5" s="385"/>
      <c r="DY5" s="385"/>
      <c r="DZ5" s="385"/>
    </row>
    <row r="6" spans="1:130" ht="21.95" customHeight="1" x14ac:dyDescent="0.25">
      <c r="A6" s="1931" t="s">
        <v>623</v>
      </c>
      <c r="B6" s="1931"/>
      <c r="C6" s="1931"/>
      <c r="D6" s="1931"/>
      <c r="E6" s="1931"/>
      <c r="F6" s="1931"/>
      <c r="G6" s="1931"/>
      <c r="H6" s="1931"/>
      <c r="I6" s="1931"/>
      <c r="J6" s="1931"/>
      <c r="K6" s="1931"/>
      <c r="L6" s="1931"/>
      <c r="M6" s="1931"/>
      <c r="N6" s="1931"/>
      <c r="O6" s="1931"/>
      <c r="P6" s="1931"/>
      <c r="Q6" s="1931"/>
      <c r="R6" s="1931"/>
      <c r="S6" s="1931"/>
      <c r="T6" s="1931"/>
      <c r="U6" s="1931"/>
      <c r="V6" s="1931"/>
      <c r="W6" s="1931"/>
      <c r="X6" s="1931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456"/>
      <c r="AN6" s="456"/>
      <c r="AO6" s="456"/>
      <c r="AP6" s="456"/>
      <c r="AQ6" s="456"/>
      <c r="AR6" s="456"/>
      <c r="AS6" s="456"/>
      <c r="AT6" s="456"/>
      <c r="AU6" s="456"/>
      <c r="AV6" s="456"/>
      <c r="CA6" s="457"/>
      <c r="DA6" s="385"/>
      <c r="DB6" s="385"/>
      <c r="DC6" s="385"/>
      <c r="DD6" s="385"/>
      <c r="DE6" s="385"/>
      <c r="DF6" s="385"/>
      <c r="DG6" s="385"/>
      <c r="DH6" s="385"/>
      <c r="DI6" s="385"/>
      <c r="DJ6" s="385"/>
    </row>
    <row r="7" spans="1:130" ht="43.5" customHeight="1" x14ac:dyDescent="0.25">
      <c r="A7" s="470" t="s">
        <v>858</v>
      </c>
      <c r="B7" s="470"/>
      <c r="C7" s="458"/>
      <c r="D7" s="458"/>
      <c r="E7" s="458"/>
      <c r="F7" s="458"/>
      <c r="G7" s="458"/>
      <c r="H7" s="458"/>
      <c r="I7" s="458"/>
      <c r="J7" s="458"/>
      <c r="K7" s="458"/>
      <c r="L7" s="458"/>
      <c r="M7" s="458"/>
      <c r="N7" s="458"/>
      <c r="O7" s="458"/>
      <c r="P7" s="458"/>
      <c r="Q7" s="458"/>
      <c r="R7" s="308"/>
      <c r="S7" s="308"/>
      <c r="T7" s="308"/>
      <c r="U7" s="308"/>
      <c r="V7" s="308"/>
      <c r="W7" s="308"/>
      <c r="X7" s="308"/>
      <c r="Y7" s="308"/>
      <c r="Z7" s="308"/>
      <c r="AA7" s="308"/>
      <c r="AU7" s="459"/>
      <c r="AV7" s="308"/>
      <c r="DA7" s="385"/>
      <c r="DB7" s="385"/>
      <c r="DC7" s="385"/>
      <c r="DD7" s="385"/>
      <c r="DE7" s="385"/>
      <c r="DF7" s="385"/>
      <c r="DG7" s="385"/>
      <c r="DH7" s="385"/>
      <c r="DI7" s="385"/>
      <c r="DJ7" s="385"/>
    </row>
    <row r="8" spans="1:130" ht="16.5" customHeight="1" x14ac:dyDescent="0.25">
      <c r="A8" s="1815" t="s">
        <v>76</v>
      </c>
      <c r="B8" s="1816"/>
      <c r="C8" s="1829" t="s">
        <v>13</v>
      </c>
      <c r="D8" s="1830"/>
      <c r="E8" s="1831"/>
      <c r="F8" s="1934" t="s">
        <v>878</v>
      </c>
      <c r="G8" s="1846"/>
      <c r="H8" s="1846"/>
      <c r="I8" s="1846"/>
      <c r="J8" s="1846"/>
      <c r="K8" s="1846"/>
      <c r="L8" s="1846"/>
      <c r="M8" s="1846"/>
      <c r="N8" s="1846"/>
      <c r="O8" s="1846"/>
      <c r="P8" s="1846"/>
      <c r="Q8" s="1846"/>
      <c r="R8" s="1846"/>
      <c r="S8" s="1846"/>
      <c r="T8" s="1846"/>
      <c r="U8" s="1846"/>
      <c r="V8" s="1846"/>
      <c r="W8" s="1846"/>
      <c r="X8" s="1846"/>
      <c r="Y8" s="1846"/>
      <c r="Z8" s="1846"/>
      <c r="AA8" s="1846"/>
      <c r="AB8" s="1846"/>
      <c r="AC8" s="1846"/>
      <c r="AD8" s="1846"/>
      <c r="AE8" s="1847"/>
      <c r="AF8" s="1794" t="s">
        <v>15</v>
      </c>
      <c r="AG8" s="1750"/>
      <c r="AH8" s="1796" t="s">
        <v>814</v>
      </c>
      <c r="AI8" s="1797"/>
      <c r="AJ8" s="1050"/>
      <c r="AK8" s="1050"/>
      <c r="AL8" s="1050"/>
      <c r="AM8" s="1050"/>
      <c r="AN8" s="1050"/>
      <c r="AO8" s="1050"/>
      <c r="AP8" s="1050"/>
      <c r="AQ8" s="1050"/>
      <c r="AR8" s="1050"/>
      <c r="AS8" s="1050"/>
      <c r="AT8" s="1050"/>
      <c r="AU8" s="1050"/>
      <c r="AV8" s="1050"/>
      <c r="BD8" s="180"/>
      <c r="BE8" s="183"/>
      <c r="BF8" s="180"/>
      <c r="BG8" s="180"/>
      <c r="BH8" s="180"/>
      <c r="BI8" s="180"/>
      <c r="BJ8" s="180"/>
      <c r="BK8" s="180"/>
      <c r="BL8" s="180"/>
      <c r="CA8" s="460"/>
      <c r="CB8" s="460"/>
      <c r="CC8" s="460"/>
      <c r="CD8" s="461"/>
      <c r="CE8" s="393"/>
      <c r="CF8" s="393"/>
      <c r="CG8" s="393"/>
      <c r="DA8" s="385"/>
      <c r="DB8" s="385"/>
      <c r="DC8" s="385"/>
      <c r="DD8" s="385"/>
      <c r="DE8" s="385"/>
      <c r="DF8" s="385"/>
      <c r="DG8" s="385"/>
      <c r="DH8" s="385"/>
      <c r="DI8" s="385"/>
      <c r="DJ8" s="385"/>
    </row>
    <row r="9" spans="1:130" ht="24" customHeight="1" x14ac:dyDescent="0.25">
      <c r="A9" s="1917"/>
      <c r="B9" s="1818"/>
      <c r="C9" s="1832"/>
      <c r="D9" s="1833"/>
      <c r="E9" s="1834"/>
      <c r="F9" s="1800" t="s">
        <v>78</v>
      </c>
      <c r="G9" s="1801"/>
      <c r="H9" s="1800" t="s">
        <v>79</v>
      </c>
      <c r="I9" s="1801"/>
      <c r="J9" s="1800" t="s">
        <v>80</v>
      </c>
      <c r="K9" s="1801"/>
      <c r="L9" s="1800" t="s">
        <v>81</v>
      </c>
      <c r="M9" s="1801"/>
      <c r="N9" s="1800" t="s">
        <v>82</v>
      </c>
      <c r="O9" s="1801"/>
      <c r="P9" s="1800" t="s">
        <v>83</v>
      </c>
      <c r="Q9" s="1801"/>
      <c r="R9" s="1800" t="s">
        <v>84</v>
      </c>
      <c r="S9" s="1801"/>
      <c r="T9" s="1800" t="s">
        <v>85</v>
      </c>
      <c r="U9" s="1801"/>
      <c r="V9" s="1800" t="s">
        <v>86</v>
      </c>
      <c r="W9" s="1801"/>
      <c r="X9" s="1800" t="s">
        <v>87</v>
      </c>
      <c r="Y9" s="1801"/>
      <c r="Z9" s="1800" t="s">
        <v>88</v>
      </c>
      <c r="AA9" s="1801"/>
      <c r="AB9" s="1800" t="s">
        <v>119</v>
      </c>
      <c r="AC9" s="1801"/>
      <c r="AD9" s="1800" t="s">
        <v>91</v>
      </c>
      <c r="AE9" s="1801"/>
      <c r="AF9" s="1795"/>
      <c r="AG9" s="1751"/>
      <c r="AH9" s="1798"/>
      <c r="AI9" s="1799"/>
      <c r="AJ9" s="1050"/>
      <c r="AK9" s="1050"/>
      <c r="AL9" s="1050"/>
      <c r="AM9" s="1050"/>
      <c r="AN9" s="1050"/>
      <c r="AO9" s="1050"/>
      <c r="AP9" s="1050"/>
      <c r="AQ9" s="1050"/>
      <c r="AR9" s="1050"/>
      <c r="AS9" s="1050"/>
      <c r="AT9" s="1050"/>
      <c r="AU9" s="1050"/>
      <c r="AV9" s="1050"/>
      <c r="BD9" s="180"/>
      <c r="BE9" s="183"/>
      <c r="BF9" s="180"/>
      <c r="BG9" s="180"/>
      <c r="BH9" s="180"/>
      <c r="BI9" s="180"/>
      <c r="BJ9" s="180"/>
      <c r="BK9" s="180"/>
      <c r="BL9" s="180"/>
      <c r="CA9" s="462"/>
      <c r="CB9" s="462"/>
      <c r="CC9" s="462"/>
      <c r="CD9" s="463"/>
      <c r="CE9" s="393"/>
      <c r="CF9" s="393"/>
      <c r="CG9" s="393"/>
      <c r="DA9" s="385"/>
      <c r="DB9" s="385"/>
      <c r="DC9" s="385"/>
      <c r="DD9" s="385"/>
      <c r="DE9" s="385"/>
      <c r="DF9" s="385"/>
      <c r="DG9" s="385"/>
      <c r="DH9" s="385"/>
      <c r="DI9" s="385"/>
      <c r="DJ9" s="385"/>
    </row>
    <row r="10" spans="1:130" ht="30.75" customHeight="1" x14ac:dyDescent="0.25">
      <c r="A10" s="1819"/>
      <c r="B10" s="1820"/>
      <c r="C10" s="93" t="s">
        <v>369</v>
      </c>
      <c r="D10" s="94" t="s">
        <v>31</v>
      </c>
      <c r="E10" s="1334" t="s">
        <v>94</v>
      </c>
      <c r="F10" s="94" t="s">
        <v>31</v>
      </c>
      <c r="G10" s="1334" t="s">
        <v>94</v>
      </c>
      <c r="H10" s="94" t="s">
        <v>31</v>
      </c>
      <c r="I10" s="95" t="s">
        <v>94</v>
      </c>
      <c r="J10" s="94" t="s">
        <v>31</v>
      </c>
      <c r="K10" s="95" t="s">
        <v>94</v>
      </c>
      <c r="L10" s="94" t="s">
        <v>31</v>
      </c>
      <c r="M10" s="95" t="s">
        <v>94</v>
      </c>
      <c r="N10" s="94" t="s">
        <v>31</v>
      </c>
      <c r="O10" s="95" t="s">
        <v>94</v>
      </c>
      <c r="P10" s="94" t="s">
        <v>31</v>
      </c>
      <c r="Q10" s="95" t="s">
        <v>94</v>
      </c>
      <c r="R10" s="94" t="s">
        <v>31</v>
      </c>
      <c r="S10" s="95" t="s">
        <v>94</v>
      </c>
      <c r="T10" s="94" t="s">
        <v>31</v>
      </c>
      <c r="U10" s="95" t="s">
        <v>94</v>
      </c>
      <c r="V10" s="94" t="s">
        <v>31</v>
      </c>
      <c r="W10" s="95" t="s">
        <v>94</v>
      </c>
      <c r="X10" s="94" t="s">
        <v>31</v>
      </c>
      <c r="Y10" s="95" t="s">
        <v>94</v>
      </c>
      <c r="Z10" s="94" t="s">
        <v>31</v>
      </c>
      <c r="AA10" s="95" t="s">
        <v>94</v>
      </c>
      <c r="AB10" s="94" t="s">
        <v>31</v>
      </c>
      <c r="AC10" s="95" t="s">
        <v>94</v>
      </c>
      <c r="AD10" s="94" t="s">
        <v>31</v>
      </c>
      <c r="AE10" s="95" t="s">
        <v>94</v>
      </c>
      <c r="AF10" s="383" t="s">
        <v>31</v>
      </c>
      <c r="AG10" s="395" t="s">
        <v>94</v>
      </c>
      <c r="AH10" s="395" t="s">
        <v>31</v>
      </c>
      <c r="AI10" s="354" t="s">
        <v>94</v>
      </c>
      <c r="AJ10" s="1050"/>
      <c r="AK10" s="1050"/>
      <c r="AL10" s="1050"/>
      <c r="AM10" s="1050"/>
      <c r="AN10" s="1050"/>
      <c r="AO10" s="1050"/>
      <c r="AP10" s="1050"/>
      <c r="AQ10" s="1050"/>
      <c r="AR10" s="1050"/>
      <c r="AS10" s="1050"/>
      <c r="AT10" s="1050"/>
      <c r="AU10" s="1050"/>
      <c r="AV10" s="1050"/>
      <c r="BD10" s="180"/>
      <c r="BE10" s="180"/>
      <c r="BF10" s="180"/>
      <c r="BG10" s="180"/>
      <c r="BH10" s="180"/>
      <c r="BI10" s="180"/>
      <c r="BJ10" s="180"/>
      <c r="BK10" s="180"/>
      <c r="BL10" s="180"/>
      <c r="CA10" s="463"/>
      <c r="CB10" s="463"/>
      <c r="CC10" s="463"/>
      <c r="CD10" s="463"/>
      <c r="CE10" s="442"/>
      <c r="CF10" s="442"/>
      <c r="CG10" s="442"/>
      <c r="DA10" s="385"/>
      <c r="DB10" s="385"/>
      <c r="DC10" s="385"/>
      <c r="DD10" s="385"/>
      <c r="DE10" s="385"/>
      <c r="DF10" s="385"/>
      <c r="DG10" s="385"/>
      <c r="DH10" s="385"/>
      <c r="DI10" s="385"/>
      <c r="DJ10" s="385"/>
    </row>
    <row r="11" spans="1:130" ht="21.75" customHeight="1" x14ac:dyDescent="0.25">
      <c r="A11" s="1929" t="s">
        <v>95</v>
      </c>
      <c r="B11" s="1930"/>
      <c r="C11" s="622">
        <f t="shared" ref="C11:C38" si="0">SUM(D11:E11)</f>
        <v>0</v>
      </c>
      <c r="D11" s="689">
        <f>+F11+H11+J11+L11+N11+P11+R11+T11+V11+X11+Z11+AB11+AD11</f>
        <v>0</v>
      </c>
      <c r="E11" s="699">
        <f>+G11+I11+K11+M11+O11+Q11+S11+U11+W11+Y11+AA11+AC11+AE11</f>
        <v>0</v>
      </c>
      <c r="F11" s="624"/>
      <c r="G11" s="1364"/>
      <c r="H11" s="624"/>
      <c r="I11" s="625"/>
      <c r="J11" s="624"/>
      <c r="K11" s="625"/>
      <c r="L11" s="624"/>
      <c r="M11" s="626"/>
      <c r="N11" s="627"/>
      <c r="O11" s="628"/>
      <c r="P11" s="627"/>
      <c r="Q11" s="628"/>
      <c r="R11" s="629"/>
      <c r="S11" s="625"/>
      <c r="T11" s="624"/>
      <c r="U11" s="626"/>
      <c r="V11" s="627"/>
      <c r="W11" s="628"/>
      <c r="X11" s="627"/>
      <c r="Y11" s="628"/>
      <c r="Z11" s="627"/>
      <c r="AA11" s="628"/>
      <c r="AB11" s="627"/>
      <c r="AC11" s="1347"/>
      <c r="AD11" s="627"/>
      <c r="AE11" s="628"/>
      <c r="AF11" s="631"/>
      <c r="AG11" s="1138"/>
      <c r="AH11" s="674"/>
      <c r="AI11" s="628"/>
      <c r="AJ11" s="376" t="str">
        <f>($CA11&amp;CB11&amp;CC11&amp;CD11&amp;CE11&amp;CF11&amp;CG11&amp;CH11&amp;CI11&amp;CJ11&amp;CK11&amp;CL11&amp;CM11&amp;CN11&amp;CO11&amp;CP11&amp;CQ11&amp;CR11&amp;CS11&amp;CT11&amp;CU11&amp;CV11&amp;CW11&amp;CX11&amp;CY11&amp;CZ11)</f>
        <v/>
      </c>
      <c r="AK11" s="1050"/>
      <c r="AL11" s="1050"/>
      <c r="AM11" s="1050"/>
      <c r="AN11" s="1050"/>
      <c r="AO11" s="1050"/>
      <c r="AP11" s="1050"/>
      <c r="AQ11" s="1050"/>
      <c r="AR11" s="1050"/>
      <c r="AS11" s="1050"/>
      <c r="AT11" s="1050"/>
      <c r="AU11" s="1050"/>
      <c r="AV11" s="1050"/>
      <c r="BD11" s="180"/>
      <c r="BE11" s="180"/>
      <c r="BF11" s="180"/>
      <c r="BG11" s="180"/>
      <c r="BH11" s="180"/>
      <c r="BI11" s="180"/>
      <c r="BJ11" s="180"/>
      <c r="BK11" s="180"/>
      <c r="BL11" s="180"/>
      <c r="CA11" s="464"/>
      <c r="CB11" s="381" t="str">
        <f>IF(H11+I11&lt;&gt;H38+I38,"* El Total de niños (as) en Control de 1 mes debe ser igual al Total de niños(as) según Diagnóstico Nutricional Integrado. ","")</f>
        <v/>
      </c>
      <c r="CC11" s="381" t="str">
        <f>IF(J11+K11&lt;&gt;J38+K38,"* El Total de niños (as) en Control de 2 meses debe ser igual al Total de niños(as) según Diagnóstico Nutricional Integrado. ","")</f>
        <v/>
      </c>
      <c r="CD11" s="381" t="str">
        <f>IF(L11+M11&lt;&gt;L38+M38,"* El Total de niños (as) en Control de 3 meses debe ser igual al Total de niños(as) según Diagnóstico Nutricional Integrado. ","")</f>
        <v/>
      </c>
      <c r="CE11" s="381" t="str">
        <f>IF(N11+O11&lt;&gt;N38+O38,"* El Total de niños (as) en Control de 4 meses debe ser igual al Total de niños(as) según Diagnóstico Nutricional Integrado. ","")</f>
        <v/>
      </c>
      <c r="CF11" s="381" t="str">
        <f>IF(P11+Q11&lt;&gt;P38+Q38,"* El Total de niños (as) en Control de 5 meses debe ser igual al Total de niños(as) según Diagnóstico Nutricional Integrado. ","")</f>
        <v/>
      </c>
      <c r="CG11" s="381" t="str">
        <f>IF($R$11+$S$11&lt;&gt;$R$38+$S$38,"* El Total de niños (as) en Control de 6 meses debe ser igual al Total de niños(as) según Diagnóstico Nutricional Integrado. ","")</f>
        <v/>
      </c>
      <c r="CH11" s="381" t="str">
        <f>IF($T$11+$U$11&lt;&gt;$T$38+$U$38,"* El Total de niños (as) en Control de 7 a 11 meses debe ser igual al Total de niños(as) según Diagnóstico Nutricional Integrado. ","")</f>
        <v/>
      </c>
      <c r="CI11" s="381" t="str">
        <f>IF($V$11+$W$11&lt;&gt;$V$38+$W$38,"* El Total de niños (as) en Control de 12 a 17 meses debe ser igual al Total de niños(as) según Diagnóstico Nutricional Integrado. ","")</f>
        <v/>
      </c>
      <c r="CJ11" s="1597" t="str">
        <f>IF($X$11+$Y$11&lt;&gt;$X$38+$Y$38,"* El Total de niños (as) en Control de 18 a 23 meses debe ser igual al Total de niños(as) según Diagnóstico Nutricional Integrado. ","")</f>
        <v/>
      </c>
      <c r="CK11" s="1597" t="str">
        <f>IF($Z$11+$AA$11&lt;&gt;$Z$38+$AA$38,"* El Total de niños (as) en Control de 24 a 35 meses debe ser igual al Total de niños(as) según Diagnóstico Nutricional Integrado. ","")</f>
        <v/>
      </c>
      <c r="CL11" s="1597" t="str">
        <f>IF($AB$11+$AC$11&lt;&gt;$AB$38+$AC$38,"* El Total de niños (as) en Control de 36 a 47 meses debe ser igual al Total de niños(as) según Diagnóstico Nutricional Integrado. ","")</f>
        <v/>
      </c>
      <c r="CM11" s="1597" t="str">
        <f>IF($AD$11+$AE$11&lt;&gt;$AD$38+$AE$38,"* El Total de niños (as) en Control de 48 a 59 meses debe ser igual al Total de niños(as) según Diagnóstico Nutricional Integrado. ","")</f>
        <v/>
      </c>
      <c r="CN11" s="1597" t="str">
        <f>IF($C11&gt;=$AF11+$AG11,"","* El Total de Pueblos Originarios no debe ser mayor al total de niños en control. ")</f>
        <v/>
      </c>
      <c r="CO11" s="1597" t="str">
        <f>IF($C11&gt;=$AH11+$AI11,"","* El Total de Población Migrantes no debe ser mayor al total de niños en control. ")</f>
        <v/>
      </c>
      <c r="CP11" s="1597" t="str">
        <f>IF($AF$11+$AG$11&lt;&gt;$AF$38+$AG$38,"* El Total de niños (as) en Control de Pueblos Originarios debe ser igual al Total de niños(as) según Diagnóstico Nutricional Integrado. ","")</f>
        <v/>
      </c>
      <c r="CQ11" s="1597" t="str">
        <f>IF($AH$11+$AI$11&lt;&gt;$AH$38+$AI$38,"* El Total de niños (as) en Control de Población Migrantes debe ser igual al Total de niños(as) según Diagnóstico Nutricional Integrado. ","")</f>
        <v/>
      </c>
      <c r="CR11" s="381" t="str">
        <f>IF(AND(D11&lt;&gt;0,AF11=""), "* No olvide escribir en la celda de Pueblos Originarios (Digite CERO si no tiene). ",IF(AND(E11&lt;&gt;0,AG11=""), "* No olvide escribir en la celda de Pueblos Originarios (Digite CERO si no tiene). ",""))</f>
        <v/>
      </c>
      <c r="CS11" s="381" t="str">
        <f>IF(AND(D11&lt;&gt;0,AH11=""), "* No olvide escribir en la celda de Población Migrantes (Digite CERO si no tiene). ",IF(AND(E11&lt;&gt;0,AI11=""), "* No olvide escribir en la celda de Población Migrantes (Digite CERO si no tiene). ",""))</f>
        <v/>
      </c>
      <c r="DA11" s="391">
        <f>IF($H$11+$I$11&lt;&gt;$H$38+$I$38,1,0)</f>
        <v>0</v>
      </c>
      <c r="DB11" s="391">
        <f>IF($J$11+$K$11&lt;&gt;$J$38+$K$38,1,0)</f>
        <v>0</v>
      </c>
      <c r="DC11" s="391">
        <f>IF($L$11+$M$11&lt;&gt;$L$38+$M$38,1,0)</f>
        <v>0</v>
      </c>
      <c r="DD11" s="391">
        <f>IF($N$11+$O$11&lt;&gt;$N$38+$O$38,1,0)</f>
        <v>0</v>
      </c>
      <c r="DE11" s="391">
        <f>IF($P$11+$Q$11&lt;&gt;$P$38+$Q$38,1,0)</f>
        <v>0</v>
      </c>
      <c r="DF11" s="391">
        <f>IF($R$11+$S$11&lt;&gt;$R$38+$S$38,1,0)</f>
        <v>0</v>
      </c>
      <c r="DG11" s="391">
        <f>IF($T$11+$U$11&lt;&gt;$T$38+$U$38,1,0)</f>
        <v>0</v>
      </c>
      <c r="DH11" s="391">
        <f>IF($V$11+$W$11&lt;&gt;$V$38+$W$38,1,0)</f>
        <v>0</v>
      </c>
      <c r="DI11" s="391">
        <f>IF($X$11+$Y$11&lt;&gt;$X$38+$Y$38,1,0)</f>
        <v>0</v>
      </c>
      <c r="DJ11" s="391">
        <f>IF($Z$11+$AA$11&lt;&gt;$Z$38+$AA$38,1,0)</f>
        <v>0</v>
      </c>
      <c r="DK11" s="391">
        <f>IF($AB$11+$AC$11&lt;&gt;$AB$38+$AC$38,1,0)</f>
        <v>0</v>
      </c>
      <c r="DL11" s="391">
        <f>IF($AD$11+$AE$11&lt;&gt;$AD$38+$AE$38,1,0)</f>
        <v>0</v>
      </c>
      <c r="DM11" s="391">
        <f>IF($C11&gt;=$AH11+$AI11,0,1)</f>
        <v>0</v>
      </c>
      <c r="DN11" s="391">
        <f>IF($C11&gt;=$AF11+$AG11,0,1)</f>
        <v>0</v>
      </c>
      <c r="DO11" s="391">
        <f>IF($AF$11+$AG$11&lt;&gt;$AF$38+$AG$38,1,0)</f>
        <v>0</v>
      </c>
      <c r="DP11" s="391">
        <f>IF($AH$11+$AI$11&lt;&gt;$AH$38+$AI$38,1,0)</f>
        <v>0</v>
      </c>
    </row>
    <row r="12" spans="1:130" ht="21.75" customHeight="1" x14ac:dyDescent="0.25">
      <c r="A12" s="1926" t="s">
        <v>96</v>
      </c>
      <c r="B12" s="96" t="s">
        <v>385</v>
      </c>
      <c r="C12" s="632">
        <f t="shared" si="0"/>
        <v>0</v>
      </c>
      <c r="D12" s="1366">
        <f t="shared" ref="D12:E13" si="1">+F12+H12+J12+L12+N12+P12+R12+T12+V12+X12+Z12+AB12+AD12</f>
        <v>0</v>
      </c>
      <c r="E12" s="692">
        <f t="shared" si="1"/>
        <v>0</v>
      </c>
      <c r="F12" s="633"/>
      <c r="G12" s="1228"/>
      <c r="H12" s="633"/>
      <c r="I12" s="634"/>
      <c r="J12" s="633"/>
      <c r="K12" s="634"/>
      <c r="L12" s="633"/>
      <c r="M12" s="635"/>
      <c r="N12" s="633"/>
      <c r="O12" s="634"/>
      <c r="P12" s="633"/>
      <c r="Q12" s="634"/>
      <c r="R12" s="636"/>
      <c r="S12" s="634"/>
      <c r="T12" s="633"/>
      <c r="U12" s="635"/>
      <c r="V12" s="633"/>
      <c r="W12" s="634"/>
      <c r="X12" s="633"/>
      <c r="Y12" s="634"/>
      <c r="Z12" s="633"/>
      <c r="AA12" s="634"/>
      <c r="AB12" s="633"/>
      <c r="AC12" s="651"/>
      <c r="AD12" s="633"/>
      <c r="AE12" s="634"/>
      <c r="AF12" s="637"/>
      <c r="AG12" s="704"/>
      <c r="AH12" s="636"/>
      <c r="AI12" s="634"/>
      <c r="AJ12" s="376" t="str">
        <f t="shared" ref="AJ12:AJ39" si="2">($CA12&amp;CB12&amp;CC12&amp;CD12&amp;CE12&amp;CF12&amp;CG12&amp;CH12&amp;CI12&amp;CJ12&amp;CK12&amp;CL12&amp;CM12&amp;CN12&amp;CO12&amp;CP12&amp;CQ12&amp;CR12&amp;CS12&amp;CT12&amp;CU12&amp;CV12&amp;CW12&amp;CX12&amp;CY12&amp;CZ12)</f>
        <v/>
      </c>
      <c r="AK12" s="1050"/>
      <c r="AL12" s="1050"/>
      <c r="AM12" s="1050"/>
      <c r="AN12" s="1050"/>
      <c r="AO12" s="1050"/>
      <c r="AP12" s="1050"/>
      <c r="AQ12" s="1050"/>
      <c r="AR12" s="1050"/>
      <c r="AS12" s="1050"/>
      <c r="AT12" s="1050"/>
      <c r="AU12" s="1050"/>
      <c r="AV12" s="1050"/>
      <c r="BD12" s="180"/>
      <c r="BE12" s="180"/>
      <c r="BF12" s="180"/>
      <c r="BG12" s="180"/>
      <c r="BH12" s="180"/>
      <c r="BI12" s="180"/>
      <c r="BJ12" s="180"/>
      <c r="BK12" s="180"/>
      <c r="BL12" s="180"/>
      <c r="CA12" s="464"/>
      <c r="CR12" s="381" t="str">
        <f>IF(AND(D12&lt;&gt;0,AF12=""), "* No olvide escribir en la celda de Pueblos Originarios (Digite CERO si no tiene). ",IF(AND(E12&lt;&gt;0,AG12=""), "* No olvide escribir en la celda de Pueblos Originarios (Digite CERO si no tiene). ",""))</f>
        <v/>
      </c>
      <c r="CS12" s="381" t="str">
        <f>IF(AND(D12&lt;&gt;0,AH12=""), "* No olvide escribir en la celda de Población Migrantes (Digite CERO si no tiene). ",IF(AND(E12&lt;&gt;0,AI12=""), "* No olvide escribir en la celda de Población Migrantes (Digite CERO si no tiene). ",""))</f>
        <v/>
      </c>
      <c r="DA12" s="385"/>
      <c r="DB12" s="385"/>
      <c r="DC12" s="385"/>
      <c r="DD12" s="385"/>
      <c r="DE12" s="385"/>
      <c r="DF12" s="385"/>
      <c r="DG12" s="385"/>
      <c r="DH12" s="385"/>
      <c r="DI12" s="385"/>
      <c r="DJ12" s="385"/>
      <c r="DO12" s="449">
        <f>IF(AND(D12&lt;&gt;0,AF12=""), 1,IF(AND(E12&lt;&gt;0,AG12=""), 1,0))</f>
        <v>0</v>
      </c>
      <c r="DP12" s="449">
        <f>IF(AND(D12&lt;&gt;0,AH12=""), 1,IF(AND(E12&lt;&gt;0,AI12=""), 1,0))</f>
        <v>0</v>
      </c>
    </row>
    <row r="13" spans="1:130" ht="21.75" customHeight="1" x14ac:dyDescent="0.25">
      <c r="A13" s="1927"/>
      <c r="B13" s="97" t="s">
        <v>386</v>
      </c>
      <c r="C13" s="638">
        <f t="shared" si="0"/>
        <v>0</v>
      </c>
      <c r="D13" s="689">
        <f t="shared" si="1"/>
        <v>0</v>
      </c>
      <c r="E13" s="699">
        <f t="shared" si="1"/>
        <v>0</v>
      </c>
      <c r="F13" s="639"/>
      <c r="G13" s="1235"/>
      <c r="H13" s="639"/>
      <c r="I13" s="640"/>
      <c r="J13" s="639"/>
      <c r="K13" s="640"/>
      <c r="L13" s="639"/>
      <c r="M13" s="641"/>
      <c r="N13" s="639"/>
      <c r="O13" s="640"/>
      <c r="P13" s="639"/>
      <c r="Q13" s="640"/>
      <c r="R13" s="642"/>
      <c r="S13" s="640"/>
      <c r="T13" s="639"/>
      <c r="U13" s="641"/>
      <c r="V13" s="639"/>
      <c r="W13" s="640"/>
      <c r="X13" s="639"/>
      <c r="Y13" s="640"/>
      <c r="Z13" s="639"/>
      <c r="AA13" s="640"/>
      <c r="AB13" s="639"/>
      <c r="AC13" s="653"/>
      <c r="AD13" s="639"/>
      <c r="AE13" s="640"/>
      <c r="AF13" s="643"/>
      <c r="AG13" s="708"/>
      <c r="AH13" s="642"/>
      <c r="AI13" s="640"/>
      <c r="AJ13" s="376" t="str">
        <f t="shared" si="2"/>
        <v/>
      </c>
      <c r="AK13" s="1050"/>
      <c r="AL13" s="1050"/>
      <c r="AM13" s="1050"/>
      <c r="AN13" s="1050"/>
      <c r="AO13" s="1050"/>
      <c r="AP13" s="1050"/>
      <c r="AQ13" s="1050"/>
      <c r="AR13" s="1050"/>
      <c r="AS13" s="1050"/>
      <c r="AT13" s="1050"/>
      <c r="AU13" s="1050"/>
      <c r="AV13" s="1050"/>
      <c r="BD13" s="180"/>
      <c r="BE13" s="180"/>
      <c r="BF13" s="180"/>
      <c r="BG13" s="180"/>
      <c r="BH13" s="180"/>
      <c r="BI13" s="180"/>
      <c r="BJ13" s="180"/>
      <c r="BK13" s="180"/>
      <c r="BL13" s="180"/>
      <c r="CA13" s="464"/>
      <c r="CR13" s="381" t="str">
        <f>IF(AND(D13&lt;&gt;0,AF13=""), "* No olvide escribir en la celda de Pueblos Originarios (Digite CERO si no tiene). ",IF(AND(E13&lt;&gt;0,AG13=""), "* No olvide escribir en la celda de Pueblos Originarios (Digite CERO si no tiene). ",""))</f>
        <v/>
      </c>
      <c r="CS13" s="381" t="str">
        <f>IF(AND(D13&lt;&gt;0,AH13=""), "* No olvide escribir en la celda de Población Migrantes (Digite CERO si no tiene). ",IF(AND(E13&lt;&gt;0,AI13=""), "* No olvide escribir en la celda de Población Migrantes (Digite CERO si no tiene). ",""))</f>
        <v/>
      </c>
      <c r="DA13" s="385"/>
      <c r="DB13" s="385"/>
      <c r="DC13" s="385"/>
      <c r="DD13" s="385"/>
      <c r="DE13" s="385"/>
      <c r="DF13" s="385"/>
      <c r="DG13" s="385"/>
      <c r="DH13" s="385"/>
      <c r="DI13" s="385"/>
      <c r="DJ13" s="385"/>
      <c r="DO13" s="449">
        <f>IF(AND(D13&lt;&gt;0,AF13=""), 1,IF(AND(E13&lt;&gt;0,AG13=""), 1,0))</f>
        <v>0</v>
      </c>
      <c r="DP13" s="449">
        <f>IF(AND(D13&lt;&gt;0,AH13=""), 1,IF(AND(E13&lt;&gt;0,AI13=""), 1,0))</f>
        <v>0</v>
      </c>
    </row>
    <row r="14" spans="1:130" ht="21.75" customHeight="1" x14ac:dyDescent="0.25">
      <c r="A14" s="1927"/>
      <c r="B14" s="99" t="s">
        <v>13</v>
      </c>
      <c r="C14" s="645">
        <f t="shared" si="0"/>
        <v>0</v>
      </c>
      <c r="D14" s="1366">
        <f>+F14+H14+J14+L14+N14+P14+R14+T14+V14+X14+Z14+AB14+AD14</f>
        <v>0</v>
      </c>
      <c r="E14" s="692">
        <f>+G14+I14+K14+M14+O14+Q14+S14+U14+W14+Y14+AA14+AC14+AE14</f>
        <v>0</v>
      </c>
      <c r="F14" s="646">
        <f>+SUM(F12:F13)</f>
        <v>0</v>
      </c>
      <c r="G14" s="1131">
        <f>+SUM(G12:G13)</f>
        <v>0</v>
      </c>
      <c r="H14" s="646">
        <f>+SUM(H12:H13)</f>
        <v>0</v>
      </c>
      <c r="I14" s="647">
        <f t="shared" ref="I14:T14" si="3">+SUM(I12:I13)</f>
        <v>0</v>
      </c>
      <c r="J14" s="646">
        <f t="shared" si="3"/>
        <v>0</v>
      </c>
      <c r="K14" s="647">
        <f t="shared" si="3"/>
        <v>0</v>
      </c>
      <c r="L14" s="646">
        <f t="shared" si="3"/>
        <v>0</v>
      </c>
      <c r="M14" s="648">
        <f t="shared" si="3"/>
        <v>0</v>
      </c>
      <c r="N14" s="646">
        <f t="shared" si="3"/>
        <v>0</v>
      </c>
      <c r="O14" s="647">
        <f t="shared" si="3"/>
        <v>0</v>
      </c>
      <c r="P14" s="646">
        <f t="shared" si="3"/>
        <v>0</v>
      </c>
      <c r="Q14" s="647">
        <f t="shared" si="3"/>
        <v>0</v>
      </c>
      <c r="R14" s="649">
        <f t="shared" si="3"/>
        <v>0</v>
      </c>
      <c r="S14" s="647">
        <f t="shared" si="3"/>
        <v>0</v>
      </c>
      <c r="T14" s="646">
        <f t="shared" si="3"/>
        <v>0</v>
      </c>
      <c r="U14" s="648">
        <f>+SUM(U12:U13)</f>
        <v>0</v>
      </c>
      <c r="V14" s="646">
        <f>SUM(V12:V13)</f>
        <v>0</v>
      </c>
      <c r="W14" s="647">
        <f t="shared" ref="W14:AE14" si="4">SUM(W12:W13)</f>
        <v>0</v>
      </c>
      <c r="X14" s="646">
        <f>SUM(X12:X13)</f>
        <v>0</v>
      </c>
      <c r="Y14" s="647">
        <f t="shared" si="4"/>
        <v>0</v>
      </c>
      <c r="Z14" s="646">
        <f t="shared" si="4"/>
        <v>0</v>
      </c>
      <c r="AA14" s="647">
        <f t="shared" si="4"/>
        <v>0</v>
      </c>
      <c r="AB14" s="649">
        <f t="shared" si="4"/>
        <v>0</v>
      </c>
      <c r="AC14" s="648">
        <f t="shared" si="4"/>
        <v>0</v>
      </c>
      <c r="AD14" s="646">
        <f t="shared" si="4"/>
        <v>0</v>
      </c>
      <c r="AE14" s="647">
        <f t="shared" si="4"/>
        <v>0</v>
      </c>
      <c r="AF14" s="650">
        <f>+SUM(AF12:AF13)</f>
        <v>0</v>
      </c>
      <c r="AG14" s="710">
        <f>+SUM(AG12:AG13)</f>
        <v>0</v>
      </c>
      <c r="AH14" s="649">
        <f>+SUM(AH12:AH13)</f>
        <v>0</v>
      </c>
      <c r="AI14" s="647">
        <f>+SUM(AI12:AI13)</f>
        <v>0</v>
      </c>
      <c r="AJ14" s="376" t="str">
        <f t="shared" si="2"/>
        <v/>
      </c>
      <c r="AK14" s="1050"/>
      <c r="AL14" s="1050"/>
      <c r="AM14" s="1050"/>
      <c r="AN14" s="1050"/>
      <c r="AO14" s="1050"/>
      <c r="AP14" s="1050"/>
      <c r="AQ14" s="1050"/>
      <c r="AR14" s="1050"/>
      <c r="AS14" s="1050"/>
      <c r="AT14" s="1050"/>
      <c r="AU14" s="1050"/>
      <c r="AV14" s="1050"/>
      <c r="BD14" s="180"/>
      <c r="BE14" s="180"/>
      <c r="BF14" s="180"/>
      <c r="BG14" s="180"/>
      <c r="BH14" s="180"/>
      <c r="BI14" s="180"/>
      <c r="BJ14" s="180"/>
      <c r="BK14" s="180"/>
      <c r="BL14" s="180"/>
      <c r="CA14" s="464"/>
      <c r="CB14" s="381" t="str">
        <f>IF($C14&gt;=$AF14+$AG14,"","* El Total de Pueblos Originarios no debe ser mayor al Total Indicador peso/edad")</f>
        <v/>
      </c>
      <c r="CC14" s="381" t="str">
        <f>IF($C14&gt;=$AH14+$AI14,"","* El Total de Población Migrante no debe ser mayor al Total Indicador peso/edad")</f>
        <v/>
      </c>
      <c r="DA14" s="391">
        <f>IF($C14&gt;=$AF14+$AG14,0,1)</f>
        <v>0</v>
      </c>
      <c r="DB14" s="391">
        <f>IF($C14&gt;=$AH14+$AI14,0,1)</f>
        <v>0</v>
      </c>
      <c r="DC14" s="385"/>
      <c r="DD14" s="385"/>
      <c r="DE14" s="385"/>
      <c r="DF14" s="385"/>
      <c r="DG14" s="385"/>
      <c r="DH14" s="385"/>
      <c r="DI14" s="385"/>
      <c r="DJ14" s="385"/>
    </row>
    <row r="15" spans="1:130" ht="21.75" customHeight="1" x14ac:dyDescent="0.25">
      <c r="A15" s="1927"/>
      <c r="B15" s="101" t="s">
        <v>387</v>
      </c>
      <c r="C15" s="632">
        <f t="shared" si="0"/>
        <v>0</v>
      </c>
      <c r="D15" s="1366">
        <f t="shared" ref="D15:E28" si="5">+F15+H15+J15+L15+N15+P15+R15+T15+V15+X15+Z15+AB15+AD15</f>
        <v>0</v>
      </c>
      <c r="E15" s="692">
        <f t="shared" si="5"/>
        <v>0</v>
      </c>
      <c r="F15" s="633"/>
      <c r="G15" s="1228"/>
      <c r="H15" s="633"/>
      <c r="I15" s="636"/>
      <c r="J15" s="633"/>
      <c r="K15" s="636"/>
      <c r="L15" s="633"/>
      <c r="M15" s="635"/>
      <c r="N15" s="633"/>
      <c r="O15" s="634"/>
      <c r="P15" s="633"/>
      <c r="Q15" s="634"/>
      <c r="R15" s="636"/>
      <c r="S15" s="636"/>
      <c r="T15" s="633"/>
      <c r="U15" s="651"/>
      <c r="V15" s="633"/>
      <c r="W15" s="634"/>
      <c r="X15" s="633"/>
      <c r="Y15" s="634"/>
      <c r="Z15" s="633"/>
      <c r="AA15" s="634"/>
      <c r="AB15" s="636"/>
      <c r="AC15" s="651"/>
      <c r="AD15" s="633"/>
      <c r="AE15" s="634"/>
      <c r="AF15" s="637"/>
      <c r="AG15" s="704"/>
      <c r="AH15" s="636"/>
      <c r="AI15" s="634"/>
      <c r="AJ15" s="376" t="str">
        <f t="shared" si="2"/>
        <v/>
      </c>
      <c r="AK15" s="1050"/>
      <c r="AL15" s="1050"/>
      <c r="AM15" s="1050"/>
      <c r="AN15" s="1050"/>
      <c r="AO15" s="1050"/>
      <c r="AP15" s="1050"/>
      <c r="AQ15" s="1050"/>
      <c r="AR15" s="1050"/>
      <c r="AS15" s="1050"/>
      <c r="AT15" s="1050"/>
      <c r="AU15" s="1050"/>
      <c r="AV15" s="1050"/>
      <c r="BD15" s="180"/>
      <c r="BE15" s="180"/>
      <c r="BF15" s="180"/>
      <c r="BG15" s="180"/>
      <c r="BH15" s="180"/>
      <c r="BI15" s="180"/>
      <c r="BJ15" s="180"/>
      <c r="BK15" s="180"/>
      <c r="BL15" s="180"/>
      <c r="CA15" s="464"/>
      <c r="CR15" s="381" t="str">
        <f>IF(AND(D15&lt;&gt;0,AF15=""), "* No olvide escribir en la celda de Pueblos Originarios (Digite CERO si no tiene). ",IF(AND(E15&lt;&gt;0,AG15=""), "* No olvide escribir en la celda de Pueblos Originarios (Digite CERO si no tiene). ",""))</f>
        <v/>
      </c>
      <c r="CS15" s="381" t="str">
        <f>IF(AND(D15&lt;&gt;0,AH15=""), "* No olvide escribir en la celda de Población Migrantes (Digite CERO si no tiene). ",IF(AND(E15&lt;&gt;0,AI15=""), "* No olvide escribir en la celda de Población Migrantes (Digite CERO si no tiene). ",""))</f>
        <v/>
      </c>
      <c r="DA15" s="385"/>
      <c r="DB15" s="385"/>
      <c r="DC15" s="385"/>
      <c r="DD15" s="385"/>
      <c r="DE15" s="385"/>
      <c r="DF15" s="385"/>
      <c r="DG15" s="385"/>
      <c r="DH15" s="385"/>
      <c r="DI15" s="385"/>
      <c r="DJ15" s="385"/>
      <c r="DO15" s="449">
        <f>IF(AND(D15&lt;&gt;0,AF15=""), 1,IF(AND(E15&lt;&gt;0,AG15=""), 1,0))</f>
        <v>0</v>
      </c>
      <c r="DP15" s="449">
        <f>IF(AND(D15&lt;&gt;0,AH15=""), 1,IF(AND(E15&lt;&gt;0,AI15=""), 1,0))</f>
        <v>0</v>
      </c>
    </row>
    <row r="16" spans="1:130" ht="21.75" customHeight="1" x14ac:dyDescent="0.25">
      <c r="A16" s="1927"/>
      <c r="B16" s="97" t="s">
        <v>383</v>
      </c>
      <c r="C16" s="652">
        <f t="shared" si="0"/>
        <v>0</v>
      </c>
      <c r="D16" s="689">
        <f t="shared" si="5"/>
        <v>0</v>
      </c>
      <c r="E16" s="699">
        <f>+G16+I16+K16+M16+O16+Q16+S16+U16+W16+Y16+AA16+AC16+AE16</f>
        <v>0</v>
      </c>
      <c r="F16" s="639"/>
      <c r="G16" s="1235"/>
      <c r="H16" s="639"/>
      <c r="I16" s="642"/>
      <c r="J16" s="639"/>
      <c r="K16" s="642"/>
      <c r="L16" s="639"/>
      <c r="M16" s="641"/>
      <c r="N16" s="639"/>
      <c r="O16" s="640"/>
      <c r="P16" s="639"/>
      <c r="Q16" s="640"/>
      <c r="R16" s="642"/>
      <c r="S16" s="642"/>
      <c r="T16" s="639"/>
      <c r="U16" s="653"/>
      <c r="V16" s="639"/>
      <c r="W16" s="640"/>
      <c r="X16" s="639"/>
      <c r="Y16" s="640"/>
      <c r="Z16" s="639"/>
      <c r="AA16" s="640"/>
      <c r="AB16" s="642"/>
      <c r="AC16" s="653"/>
      <c r="AD16" s="639"/>
      <c r="AE16" s="640"/>
      <c r="AF16" s="643"/>
      <c r="AG16" s="708"/>
      <c r="AH16" s="642"/>
      <c r="AI16" s="640"/>
      <c r="AJ16" s="376" t="str">
        <f t="shared" si="2"/>
        <v/>
      </c>
      <c r="AK16" s="1050"/>
      <c r="AL16" s="1050"/>
      <c r="AM16" s="1050"/>
      <c r="AN16" s="1050"/>
      <c r="AO16" s="1050"/>
      <c r="AP16" s="1050"/>
      <c r="AQ16" s="1050"/>
      <c r="AR16" s="1050"/>
      <c r="AS16" s="1050"/>
      <c r="AT16" s="1050"/>
      <c r="AU16" s="1050"/>
      <c r="AV16" s="1050"/>
      <c r="BD16" s="180"/>
      <c r="BE16" s="180"/>
      <c r="BF16" s="180"/>
      <c r="BG16" s="180"/>
      <c r="BH16" s="180"/>
      <c r="BI16" s="180"/>
      <c r="BJ16" s="180"/>
      <c r="BK16" s="180"/>
      <c r="BL16" s="180"/>
      <c r="CA16" s="464"/>
      <c r="CR16" s="381" t="str">
        <f>IF(AND(D16&lt;&gt;0,AF16=""), "* No olvide escribir en la celda de Pueblos Originarios (Digite CERO si no tiene). ",IF(AND(E16&lt;&gt;0,AG16=""), "* No olvide escribir en la celda de Pueblos Originarios (Digite CERO si no tiene). ",""))</f>
        <v/>
      </c>
      <c r="CS16" s="381" t="str">
        <f>IF(AND(D16&lt;&gt;0,AH16=""), "* No olvide escribir en la celda de Población Migrantes (Digite CERO si no tiene). ",IF(AND(E16&lt;&gt;0,AI16=""), "* No olvide escribir en la celda de Población Migrantes (Digite CERO si no tiene). ",""))</f>
        <v/>
      </c>
      <c r="DA16" s="385"/>
      <c r="DB16" s="385"/>
      <c r="DC16" s="385"/>
      <c r="DD16" s="385"/>
      <c r="DE16" s="385"/>
      <c r="DF16" s="385"/>
      <c r="DG16" s="385"/>
      <c r="DH16" s="385"/>
      <c r="DI16" s="385"/>
      <c r="DJ16" s="385"/>
      <c r="DO16" s="449">
        <f>IF(AND(D16&lt;&gt;0,AF16=""), 1,IF(AND(E16&lt;&gt;0,AG16=""), 1,0))</f>
        <v>0</v>
      </c>
      <c r="DP16" s="449">
        <f>IF(AND(D16&lt;&gt;0,AH16=""), 1,IF(AND(E16&lt;&gt;0,AI16=""), 1,0))</f>
        <v>0</v>
      </c>
    </row>
    <row r="17" spans="1:120" ht="21.75" customHeight="1" x14ac:dyDescent="0.25">
      <c r="A17" s="1928"/>
      <c r="B17" s="99" t="s">
        <v>13</v>
      </c>
      <c r="C17" s="645">
        <f t="shared" si="0"/>
        <v>0</v>
      </c>
      <c r="D17" s="689">
        <f>+F17+H17+J17+L17+N17+P17+R17+T17+V17+X17+Z17+AB17+AD17</f>
        <v>0</v>
      </c>
      <c r="E17" s="699">
        <f>+G17+I17+K17+M17+O17+Q17+S17+U17+W17+Y17+AA17+AC17+AE17</f>
        <v>0</v>
      </c>
      <c r="F17" s="646">
        <f t="shared" ref="F17:G17" si="6">+SUM(F15:F16)</f>
        <v>0</v>
      </c>
      <c r="G17" s="1131">
        <f t="shared" si="6"/>
        <v>0</v>
      </c>
      <c r="H17" s="646">
        <f>SUM(H15:H16)</f>
        <v>0</v>
      </c>
      <c r="I17" s="647">
        <f t="shared" ref="I17:U17" si="7">SUM(I15:I16)</f>
        <v>0</v>
      </c>
      <c r="J17" s="646">
        <f t="shared" si="7"/>
        <v>0</v>
      </c>
      <c r="K17" s="647">
        <f t="shared" si="7"/>
        <v>0</v>
      </c>
      <c r="L17" s="646">
        <f t="shared" si="7"/>
        <v>0</v>
      </c>
      <c r="M17" s="648">
        <f t="shared" si="7"/>
        <v>0</v>
      </c>
      <c r="N17" s="646">
        <f t="shared" si="7"/>
        <v>0</v>
      </c>
      <c r="O17" s="647">
        <f t="shared" si="7"/>
        <v>0</v>
      </c>
      <c r="P17" s="646">
        <f t="shared" si="7"/>
        <v>0</v>
      </c>
      <c r="Q17" s="647">
        <f t="shared" si="7"/>
        <v>0</v>
      </c>
      <c r="R17" s="649">
        <f t="shared" si="7"/>
        <v>0</v>
      </c>
      <c r="S17" s="647">
        <f t="shared" si="7"/>
        <v>0</v>
      </c>
      <c r="T17" s="646">
        <f t="shared" si="7"/>
        <v>0</v>
      </c>
      <c r="U17" s="648">
        <f t="shared" si="7"/>
        <v>0</v>
      </c>
      <c r="V17" s="646">
        <f>SUM(V15:V16)</f>
        <v>0</v>
      </c>
      <c r="W17" s="647">
        <f t="shared" ref="W17:AE17" si="8">SUM(W15:W16)</f>
        <v>0</v>
      </c>
      <c r="X17" s="646">
        <f t="shared" si="8"/>
        <v>0</v>
      </c>
      <c r="Y17" s="647">
        <f t="shared" si="8"/>
        <v>0</v>
      </c>
      <c r="Z17" s="646">
        <f t="shared" si="8"/>
        <v>0</v>
      </c>
      <c r="AA17" s="647">
        <f t="shared" si="8"/>
        <v>0</v>
      </c>
      <c r="AB17" s="649">
        <f t="shared" si="8"/>
        <v>0</v>
      </c>
      <c r="AC17" s="648">
        <f t="shared" si="8"/>
        <v>0</v>
      </c>
      <c r="AD17" s="646">
        <f t="shared" si="8"/>
        <v>0</v>
      </c>
      <c r="AE17" s="647">
        <f t="shared" si="8"/>
        <v>0</v>
      </c>
      <c r="AF17" s="650">
        <f>SUM(AF15:AF16)</f>
        <v>0</v>
      </c>
      <c r="AG17" s="710">
        <f>SUM(AG15:AG16)</f>
        <v>0</v>
      </c>
      <c r="AH17" s="649">
        <f>SUM(AH15:AH16)</f>
        <v>0</v>
      </c>
      <c r="AI17" s="647">
        <f>SUM(AI15:AI16)</f>
        <v>0</v>
      </c>
      <c r="AJ17" s="376" t="str">
        <f t="shared" si="2"/>
        <v/>
      </c>
      <c r="AK17" s="1050"/>
      <c r="AL17" s="1050"/>
      <c r="AM17" s="1050"/>
      <c r="AN17" s="1050"/>
      <c r="AO17" s="1050"/>
      <c r="AP17" s="1050"/>
      <c r="AQ17" s="1050"/>
      <c r="AR17" s="1050"/>
      <c r="AS17" s="1050"/>
      <c r="AT17" s="1050"/>
      <c r="AU17" s="1050"/>
      <c r="AV17" s="1050"/>
      <c r="BD17" s="180"/>
      <c r="BE17" s="180"/>
      <c r="BF17" s="180"/>
      <c r="BG17" s="180"/>
      <c r="BH17" s="180"/>
      <c r="BI17" s="180"/>
      <c r="BJ17" s="180"/>
      <c r="BK17" s="180"/>
      <c r="BL17" s="180"/>
      <c r="CA17" s="464"/>
      <c r="CB17" s="381" t="str">
        <f>IF($C17&gt;=$AF17+$AG17,"","* El Total de Pueblos Originarios no debe ser mayor al Total Indicador peso/edad")</f>
        <v/>
      </c>
      <c r="CC17" s="381" t="str">
        <f>IF($C17&gt;=$AH17+$AI17,"","* El Total de Población Migrante no debe ser mayor al Total Indicador peso/edad")</f>
        <v/>
      </c>
      <c r="DA17" s="391">
        <f>IF($C17&gt;=$AF17+$AG17,0,1)</f>
        <v>0</v>
      </c>
      <c r="DB17" s="391">
        <f>IF($C17&gt;=$AH17+$AI17,0,1)</f>
        <v>0</v>
      </c>
      <c r="DC17" s="385"/>
      <c r="DD17" s="385"/>
      <c r="DE17" s="385"/>
      <c r="DF17" s="385"/>
      <c r="DG17" s="385"/>
      <c r="DH17" s="385"/>
      <c r="DI17" s="385"/>
      <c r="DJ17" s="385"/>
    </row>
    <row r="18" spans="1:120" ht="21.75" customHeight="1" x14ac:dyDescent="0.25">
      <c r="A18" s="1926" t="s">
        <v>97</v>
      </c>
      <c r="B18" s="101" t="s">
        <v>385</v>
      </c>
      <c r="C18" s="654">
        <f t="shared" si="0"/>
        <v>0</v>
      </c>
      <c r="D18" s="1366">
        <f t="shared" ref="D18:D19" si="9">+F18+H18+J18+L18+N18+P18+R18+T18+V18+X18+Z18+AB18+AD18</f>
        <v>0</v>
      </c>
      <c r="E18" s="692">
        <f t="shared" si="5"/>
        <v>0</v>
      </c>
      <c r="F18" s="633"/>
      <c r="G18" s="1228"/>
      <c r="H18" s="633"/>
      <c r="I18" s="636"/>
      <c r="J18" s="633"/>
      <c r="K18" s="636"/>
      <c r="L18" s="633"/>
      <c r="M18" s="635"/>
      <c r="N18" s="633"/>
      <c r="O18" s="634"/>
      <c r="P18" s="633"/>
      <c r="Q18" s="634"/>
      <c r="R18" s="636"/>
      <c r="S18" s="636"/>
      <c r="T18" s="633"/>
      <c r="U18" s="651"/>
      <c r="V18" s="633"/>
      <c r="W18" s="634"/>
      <c r="X18" s="633"/>
      <c r="Y18" s="634"/>
      <c r="Z18" s="633"/>
      <c r="AA18" s="634"/>
      <c r="AB18" s="636"/>
      <c r="AC18" s="651"/>
      <c r="AD18" s="633"/>
      <c r="AE18" s="634"/>
      <c r="AF18" s="637"/>
      <c r="AG18" s="704"/>
      <c r="AH18" s="636"/>
      <c r="AI18" s="634"/>
      <c r="AJ18" s="376" t="str">
        <f t="shared" si="2"/>
        <v/>
      </c>
      <c r="AK18" s="1050"/>
      <c r="AL18" s="1050"/>
      <c r="AM18" s="1050"/>
      <c r="AN18" s="1050"/>
      <c r="AO18" s="1050"/>
      <c r="AP18" s="1050"/>
      <c r="AQ18" s="1050"/>
      <c r="AR18" s="1050"/>
      <c r="AS18" s="1050"/>
      <c r="AT18" s="1050"/>
      <c r="AU18" s="1050"/>
      <c r="AV18" s="1050"/>
      <c r="BD18" s="180"/>
      <c r="BE18" s="180"/>
      <c r="BF18" s="180"/>
      <c r="BG18" s="180"/>
      <c r="BH18" s="180"/>
      <c r="BI18" s="180"/>
      <c r="BJ18" s="180"/>
      <c r="BK18" s="180"/>
      <c r="BL18" s="180"/>
      <c r="CA18" s="464"/>
      <c r="CR18" s="381" t="str">
        <f>IF(AND(D18&lt;&gt;0,AF18=""), "* No olvide escribir en la celda de Pueblos Originarios (Digite CERO si no tiene). ",IF(AND(E18&lt;&gt;0,AG18=""), "* No olvide escribir en la celda de Pueblos Originarios (Digite CERO si no tiene). ",""))</f>
        <v/>
      </c>
      <c r="CS18" s="381" t="str">
        <f>IF(AND(D18&lt;&gt;0,AH18=""), "* No olvide escribir en la celda de Población Migrantes (Digite CERO si no tiene). ",IF(AND(E18&lt;&gt;0,AI18=""), "* No olvide escribir en la celda de Población Migrantes (Digite CERO si no tiene). ",""))</f>
        <v/>
      </c>
      <c r="DA18" s="385"/>
      <c r="DB18" s="385"/>
      <c r="DC18" s="385"/>
      <c r="DD18" s="385"/>
      <c r="DE18" s="385"/>
      <c r="DF18" s="385"/>
      <c r="DG18" s="385"/>
      <c r="DH18" s="385"/>
      <c r="DI18" s="385"/>
      <c r="DJ18" s="385"/>
      <c r="DO18" s="449">
        <f>IF(AND(D18&lt;&gt;0,AF18=""), 1,IF(AND(E18&lt;&gt;0,AG18=""), 1,0))</f>
        <v>0</v>
      </c>
      <c r="DP18" s="449">
        <f>IF(AND(D18&lt;&gt;0,AH18=""), 1,IF(AND(E18&lt;&gt;0,AI18=""), 1,0))</f>
        <v>0</v>
      </c>
    </row>
    <row r="19" spans="1:120" ht="21.75" customHeight="1" x14ac:dyDescent="0.25">
      <c r="A19" s="1927"/>
      <c r="B19" s="97" t="s">
        <v>386</v>
      </c>
      <c r="C19" s="638">
        <f t="shared" si="0"/>
        <v>0</v>
      </c>
      <c r="D19" s="689">
        <f t="shared" si="9"/>
        <v>0</v>
      </c>
      <c r="E19" s="699">
        <f t="shared" si="5"/>
        <v>0</v>
      </c>
      <c r="F19" s="639"/>
      <c r="G19" s="1235"/>
      <c r="H19" s="639"/>
      <c r="I19" s="642"/>
      <c r="J19" s="639"/>
      <c r="K19" s="642"/>
      <c r="L19" s="639"/>
      <c r="M19" s="641"/>
      <c r="N19" s="639"/>
      <c r="O19" s="640"/>
      <c r="P19" s="639"/>
      <c r="Q19" s="640"/>
      <c r="R19" s="642"/>
      <c r="S19" s="642"/>
      <c r="T19" s="639"/>
      <c r="U19" s="653"/>
      <c r="V19" s="639"/>
      <c r="W19" s="640"/>
      <c r="X19" s="639"/>
      <c r="Y19" s="640"/>
      <c r="Z19" s="639"/>
      <c r="AA19" s="640"/>
      <c r="AB19" s="642"/>
      <c r="AC19" s="653"/>
      <c r="AD19" s="639"/>
      <c r="AE19" s="640"/>
      <c r="AF19" s="643"/>
      <c r="AG19" s="708"/>
      <c r="AH19" s="642"/>
      <c r="AI19" s="640"/>
      <c r="AJ19" s="376" t="str">
        <f t="shared" si="2"/>
        <v/>
      </c>
      <c r="AK19" s="1050"/>
      <c r="AL19" s="1050"/>
      <c r="AM19" s="1050"/>
      <c r="AN19" s="1050"/>
      <c r="AO19" s="1050"/>
      <c r="AP19" s="1050"/>
      <c r="AQ19" s="1050"/>
      <c r="AR19" s="1050"/>
      <c r="AS19" s="1050"/>
      <c r="AT19" s="1050"/>
      <c r="AU19" s="1050"/>
      <c r="AV19" s="1050"/>
      <c r="BD19" s="180"/>
      <c r="BE19" s="180"/>
      <c r="BF19" s="180"/>
      <c r="BG19" s="180"/>
      <c r="BH19" s="180"/>
      <c r="BI19" s="180"/>
      <c r="BJ19" s="180"/>
      <c r="BK19" s="180"/>
      <c r="BL19" s="180"/>
      <c r="CA19" s="464"/>
      <c r="CB19" s="464"/>
      <c r="CC19" s="464"/>
      <c r="CD19" s="464"/>
      <c r="CE19" s="464"/>
      <c r="CF19" s="464"/>
      <c r="CG19" s="464"/>
      <c r="CH19" s="464"/>
      <c r="CR19" s="381" t="str">
        <f>IF(AND(D19&lt;&gt;0,AF19=""), "* No olvide escribir en la celda de Pueblos Originarios (Digite CERO si no tiene). ",IF(AND(E19&lt;&gt;0,AG19=""), "* No olvide escribir en la celda de Pueblos Originarios (Digite CERO si no tiene). ",""))</f>
        <v/>
      </c>
      <c r="CS19" s="381" t="str">
        <f>IF(AND(D19&lt;&gt;0,AH19=""), "* No olvide escribir en la celda de Población Migrantes (Digite CERO si no tiene). ",IF(AND(E19&lt;&gt;0,AI19=""), "* No olvide escribir en la celda de Población Migrantes (Digite CERO si no tiene). ",""))</f>
        <v/>
      </c>
      <c r="DA19" s="385"/>
      <c r="DB19" s="385"/>
      <c r="DC19" s="385"/>
      <c r="DD19" s="385"/>
      <c r="DE19" s="385"/>
      <c r="DF19" s="385"/>
      <c r="DG19" s="385"/>
      <c r="DH19" s="385"/>
      <c r="DI19" s="385"/>
      <c r="DJ19" s="385"/>
      <c r="DO19" s="449">
        <f>IF(AND(D19&lt;&gt;0,AF19=""), 1,IF(AND(E19&lt;&gt;0,AG19=""), 1,0))</f>
        <v>0</v>
      </c>
      <c r="DP19" s="449">
        <f>IF(AND(D19&lt;&gt;0,AH19=""), 1,IF(AND(E19&lt;&gt;0,AI19=""), 1,0))</f>
        <v>0</v>
      </c>
    </row>
    <row r="20" spans="1:120" ht="21.75" customHeight="1" x14ac:dyDescent="0.25">
      <c r="A20" s="1927"/>
      <c r="B20" s="99" t="s">
        <v>13</v>
      </c>
      <c r="C20" s="645">
        <f t="shared" si="0"/>
        <v>0</v>
      </c>
      <c r="D20" s="689">
        <f>+F20+H20+J20+L20+N20+P20+R20+T20+V20+X20+Z20+AB20+AD20</f>
        <v>0</v>
      </c>
      <c r="E20" s="699">
        <f>+G20+I20+K20+M20+O20+Q20+S20+U20+W20+Y20+AA20+AC20+AE20</f>
        <v>0</v>
      </c>
      <c r="F20" s="646">
        <f>SUM(F18:F19)</f>
        <v>0</v>
      </c>
      <c r="G20" s="1131">
        <f t="shared" ref="G20" si="10">SUM(G18:G19)</f>
        <v>0</v>
      </c>
      <c r="H20" s="646">
        <f>+SUM(H18:H19)</f>
        <v>0</v>
      </c>
      <c r="I20" s="647">
        <f>+SUM(I18:I19)</f>
        <v>0</v>
      </c>
      <c r="J20" s="646">
        <f t="shared" ref="J20:AI20" si="11">+SUM(J18:J19)</f>
        <v>0</v>
      </c>
      <c r="K20" s="647">
        <f t="shared" si="11"/>
        <v>0</v>
      </c>
      <c r="L20" s="646">
        <f t="shared" si="11"/>
        <v>0</v>
      </c>
      <c r="M20" s="648">
        <f t="shared" si="11"/>
        <v>0</v>
      </c>
      <c r="N20" s="646">
        <f t="shared" si="11"/>
        <v>0</v>
      </c>
      <c r="O20" s="647">
        <f t="shared" si="11"/>
        <v>0</v>
      </c>
      <c r="P20" s="646">
        <f t="shared" si="11"/>
        <v>0</v>
      </c>
      <c r="Q20" s="647">
        <f t="shared" si="11"/>
        <v>0</v>
      </c>
      <c r="R20" s="649">
        <f t="shared" si="11"/>
        <v>0</v>
      </c>
      <c r="S20" s="647">
        <f t="shared" si="11"/>
        <v>0</v>
      </c>
      <c r="T20" s="646">
        <f t="shared" si="11"/>
        <v>0</v>
      </c>
      <c r="U20" s="648">
        <f t="shared" si="11"/>
        <v>0</v>
      </c>
      <c r="V20" s="646">
        <f t="shared" si="11"/>
        <v>0</v>
      </c>
      <c r="W20" s="647">
        <f t="shared" si="11"/>
        <v>0</v>
      </c>
      <c r="X20" s="646">
        <f t="shared" si="11"/>
        <v>0</v>
      </c>
      <c r="Y20" s="647">
        <f t="shared" si="11"/>
        <v>0</v>
      </c>
      <c r="Z20" s="646">
        <f t="shared" si="11"/>
        <v>0</v>
      </c>
      <c r="AA20" s="647">
        <f t="shared" si="11"/>
        <v>0</v>
      </c>
      <c r="AB20" s="649">
        <f t="shared" si="11"/>
        <v>0</v>
      </c>
      <c r="AC20" s="648">
        <f t="shared" si="11"/>
        <v>0</v>
      </c>
      <c r="AD20" s="646">
        <f t="shared" si="11"/>
        <v>0</v>
      </c>
      <c r="AE20" s="647">
        <f t="shared" si="11"/>
        <v>0</v>
      </c>
      <c r="AF20" s="650">
        <f t="shared" si="11"/>
        <v>0</v>
      </c>
      <c r="AG20" s="710">
        <f t="shared" si="11"/>
        <v>0</v>
      </c>
      <c r="AH20" s="649">
        <f t="shared" si="11"/>
        <v>0</v>
      </c>
      <c r="AI20" s="647">
        <f t="shared" si="11"/>
        <v>0</v>
      </c>
      <c r="AJ20" s="376" t="str">
        <f t="shared" si="2"/>
        <v/>
      </c>
      <c r="AK20" s="1050"/>
      <c r="AL20" s="1050"/>
      <c r="AM20" s="1050"/>
      <c r="AN20" s="1050"/>
      <c r="AO20" s="1050"/>
      <c r="AP20" s="1050"/>
      <c r="AQ20" s="1050"/>
      <c r="AR20" s="1050"/>
      <c r="AS20" s="1050"/>
      <c r="AT20" s="1050"/>
      <c r="AU20" s="1050"/>
      <c r="AV20" s="1050"/>
      <c r="BD20" s="180"/>
      <c r="BE20" s="180"/>
      <c r="BF20" s="180"/>
      <c r="BG20" s="180"/>
      <c r="BH20" s="180"/>
      <c r="BI20" s="180"/>
      <c r="BJ20" s="180"/>
      <c r="BK20" s="180"/>
      <c r="BL20" s="180"/>
      <c r="CA20" s="464"/>
      <c r="CB20" s="381" t="str">
        <f>IF($C20&gt;=$AF20+$AG20,"","* El Total de Pueblos Originarios no debe ser mayor al Total Indicador peso/talla")</f>
        <v/>
      </c>
      <c r="CC20" s="381" t="str">
        <f>IF($C20&gt;=$AH20+$AI20,"","* El Total de Población Migrante no debe ser mayor al Total Indicador peso/talla")</f>
        <v/>
      </c>
      <c r="DA20" s="391">
        <f>IF($C20&gt;=$AF20+$AG20,0,1)</f>
        <v>0</v>
      </c>
      <c r="DB20" s="391">
        <f>IF($C20&gt;=$AH20+$AI20,0,1)</f>
        <v>0</v>
      </c>
      <c r="DC20" s="385"/>
      <c r="DD20" s="385"/>
      <c r="DE20" s="385"/>
      <c r="DF20" s="385"/>
      <c r="DG20" s="385"/>
      <c r="DH20" s="385"/>
      <c r="DI20" s="385"/>
      <c r="DJ20" s="385"/>
    </row>
    <row r="21" spans="1:120" ht="21.75" customHeight="1" x14ac:dyDescent="0.25">
      <c r="A21" s="1927"/>
      <c r="B21" s="101" t="s">
        <v>387</v>
      </c>
      <c r="C21" s="654">
        <f t="shared" si="0"/>
        <v>0</v>
      </c>
      <c r="D21" s="1366">
        <f t="shared" ref="D21:D22" si="12">+F21+H21+J21+L21+N21+P21+R21+T21+V21+X21+Z21+AB21+AD21</f>
        <v>0</v>
      </c>
      <c r="E21" s="692">
        <f t="shared" si="5"/>
        <v>0</v>
      </c>
      <c r="F21" s="633"/>
      <c r="G21" s="1228"/>
      <c r="H21" s="633"/>
      <c r="I21" s="636"/>
      <c r="J21" s="633"/>
      <c r="K21" s="636"/>
      <c r="L21" s="633"/>
      <c r="M21" s="635"/>
      <c r="N21" s="633"/>
      <c r="O21" s="634"/>
      <c r="P21" s="633"/>
      <c r="Q21" s="634"/>
      <c r="R21" s="636"/>
      <c r="S21" s="636"/>
      <c r="T21" s="633"/>
      <c r="U21" s="651"/>
      <c r="V21" s="633"/>
      <c r="W21" s="634"/>
      <c r="X21" s="633"/>
      <c r="Y21" s="634"/>
      <c r="Z21" s="633"/>
      <c r="AA21" s="634"/>
      <c r="AB21" s="636"/>
      <c r="AC21" s="651"/>
      <c r="AD21" s="633"/>
      <c r="AE21" s="634"/>
      <c r="AF21" s="637"/>
      <c r="AG21" s="704"/>
      <c r="AH21" s="636"/>
      <c r="AI21" s="634"/>
      <c r="AJ21" s="376" t="str">
        <f t="shared" si="2"/>
        <v/>
      </c>
      <c r="AK21" s="1050"/>
      <c r="AL21" s="1050"/>
      <c r="AM21" s="1050"/>
      <c r="AN21" s="1050"/>
      <c r="AO21" s="1050"/>
      <c r="AP21" s="1050"/>
      <c r="AQ21" s="1050"/>
      <c r="AR21" s="1050"/>
      <c r="AS21" s="1050"/>
      <c r="AT21" s="1050"/>
      <c r="AU21" s="1050"/>
      <c r="AV21" s="1050"/>
      <c r="BD21" s="180"/>
      <c r="BE21" s="180"/>
      <c r="BF21" s="180"/>
      <c r="BG21" s="180"/>
      <c r="BH21" s="180"/>
      <c r="BI21" s="180"/>
      <c r="BJ21" s="180"/>
      <c r="BK21" s="180"/>
      <c r="BL21" s="180"/>
      <c r="CA21" s="464"/>
      <c r="CR21" s="381" t="str">
        <f>IF(AND(D21&lt;&gt;0,AF21=""), "* No olvide escribir en la celda de Pueblos Originarios (Digite CERO si no tiene). ",IF(AND(E21&lt;&gt;0,AG21=""), "* No olvide escribir en la celda de Pueblos Originarios (Digite CERO si no tiene). ",""))</f>
        <v/>
      </c>
      <c r="CS21" s="381" t="str">
        <f>IF(AND(D21&lt;&gt;0,AH21=""), "* No olvide escribir en la celda de Población Migrantes (Digite CERO si no tiene). ",IF(AND(E21&lt;&gt;0,AI21=""), "* No olvide escribir en la celda de Población Migrantes (Digite CERO si no tiene). ",""))</f>
        <v/>
      </c>
      <c r="DA21" s="385"/>
      <c r="DB21" s="385"/>
      <c r="DC21" s="385"/>
      <c r="DD21" s="385"/>
      <c r="DE21" s="385"/>
      <c r="DF21" s="385"/>
      <c r="DG21" s="385"/>
      <c r="DH21" s="385"/>
      <c r="DI21" s="385"/>
      <c r="DJ21" s="385"/>
      <c r="DO21" s="449">
        <f>IF(AND(D21&lt;&gt;0,AF21=""), 1,IF(AND(E21&lt;&gt;0,AG21=""), 1,0))</f>
        <v>0</v>
      </c>
      <c r="DP21" s="449">
        <f>IF(AND(D21&lt;&gt;0,AH21=""), 1,IF(AND(E21&lt;&gt;0,AI21=""), 1,0))</f>
        <v>0</v>
      </c>
    </row>
    <row r="22" spans="1:120" ht="21.75" customHeight="1" x14ac:dyDescent="0.25">
      <c r="A22" s="1927"/>
      <c r="B22" s="97" t="s">
        <v>383</v>
      </c>
      <c r="C22" s="638">
        <f t="shared" si="0"/>
        <v>0</v>
      </c>
      <c r="D22" s="689">
        <f t="shared" si="12"/>
        <v>0</v>
      </c>
      <c r="E22" s="699">
        <f t="shared" si="5"/>
        <v>0</v>
      </c>
      <c r="F22" s="639"/>
      <c r="G22" s="1235"/>
      <c r="H22" s="639"/>
      <c r="I22" s="642"/>
      <c r="J22" s="639"/>
      <c r="K22" s="642"/>
      <c r="L22" s="639"/>
      <c r="M22" s="641"/>
      <c r="N22" s="639"/>
      <c r="O22" s="640"/>
      <c r="P22" s="639"/>
      <c r="Q22" s="640"/>
      <c r="R22" s="642"/>
      <c r="S22" s="642"/>
      <c r="T22" s="639"/>
      <c r="U22" s="653"/>
      <c r="V22" s="639"/>
      <c r="W22" s="640"/>
      <c r="X22" s="639"/>
      <c r="Y22" s="640"/>
      <c r="Z22" s="639"/>
      <c r="AA22" s="640"/>
      <c r="AB22" s="642"/>
      <c r="AC22" s="653"/>
      <c r="AD22" s="639"/>
      <c r="AE22" s="640"/>
      <c r="AF22" s="643"/>
      <c r="AG22" s="708"/>
      <c r="AH22" s="642"/>
      <c r="AI22" s="640"/>
      <c r="AJ22" s="376" t="str">
        <f t="shared" si="2"/>
        <v/>
      </c>
      <c r="AK22" s="1050"/>
      <c r="AL22" s="1050"/>
      <c r="AM22" s="1050"/>
      <c r="AN22" s="1050"/>
      <c r="AO22" s="1050"/>
      <c r="AP22" s="1050"/>
      <c r="AQ22" s="1050"/>
      <c r="AR22" s="1050"/>
      <c r="AS22" s="1050"/>
      <c r="AT22" s="1050"/>
      <c r="AU22" s="1050"/>
      <c r="AV22" s="1050"/>
      <c r="BD22" s="180"/>
      <c r="BE22" s="180"/>
      <c r="BF22" s="180"/>
      <c r="BG22" s="180"/>
      <c r="BH22" s="180"/>
      <c r="BI22" s="180"/>
      <c r="BJ22" s="180"/>
      <c r="BK22" s="180"/>
      <c r="BL22" s="180"/>
      <c r="CA22" s="464"/>
      <c r="CB22" s="464"/>
      <c r="CC22" s="464"/>
      <c r="CD22" s="464"/>
      <c r="CE22" s="464"/>
      <c r="CF22" s="464"/>
      <c r="CG22" s="464"/>
      <c r="CH22" s="464"/>
      <c r="CR22" s="381" t="str">
        <f>IF(AND(D22&lt;&gt;0,AF22=""), "* No olvide escribir en la celda de Pueblos Originarios (Digite CERO si no tiene). ",IF(AND(E22&lt;&gt;0,AG22=""), "* No olvide escribir en la celda de Pueblos Originarios (Digite CERO si no tiene). ",""))</f>
        <v/>
      </c>
      <c r="CS22" s="381" t="str">
        <f>IF(AND(D22&lt;&gt;0,AH22=""), "* No olvide escribir en la celda de Población Migrantes (Digite CERO si no tiene). ",IF(AND(E22&lt;&gt;0,AI22=""), "* No olvide escribir en la celda de Población Migrantes (Digite CERO si no tiene). ",""))</f>
        <v/>
      </c>
      <c r="DA22" s="385"/>
      <c r="DB22" s="385"/>
      <c r="DC22" s="385"/>
      <c r="DD22" s="385"/>
      <c r="DE22" s="385"/>
      <c r="DF22" s="385"/>
      <c r="DG22" s="385"/>
      <c r="DH22" s="385"/>
      <c r="DI22" s="385"/>
      <c r="DJ22" s="385"/>
      <c r="DO22" s="449">
        <f>IF(AND(D22&lt;&gt;0,AF22=""), 1,IF(AND(E22&lt;&gt;0,AG22=""), 1,0))</f>
        <v>0</v>
      </c>
      <c r="DP22" s="449">
        <f>IF(AND(D22&lt;&gt;0,AH22=""), 1,IF(AND(E22&lt;&gt;0,AI22=""), 1,0))</f>
        <v>0</v>
      </c>
    </row>
    <row r="23" spans="1:120" ht="21.75" customHeight="1" x14ac:dyDescent="0.25">
      <c r="A23" s="1928"/>
      <c r="B23" s="99" t="s">
        <v>13</v>
      </c>
      <c r="C23" s="645">
        <f t="shared" si="0"/>
        <v>0</v>
      </c>
      <c r="D23" s="689">
        <f>+F23+H23+J23+L23+N23+P23+R23+T23+V23+X23+Z23+AB23+AD23</f>
        <v>0</v>
      </c>
      <c r="E23" s="699">
        <f>+G23+I23+K23+M23+O23+Q23+S23+U23+W23+Y23+AA23+AC23+AE23</f>
        <v>0</v>
      </c>
      <c r="F23" s="646">
        <f t="shared" ref="F23:G23" si="13">SUM(F21:F22)</f>
        <v>0</v>
      </c>
      <c r="G23" s="1131">
        <f t="shared" si="13"/>
        <v>0</v>
      </c>
      <c r="H23" s="646">
        <f>SUM(H21:H22)</f>
        <v>0</v>
      </c>
      <c r="I23" s="647">
        <f>SUM(I21:I22)</f>
        <v>0</v>
      </c>
      <c r="J23" s="646">
        <f t="shared" ref="J23:AH23" si="14">SUM(J21:J22)</f>
        <v>0</v>
      </c>
      <c r="K23" s="647">
        <f t="shared" si="14"/>
        <v>0</v>
      </c>
      <c r="L23" s="646">
        <f t="shared" si="14"/>
        <v>0</v>
      </c>
      <c r="M23" s="648">
        <f t="shared" si="14"/>
        <v>0</v>
      </c>
      <c r="N23" s="646">
        <f t="shared" si="14"/>
        <v>0</v>
      </c>
      <c r="O23" s="647">
        <f t="shared" si="14"/>
        <v>0</v>
      </c>
      <c r="P23" s="646">
        <f t="shared" si="14"/>
        <v>0</v>
      </c>
      <c r="Q23" s="647">
        <f t="shared" si="14"/>
        <v>0</v>
      </c>
      <c r="R23" s="649">
        <f t="shared" si="14"/>
        <v>0</v>
      </c>
      <c r="S23" s="647">
        <f t="shared" si="14"/>
        <v>0</v>
      </c>
      <c r="T23" s="646">
        <f t="shared" si="14"/>
        <v>0</v>
      </c>
      <c r="U23" s="648">
        <f t="shared" si="14"/>
        <v>0</v>
      </c>
      <c r="V23" s="646">
        <f t="shared" si="14"/>
        <v>0</v>
      </c>
      <c r="W23" s="647">
        <f t="shared" si="14"/>
        <v>0</v>
      </c>
      <c r="X23" s="646">
        <f t="shared" si="14"/>
        <v>0</v>
      </c>
      <c r="Y23" s="647">
        <f t="shared" si="14"/>
        <v>0</v>
      </c>
      <c r="Z23" s="646">
        <f t="shared" si="14"/>
        <v>0</v>
      </c>
      <c r="AA23" s="647">
        <f t="shared" si="14"/>
        <v>0</v>
      </c>
      <c r="AB23" s="646">
        <f t="shared" si="14"/>
        <v>0</v>
      </c>
      <c r="AC23" s="688">
        <f t="shared" si="14"/>
        <v>0</v>
      </c>
      <c r="AD23" s="646">
        <f t="shared" si="14"/>
        <v>0</v>
      </c>
      <c r="AE23" s="647">
        <f t="shared" si="14"/>
        <v>0</v>
      </c>
      <c r="AF23" s="650">
        <f t="shared" si="14"/>
        <v>0</v>
      </c>
      <c r="AG23" s="710">
        <f t="shared" si="14"/>
        <v>0</v>
      </c>
      <c r="AH23" s="649">
        <f t="shared" si="14"/>
        <v>0</v>
      </c>
      <c r="AI23" s="647">
        <f>SUM(AI21:AI22)</f>
        <v>0</v>
      </c>
      <c r="AJ23" s="376" t="str">
        <f t="shared" si="2"/>
        <v/>
      </c>
      <c r="AK23" s="1050"/>
      <c r="AL23" s="1050"/>
      <c r="AM23" s="1050"/>
      <c r="AN23" s="1050"/>
      <c r="AO23" s="1050"/>
      <c r="AP23" s="1050"/>
      <c r="AQ23" s="1050"/>
      <c r="AR23" s="1050"/>
      <c r="AS23" s="1050"/>
      <c r="AT23" s="1050"/>
      <c r="AU23" s="1050"/>
      <c r="AV23" s="1050"/>
      <c r="BD23" s="180"/>
      <c r="BE23" s="180"/>
      <c r="BF23" s="180"/>
      <c r="BG23" s="180"/>
      <c r="BH23" s="180"/>
      <c r="BI23" s="180"/>
      <c r="BJ23" s="180"/>
      <c r="BK23" s="180"/>
      <c r="BL23" s="180"/>
      <c r="CA23" s="464"/>
      <c r="CB23" s="381" t="str">
        <f>IF($C23&gt;=$AF23+$AG23,"","* El Total de Pueblos Originarios no debe ser mayor al Total Indicador peso/talla")</f>
        <v/>
      </c>
      <c r="CC23" s="381" t="str">
        <f>IF($C23&gt;=$AH23+$AI23,"","* El Total de Población Migrante no debe ser mayor al Total Indicador peso/talla")</f>
        <v/>
      </c>
      <c r="DA23" s="391">
        <f>IF($C23&gt;=$AF23+$AG23,0,1)</f>
        <v>0</v>
      </c>
      <c r="DB23" s="391">
        <f>IF($C23&gt;=$AH23+$AI23,0,1)</f>
        <v>0</v>
      </c>
      <c r="DC23" s="385"/>
      <c r="DD23" s="385"/>
      <c r="DE23" s="385"/>
      <c r="DF23" s="385"/>
      <c r="DG23" s="385"/>
      <c r="DH23" s="385"/>
      <c r="DI23" s="385"/>
      <c r="DJ23" s="385"/>
    </row>
    <row r="24" spans="1:120" ht="21.75" customHeight="1" x14ac:dyDescent="0.25">
      <c r="A24" s="1913" t="s">
        <v>98</v>
      </c>
      <c r="B24" s="96" t="s">
        <v>385</v>
      </c>
      <c r="C24" s="656">
        <f t="shared" si="0"/>
        <v>0</v>
      </c>
      <c r="D24" s="1366">
        <f t="shared" ref="D24:D25" si="15">+F24+H24+J24+L24+N24+P24+R24+T24+V24+X24+Z24+AB24+AD24</f>
        <v>0</v>
      </c>
      <c r="E24" s="692">
        <f t="shared" si="5"/>
        <v>0</v>
      </c>
      <c r="F24" s="633"/>
      <c r="G24" s="1228"/>
      <c r="H24" s="633"/>
      <c r="I24" s="636"/>
      <c r="J24" s="633"/>
      <c r="K24" s="636"/>
      <c r="L24" s="633"/>
      <c r="M24" s="635"/>
      <c r="N24" s="633"/>
      <c r="O24" s="634"/>
      <c r="P24" s="633"/>
      <c r="Q24" s="634"/>
      <c r="R24" s="636"/>
      <c r="S24" s="636"/>
      <c r="T24" s="633"/>
      <c r="U24" s="651"/>
      <c r="V24" s="633"/>
      <c r="W24" s="634"/>
      <c r="X24" s="633"/>
      <c r="Y24" s="634"/>
      <c r="Z24" s="633"/>
      <c r="AA24" s="634"/>
      <c r="AB24" s="636"/>
      <c r="AC24" s="651"/>
      <c r="AD24" s="633"/>
      <c r="AE24" s="634"/>
      <c r="AF24" s="637"/>
      <c r="AG24" s="704"/>
      <c r="AH24" s="636"/>
      <c r="AI24" s="634"/>
      <c r="AJ24" s="376" t="str">
        <f t="shared" si="2"/>
        <v/>
      </c>
      <c r="AK24" s="1050"/>
      <c r="AL24" s="1050"/>
      <c r="AM24" s="1050"/>
      <c r="AN24" s="1050"/>
      <c r="AO24" s="1050"/>
      <c r="AP24" s="1050"/>
      <c r="AQ24" s="1050"/>
      <c r="AR24" s="1050"/>
      <c r="AS24" s="1050"/>
      <c r="AT24" s="1050"/>
      <c r="AU24" s="1050"/>
      <c r="AV24" s="1050"/>
      <c r="BD24" s="180"/>
      <c r="BE24" s="180"/>
      <c r="BF24" s="180"/>
      <c r="BG24" s="180"/>
      <c r="BH24" s="180"/>
      <c r="BI24" s="180"/>
      <c r="BJ24" s="180"/>
      <c r="BK24" s="180"/>
      <c r="BL24" s="180"/>
      <c r="CA24" s="464"/>
      <c r="CR24" s="381" t="str">
        <f>IF(AND(D24&lt;&gt;0,AF24=""), "* No olvide escribir en la celda de Pueblos Originarios (Digite CERO si no tiene). ",IF(AND(E24&lt;&gt;0,AG24=""), "* No olvide escribir en la celda de Pueblos Originarios (Digite CERO si no tiene). ",""))</f>
        <v/>
      </c>
      <c r="CS24" s="381" t="str">
        <f>IF(AND(D24&lt;&gt;0,AH24=""), "* No olvide escribir en la celda de Población Migrantes (Digite CERO si no tiene). ",IF(AND(E24&lt;&gt;0,AI24=""), "* No olvide escribir en la celda de Población Migrantes (Digite CERO si no tiene). ",""))</f>
        <v/>
      </c>
      <c r="DA24" s="385"/>
      <c r="DB24" s="385"/>
      <c r="DC24" s="385"/>
      <c r="DD24" s="385"/>
      <c r="DE24" s="385"/>
      <c r="DF24" s="385"/>
      <c r="DG24" s="385"/>
      <c r="DH24" s="385"/>
      <c r="DI24" s="385"/>
      <c r="DJ24" s="385"/>
      <c r="DO24" s="449">
        <f>IF(AND(D24&lt;&gt;0,AF24=""), 1,IF(AND(E24&lt;&gt;0,AG24=""), 1,0))</f>
        <v>0</v>
      </c>
      <c r="DP24" s="449">
        <f>IF(AND(D24&lt;&gt;0,AH24=""), 1,IF(AND(E24&lt;&gt;0,AI24=""), 1,0))</f>
        <v>0</v>
      </c>
    </row>
    <row r="25" spans="1:120" ht="21.75" customHeight="1" x14ac:dyDescent="0.25">
      <c r="A25" s="1913"/>
      <c r="B25" s="97" t="s">
        <v>386</v>
      </c>
      <c r="C25" s="657">
        <f t="shared" si="0"/>
        <v>0</v>
      </c>
      <c r="D25" s="689">
        <f t="shared" si="15"/>
        <v>0</v>
      </c>
      <c r="E25" s="699">
        <f t="shared" si="5"/>
        <v>0</v>
      </c>
      <c r="F25" s="639"/>
      <c r="G25" s="1235"/>
      <c r="H25" s="639"/>
      <c r="I25" s="642"/>
      <c r="J25" s="639"/>
      <c r="K25" s="642"/>
      <c r="L25" s="639"/>
      <c r="M25" s="641"/>
      <c r="N25" s="639"/>
      <c r="O25" s="640"/>
      <c r="P25" s="639"/>
      <c r="Q25" s="640"/>
      <c r="R25" s="642"/>
      <c r="S25" s="642"/>
      <c r="T25" s="639"/>
      <c r="U25" s="653"/>
      <c r="V25" s="639"/>
      <c r="W25" s="640"/>
      <c r="X25" s="639"/>
      <c r="Y25" s="640"/>
      <c r="Z25" s="639"/>
      <c r="AA25" s="640"/>
      <c r="AB25" s="642"/>
      <c r="AC25" s="653"/>
      <c r="AD25" s="639"/>
      <c r="AE25" s="640"/>
      <c r="AF25" s="643"/>
      <c r="AG25" s="708"/>
      <c r="AH25" s="642"/>
      <c r="AI25" s="640"/>
      <c r="AJ25" s="376" t="str">
        <f t="shared" si="2"/>
        <v/>
      </c>
      <c r="AK25" s="1050"/>
      <c r="AL25" s="1050"/>
      <c r="AM25" s="1050"/>
      <c r="AN25" s="1050"/>
      <c r="AO25" s="1050"/>
      <c r="AP25" s="1050"/>
      <c r="AQ25" s="1050"/>
      <c r="AR25" s="1050"/>
      <c r="AS25" s="1050"/>
      <c r="AT25" s="1050"/>
      <c r="AU25" s="1050"/>
      <c r="AV25" s="1050"/>
      <c r="BD25" s="180"/>
      <c r="BE25" s="180"/>
      <c r="BF25" s="180"/>
      <c r="BG25" s="180"/>
      <c r="BH25" s="180"/>
      <c r="BI25" s="180"/>
      <c r="BJ25" s="180"/>
      <c r="BK25" s="180"/>
      <c r="BL25" s="180"/>
      <c r="CA25" s="464"/>
      <c r="CR25" s="381" t="str">
        <f>IF(AND(D25&lt;&gt;0,AF25=""), "* No olvide escribir en la celda de Pueblos Originarios (Digite CERO si no tiene). ",IF(AND(E25&lt;&gt;0,AG25=""), "* No olvide escribir en la celda de Pueblos Originarios (Digite CERO si no tiene). ",""))</f>
        <v/>
      </c>
      <c r="CS25" s="381" t="str">
        <f>IF(AND(D25&lt;&gt;0,AH25=""), "* No olvide escribir en la celda de Población Migrantes (Digite CERO si no tiene). ",IF(AND(E25&lt;&gt;0,AI25=""), "* No olvide escribir en la celda de Población Migrantes (Digite CERO si no tiene). ",""))</f>
        <v/>
      </c>
      <c r="DA25" s="385"/>
      <c r="DB25" s="385"/>
      <c r="DC25" s="385"/>
      <c r="DD25" s="385"/>
      <c r="DE25" s="385"/>
      <c r="DF25" s="385"/>
      <c r="DG25" s="385"/>
      <c r="DH25" s="385"/>
      <c r="DI25" s="385"/>
      <c r="DJ25" s="385"/>
      <c r="DO25" s="449">
        <f>IF(AND(D25&lt;&gt;0,AF25=""), 1,IF(AND(E25&lt;&gt;0,AG25=""), 1,0))</f>
        <v>0</v>
      </c>
      <c r="DP25" s="449">
        <f>IF(AND(D25&lt;&gt;0,AH25=""), 1,IF(AND(E25&lt;&gt;0,AI25=""), 1,0))</f>
        <v>0</v>
      </c>
    </row>
    <row r="26" spans="1:120" ht="21.75" customHeight="1" x14ac:dyDescent="0.25">
      <c r="A26" s="1913"/>
      <c r="B26" s="99" t="s">
        <v>13</v>
      </c>
      <c r="C26" s="658">
        <f t="shared" si="0"/>
        <v>0</v>
      </c>
      <c r="D26" s="700">
        <f>+F26+H26+J26+L26+N26+P26+R26+T26+V26+X26+Z26+AB26+AD26</f>
        <v>0</v>
      </c>
      <c r="E26" s="1316">
        <f>+G26+I26+K26+M26+O26+Q26+S26+U26+W26+Y26+AA26+AC26+AE26</f>
        <v>0</v>
      </c>
      <c r="F26" s="646">
        <f t="shared" ref="F26:G26" si="16">SUM(F24:F25)</f>
        <v>0</v>
      </c>
      <c r="G26" s="1131">
        <f t="shared" si="16"/>
        <v>0</v>
      </c>
      <c r="H26" s="659">
        <f>SUM(H24:H25)</f>
        <v>0</v>
      </c>
      <c r="I26" s="660">
        <f t="shared" ref="I26:AI26" si="17">SUM(I24:I25)</f>
        <v>0</v>
      </c>
      <c r="J26" s="659">
        <f t="shared" si="17"/>
        <v>0</v>
      </c>
      <c r="K26" s="660">
        <f t="shared" si="17"/>
        <v>0</v>
      </c>
      <c r="L26" s="659">
        <f t="shared" si="17"/>
        <v>0</v>
      </c>
      <c r="M26" s="661">
        <f t="shared" si="17"/>
        <v>0</v>
      </c>
      <c r="N26" s="659">
        <f t="shared" si="17"/>
        <v>0</v>
      </c>
      <c r="O26" s="662">
        <f t="shared" si="17"/>
        <v>0</v>
      </c>
      <c r="P26" s="659">
        <f t="shared" si="17"/>
        <v>0</v>
      </c>
      <c r="Q26" s="662">
        <f t="shared" si="17"/>
        <v>0</v>
      </c>
      <c r="R26" s="663">
        <f t="shared" si="17"/>
        <v>0</v>
      </c>
      <c r="S26" s="660">
        <f t="shared" si="17"/>
        <v>0</v>
      </c>
      <c r="T26" s="659">
        <f t="shared" si="17"/>
        <v>0</v>
      </c>
      <c r="U26" s="664">
        <f t="shared" si="17"/>
        <v>0</v>
      </c>
      <c r="V26" s="659">
        <f t="shared" si="17"/>
        <v>0</v>
      </c>
      <c r="W26" s="662">
        <f t="shared" si="17"/>
        <v>0</v>
      </c>
      <c r="X26" s="659">
        <f t="shared" si="17"/>
        <v>0</v>
      </c>
      <c r="Y26" s="662">
        <f t="shared" si="17"/>
        <v>0</v>
      </c>
      <c r="Z26" s="659">
        <f t="shared" si="17"/>
        <v>0</v>
      </c>
      <c r="AA26" s="662">
        <f t="shared" si="17"/>
        <v>0</v>
      </c>
      <c r="AB26" s="663">
        <f t="shared" si="17"/>
        <v>0</v>
      </c>
      <c r="AC26" s="664">
        <f t="shared" si="17"/>
        <v>0</v>
      </c>
      <c r="AD26" s="659">
        <f t="shared" si="17"/>
        <v>0</v>
      </c>
      <c r="AE26" s="662">
        <f t="shared" si="17"/>
        <v>0</v>
      </c>
      <c r="AF26" s="665">
        <f t="shared" si="17"/>
        <v>0</v>
      </c>
      <c r="AG26" s="1134">
        <f t="shared" si="17"/>
        <v>0</v>
      </c>
      <c r="AH26" s="663">
        <f t="shared" si="17"/>
        <v>0</v>
      </c>
      <c r="AI26" s="662">
        <f t="shared" si="17"/>
        <v>0</v>
      </c>
      <c r="AJ26" s="376" t="str">
        <f t="shared" si="2"/>
        <v/>
      </c>
      <c r="AK26" s="1050"/>
      <c r="AL26" s="1050"/>
      <c r="AM26" s="1050"/>
      <c r="AN26" s="1050"/>
      <c r="AO26" s="1050"/>
      <c r="AP26" s="1050"/>
      <c r="AQ26" s="1050"/>
      <c r="AR26" s="1050"/>
      <c r="AS26" s="1050"/>
      <c r="AT26" s="1050"/>
      <c r="AU26" s="1050"/>
      <c r="AV26" s="1050"/>
      <c r="BD26" s="180"/>
      <c r="BE26" s="180"/>
      <c r="BF26" s="180"/>
      <c r="BG26" s="180"/>
      <c r="BH26" s="180"/>
      <c r="BI26" s="180"/>
      <c r="BJ26" s="180"/>
      <c r="BK26" s="180"/>
      <c r="BL26" s="180"/>
      <c r="CA26" s="464"/>
      <c r="CB26" s="381" t="str">
        <f>IF($C26&gt;=$AF26+$AG26,"","* El Total de Pueblos Originarios no debe ser mayor al Total Indicador talla/edad")</f>
        <v/>
      </c>
      <c r="CC26" s="381" t="str">
        <f>IF($C26&gt;=$AH26+$AI26,"","* El Total de Población Migrante no debe ser mayor al Total Indicador talla/edad")</f>
        <v/>
      </c>
      <c r="DA26" s="391">
        <f>IF($C26&gt;=$AF26+$AG26,0,1)</f>
        <v>0</v>
      </c>
      <c r="DB26" s="391">
        <f>IF($C26&gt;=$AH26+$AI26,0,1)</f>
        <v>0</v>
      </c>
      <c r="DC26" s="385"/>
      <c r="DD26" s="385"/>
      <c r="DE26" s="385"/>
      <c r="DF26" s="385"/>
      <c r="DG26" s="385"/>
      <c r="DH26" s="385"/>
      <c r="DI26" s="385"/>
      <c r="DJ26" s="385"/>
    </row>
    <row r="27" spans="1:120" ht="21.75" customHeight="1" x14ac:dyDescent="0.25">
      <c r="A27" s="1913"/>
      <c r="B27" s="101" t="s">
        <v>387</v>
      </c>
      <c r="C27" s="656">
        <f t="shared" si="0"/>
        <v>0</v>
      </c>
      <c r="D27" s="1366">
        <f t="shared" ref="D27:D28" si="18">+F27+H27+J27+L27+N27+P27+R27+T27+V27+X27+Z27+AB27+AD27</f>
        <v>0</v>
      </c>
      <c r="E27" s="692">
        <f>+G27+I27+K27+M27+O27+Q27+S27+U27+W27+Y27+AA27+AC27+AE27</f>
        <v>0</v>
      </c>
      <c r="F27" s="633"/>
      <c r="G27" s="1228"/>
      <c r="H27" s="666"/>
      <c r="I27" s="667"/>
      <c r="J27" s="666"/>
      <c r="K27" s="667"/>
      <c r="L27" s="666"/>
      <c r="M27" s="668"/>
      <c r="N27" s="666"/>
      <c r="O27" s="669"/>
      <c r="P27" s="633"/>
      <c r="Q27" s="634"/>
      <c r="R27" s="667"/>
      <c r="S27" s="667"/>
      <c r="T27" s="666"/>
      <c r="U27" s="670"/>
      <c r="V27" s="666"/>
      <c r="W27" s="669"/>
      <c r="X27" s="666"/>
      <c r="Y27" s="669"/>
      <c r="Z27" s="666"/>
      <c r="AA27" s="669"/>
      <c r="AB27" s="667"/>
      <c r="AC27" s="670"/>
      <c r="AD27" s="666"/>
      <c r="AE27" s="669"/>
      <c r="AF27" s="671"/>
      <c r="AG27" s="1130"/>
      <c r="AH27" s="667"/>
      <c r="AI27" s="669"/>
      <c r="AJ27" s="376" t="str">
        <f t="shared" si="2"/>
        <v/>
      </c>
      <c r="AK27" s="1050"/>
      <c r="AL27" s="1050"/>
      <c r="AM27" s="1050"/>
      <c r="AN27" s="1050"/>
      <c r="AO27" s="1050"/>
      <c r="AP27" s="1050"/>
      <c r="AQ27" s="1050"/>
      <c r="AR27" s="1050"/>
      <c r="AS27" s="1050"/>
      <c r="AT27" s="1050"/>
      <c r="AU27" s="1050"/>
      <c r="AV27" s="1050"/>
      <c r="BD27" s="180"/>
      <c r="BE27" s="180"/>
      <c r="BF27" s="180"/>
      <c r="BG27" s="180"/>
      <c r="BH27" s="180"/>
      <c r="BI27" s="180"/>
      <c r="BJ27" s="180"/>
      <c r="BK27" s="180"/>
      <c r="BL27" s="180"/>
      <c r="CA27" s="464"/>
      <c r="CR27" s="381" t="str">
        <f>IF(AND(D27&lt;&gt;0,AF27=""), "* No olvide escribir en la celda de Pueblos Originarios (Digite CERO si no tiene). ",IF(AND(E27&lt;&gt;0,AG27=""), "* No olvide escribir en la celda de Pueblos Originarios (Digite CERO si no tiene). ",""))</f>
        <v/>
      </c>
      <c r="CS27" s="381" t="str">
        <f>IF(AND(D27&lt;&gt;0,AH27=""), "* No olvide escribir en la celda de Población Migrantes (Digite CERO si no tiene). ",IF(AND(E27&lt;&gt;0,AI27=""), "* No olvide escribir en la celda de Población Migrantes (Digite CERO si no tiene). ",""))</f>
        <v/>
      </c>
      <c r="DA27" s="385"/>
      <c r="DB27" s="385"/>
      <c r="DC27" s="385"/>
      <c r="DD27" s="385"/>
      <c r="DE27" s="385"/>
      <c r="DF27" s="385"/>
      <c r="DG27" s="385"/>
      <c r="DH27" s="385"/>
      <c r="DI27" s="385"/>
      <c r="DJ27" s="385"/>
      <c r="DO27" s="449">
        <f>IF(AND(D27&lt;&gt;0,AF27=""), 1,IF(AND(E27&lt;&gt;0,AG27=""), 1,0))</f>
        <v>0</v>
      </c>
      <c r="DP27" s="449">
        <f>IF(AND(D27&lt;&gt;0,AH27=""), 1,IF(AND(E27&lt;&gt;0,AI27=""), 1,0))</f>
        <v>0</v>
      </c>
    </row>
    <row r="28" spans="1:120" ht="21.75" customHeight="1" x14ac:dyDescent="0.25">
      <c r="A28" s="1913"/>
      <c r="B28" s="97" t="s">
        <v>383</v>
      </c>
      <c r="C28" s="657">
        <f t="shared" si="0"/>
        <v>0</v>
      </c>
      <c r="D28" s="689">
        <f t="shared" si="18"/>
        <v>0</v>
      </c>
      <c r="E28" s="699">
        <f t="shared" si="5"/>
        <v>0</v>
      </c>
      <c r="F28" s="639"/>
      <c r="G28" s="1235"/>
      <c r="H28" s="639"/>
      <c r="I28" s="642"/>
      <c r="J28" s="639"/>
      <c r="K28" s="642"/>
      <c r="L28" s="639"/>
      <c r="M28" s="641"/>
      <c r="N28" s="639"/>
      <c r="O28" s="640"/>
      <c r="P28" s="639"/>
      <c r="Q28" s="640"/>
      <c r="R28" s="642"/>
      <c r="S28" s="642"/>
      <c r="T28" s="639"/>
      <c r="U28" s="653"/>
      <c r="V28" s="639"/>
      <c r="W28" s="640"/>
      <c r="X28" s="639"/>
      <c r="Y28" s="640"/>
      <c r="Z28" s="639"/>
      <c r="AA28" s="640"/>
      <c r="AB28" s="642"/>
      <c r="AC28" s="653"/>
      <c r="AD28" s="639"/>
      <c r="AE28" s="640"/>
      <c r="AF28" s="643"/>
      <c r="AG28" s="708"/>
      <c r="AH28" s="642"/>
      <c r="AI28" s="640"/>
      <c r="AJ28" s="376" t="str">
        <f t="shared" si="2"/>
        <v/>
      </c>
      <c r="AK28" s="1050"/>
      <c r="AL28" s="1050"/>
      <c r="AM28" s="1050"/>
      <c r="AN28" s="1050"/>
      <c r="AO28" s="1050"/>
      <c r="AP28" s="1050"/>
      <c r="AQ28" s="1050"/>
      <c r="AR28" s="1050"/>
      <c r="AS28" s="1050"/>
      <c r="AT28" s="1050"/>
      <c r="AU28" s="1050"/>
      <c r="AV28" s="1050"/>
      <c r="BD28" s="180"/>
      <c r="BE28" s="180"/>
      <c r="BF28" s="180"/>
      <c r="BG28" s="180"/>
      <c r="BH28" s="180"/>
      <c r="BI28" s="180"/>
      <c r="BJ28" s="180"/>
      <c r="BK28" s="180"/>
      <c r="BL28" s="180"/>
      <c r="CA28" s="464"/>
      <c r="CR28" s="381" t="str">
        <f>IF(AND(D28&lt;&gt;0,AF28=""), "* No olvide escribir en la celda de Pueblos Originarios (Digite CERO si no tiene). ",IF(AND(E28&lt;&gt;0,AG28=""), "* No olvide escribir en la celda de Pueblos Originarios (Digite CERO si no tiene). ",""))</f>
        <v/>
      </c>
      <c r="CS28" s="381" t="str">
        <f>IF(AND(D28&lt;&gt;0,AH28=""), "* No olvide escribir en la celda de Población Migrantes (Digite CERO si no tiene). ",IF(AND(E28&lt;&gt;0,AI28=""), "* No olvide escribir en la celda de Población Migrantes (Digite CERO si no tiene). ",""))</f>
        <v/>
      </c>
      <c r="DA28" s="385"/>
      <c r="DB28" s="385"/>
      <c r="DC28" s="385"/>
      <c r="DD28" s="385"/>
      <c r="DE28" s="385"/>
      <c r="DF28" s="385"/>
      <c r="DG28" s="385"/>
      <c r="DH28" s="385"/>
      <c r="DI28" s="385"/>
      <c r="DJ28" s="385"/>
      <c r="DO28" s="449">
        <f>IF(AND(D28&lt;&gt;0,AF28=""), 1,IF(AND(E28&lt;&gt;0,AG28=""), 1,0))</f>
        <v>0</v>
      </c>
      <c r="DP28" s="449">
        <f>IF(AND(D28&lt;&gt;0,AH28=""), 1,IF(AND(E28&lt;&gt;0,AI28=""), 1,0))</f>
        <v>0</v>
      </c>
    </row>
    <row r="29" spans="1:120" ht="21.75" customHeight="1" x14ac:dyDescent="0.25">
      <c r="A29" s="1913"/>
      <c r="B29" s="99" t="s">
        <v>13</v>
      </c>
      <c r="C29" s="658">
        <f>SUM(D29:E29)</f>
        <v>0</v>
      </c>
      <c r="D29" s="700">
        <f>+F29+H29+J29+L29+N29+P29+R29+T29+V29+X29+Z29+AB29+AD29</f>
        <v>0</v>
      </c>
      <c r="E29" s="1316">
        <f>+G29+I29+K29+M29+O29+Q29+S29+U29+W29+Y29+AA29+AC29+AE29</f>
        <v>0</v>
      </c>
      <c r="F29" s="646">
        <f>SUM(F27:F28)</f>
        <v>0</v>
      </c>
      <c r="G29" s="1131">
        <f t="shared" ref="G29" si="19">SUM(G27:G28)</f>
        <v>0</v>
      </c>
      <c r="H29" s="659">
        <f>SUM(H27:H28)</f>
        <v>0</v>
      </c>
      <c r="I29" s="660">
        <f t="shared" ref="I29:AI29" si="20">SUM(I27:I28)</f>
        <v>0</v>
      </c>
      <c r="J29" s="659">
        <f t="shared" si="20"/>
        <v>0</v>
      </c>
      <c r="K29" s="660">
        <f t="shared" si="20"/>
        <v>0</v>
      </c>
      <c r="L29" s="659">
        <f t="shared" si="20"/>
        <v>0</v>
      </c>
      <c r="M29" s="661">
        <f t="shared" si="20"/>
        <v>0</v>
      </c>
      <c r="N29" s="659">
        <f t="shared" si="20"/>
        <v>0</v>
      </c>
      <c r="O29" s="662">
        <f t="shared" si="20"/>
        <v>0</v>
      </c>
      <c r="P29" s="659">
        <f t="shared" si="20"/>
        <v>0</v>
      </c>
      <c r="Q29" s="662">
        <f t="shared" si="20"/>
        <v>0</v>
      </c>
      <c r="R29" s="663">
        <f t="shared" si="20"/>
        <v>0</v>
      </c>
      <c r="S29" s="660">
        <f t="shared" si="20"/>
        <v>0</v>
      </c>
      <c r="T29" s="659">
        <f t="shared" si="20"/>
        <v>0</v>
      </c>
      <c r="U29" s="664">
        <f t="shared" si="20"/>
        <v>0</v>
      </c>
      <c r="V29" s="659">
        <f t="shared" si="20"/>
        <v>0</v>
      </c>
      <c r="W29" s="662">
        <f t="shared" si="20"/>
        <v>0</v>
      </c>
      <c r="X29" s="659">
        <f t="shared" si="20"/>
        <v>0</v>
      </c>
      <c r="Y29" s="662">
        <f t="shared" si="20"/>
        <v>0</v>
      </c>
      <c r="Z29" s="659">
        <f t="shared" si="20"/>
        <v>0</v>
      </c>
      <c r="AA29" s="662">
        <f t="shared" si="20"/>
        <v>0</v>
      </c>
      <c r="AB29" s="663">
        <f t="shared" si="20"/>
        <v>0</v>
      </c>
      <c r="AC29" s="664">
        <f t="shared" si="20"/>
        <v>0</v>
      </c>
      <c r="AD29" s="659">
        <f t="shared" si="20"/>
        <v>0</v>
      </c>
      <c r="AE29" s="662">
        <f t="shared" si="20"/>
        <v>0</v>
      </c>
      <c r="AF29" s="665">
        <f t="shared" si="20"/>
        <v>0</v>
      </c>
      <c r="AG29" s="1134">
        <f t="shared" si="20"/>
        <v>0</v>
      </c>
      <c r="AH29" s="663">
        <f t="shared" si="20"/>
        <v>0</v>
      </c>
      <c r="AI29" s="662">
        <f t="shared" si="20"/>
        <v>0</v>
      </c>
      <c r="AJ29" s="376" t="str">
        <f t="shared" si="2"/>
        <v/>
      </c>
      <c r="AK29" s="1050"/>
      <c r="AL29" s="1050"/>
      <c r="AM29" s="1050"/>
      <c r="AN29" s="1050"/>
      <c r="AO29" s="1050"/>
      <c r="AP29" s="1050"/>
      <c r="AQ29" s="1050"/>
      <c r="AR29" s="1050"/>
      <c r="AS29" s="1050"/>
      <c r="AT29" s="1050"/>
      <c r="AU29" s="1050"/>
      <c r="AV29" s="1050"/>
      <c r="BD29" s="180"/>
      <c r="BE29" s="180"/>
      <c r="BF29" s="180"/>
      <c r="BG29" s="180"/>
      <c r="BH29" s="180"/>
      <c r="BI29" s="180"/>
      <c r="BJ29" s="180"/>
      <c r="BK29" s="180"/>
      <c r="BL29" s="180"/>
      <c r="CA29" s="464"/>
      <c r="CB29" s="381" t="str">
        <f>IF($C29&gt;=$AF29+$AG29,"","* El Total de Pueblos Originarios no debe ser mayor al Total Indicador talla/edad")</f>
        <v/>
      </c>
      <c r="CC29" s="381" t="str">
        <f>IF($C29&gt;=$AH29+$AI29,"","* El Total de Población Migrante no debe ser mayor al Total Indicador talla/edad")</f>
        <v/>
      </c>
      <c r="DA29" s="391">
        <f>IF($C29&gt;=$AF29+$AG29,0,1)</f>
        <v>0</v>
      </c>
      <c r="DB29" s="391">
        <f>IF($C29&gt;=$AH29+$AI29,0,1)</f>
        <v>0</v>
      </c>
      <c r="DC29" s="385"/>
      <c r="DD29" s="385"/>
      <c r="DE29" s="385"/>
      <c r="DF29" s="385"/>
      <c r="DG29" s="385"/>
      <c r="DH29" s="385"/>
      <c r="DI29" s="385"/>
      <c r="DJ29" s="385"/>
    </row>
    <row r="30" spans="1:120" ht="21.75" customHeight="1" x14ac:dyDescent="0.25">
      <c r="A30" s="1914"/>
      <c r="B30" s="102" t="s">
        <v>384</v>
      </c>
      <c r="C30" s="673">
        <f t="shared" si="0"/>
        <v>0</v>
      </c>
      <c r="D30" s="700">
        <f>+F30+H30+J30+L30+N30+P30+R30+T30+V30+X30+Z30+AB30+AD30</f>
        <v>0</v>
      </c>
      <c r="E30" s="1316">
        <f>+G30+I30+K30+M30+O30+Q30+S30+U30+W30+Y30+AA30+AC30+AE30</f>
        <v>0</v>
      </c>
      <c r="F30" s="627"/>
      <c r="G30" s="1365"/>
      <c r="H30" s="627"/>
      <c r="I30" s="628"/>
      <c r="J30" s="627"/>
      <c r="K30" s="628"/>
      <c r="L30" s="627"/>
      <c r="M30" s="630"/>
      <c r="N30" s="627"/>
      <c r="O30" s="628"/>
      <c r="P30" s="627"/>
      <c r="Q30" s="628"/>
      <c r="R30" s="674"/>
      <c r="S30" s="628"/>
      <c r="T30" s="627"/>
      <c r="U30" s="630"/>
      <c r="V30" s="627"/>
      <c r="W30" s="628"/>
      <c r="X30" s="624"/>
      <c r="Y30" s="625"/>
      <c r="Z30" s="624"/>
      <c r="AA30" s="625"/>
      <c r="AB30" s="627"/>
      <c r="AC30" s="1347"/>
      <c r="AD30" s="624"/>
      <c r="AE30" s="625"/>
      <c r="AF30" s="675"/>
      <c r="AG30" s="1139"/>
      <c r="AH30" s="629"/>
      <c r="AI30" s="625"/>
      <c r="AJ30" s="376" t="str">
        <f t="shared" si="2"/>
        <v/>
      </c>
      <c r="AK30" s="1050"/>
      <c r="AL30" s="1050"/>
      <c r="AM30" s="1050"/>
      <c r="AN30" s="1050"/>
      <c r="AO30" s="1050"/>
      <c r="AP30" s="1050"/>
      <c r="AQ30" s="1050"/>
      <c r="AR30" s="1050"/>
      <c r="AS30" s="1050"/>
      <c r="AT30" s="1050"/>
      <c r="AU30" s="1050"/>
      <c r="AV30" s="1050"/>
      <c r="BD30" s="180"/>
      <c r="BE30" s="180"/>
      <c r="BF30" s="180"/>
      <c r="BG30" s="180"/>
      <c r="BH30" s="180"/>
      <c r="BI30" s="180"/>
      <c r="BJ30" s="180"/>
      <c r="BK30" s="180"/>
      <c r="BL30" s="180"/>
      <c r="CA30" s="464"/>
      <c r="CR30" s="381" t="str">
        <f t="shared" ref="CR30:CR35" si="21">IF(AND(D30&lt;&gt;0,AF30=""), "* No olvide escribir en la celda de Pueblos Originarios (Digite CERO si no tiene). ",IF(AND(E30&lt;&gt;0,AG30=""), "* No olvide escribir en la celda de Pueblos Originarios (Digite CERO si no tiene). ",""))</f>
        <v/>
      </c>
      <c r="CS30" s="381" t="str">
        <f t="shared" ref="CS30:CS35" si="22">IF(AND(D30&lt;&gt;0,AH30=""), "* No olvide escribir en la celda de Población Migrantes (Digite CERO si no tiene). ",IF(AND(E30&lt;&gt;0,AI30=""), "* No olvide escribir en la celda de Población Migrantes (Digite CERO si no tiene). ",""))</f>
        <v/>
      </c>
      <c r="DA30" s="385"/>
      <c r="DB30" s="385"/>
      <c r="DC30" s="385"/>
      <c r="DD30" s="385"/>
      <c r="DE30" s="385"/>
      <c r="DF30" s="385"/>
      <c r="DG30" s="385"/>
      <c r="DH30" s="385"/>
      <c r="DI30" s="385"/>
      <c r="DJ30" s="385"/>
      <c r="DO30" s="449">
        <f t="shared" ref="DO30:DO35" si="23">IF(AND(D30&lt;&gt;0,AF30=""), 1,IF(AND(E30&lt;&gt;0,AG30=""), 1,0))</f>
        <v>0</v>
      </c>
      <c r="DP30" s="449">
        <f t="shared" ref="DP30:DP35" si="24">IF(AND(D30&lt;&gt;0,AH30=""), 1,IF(AND(E30&lt;&gt;0,AI30=""), 1,0))</f>
        <v>0</v>
      </c>
    </row>
    <row r="31" spans="1:120" ht="21.75" customHeight="1" x14ac:dyDescent="0.25">
      <c r="A31" s="1802" t="s">
        <v>99</v>
      </c>
      <c r="B31" s="101" t="s">
        <v>392</v>
      </c>
      <c r="C31" s="676">
        <f t="shared" si="0"/>
        <v>0</v>
      </c>
      <c r="D31" s="1366">
        <f>+H31+J31+L31+N31+P31+R31+T31+V31+X31+Z31+AB31+AD31</f>
        <v>0</v>
      </c>
      <c r="E31" s="692">
        <f>+I31+K31+M31+O31+Q31+S31+U31+W31+Y31+AA31+AC31+AE31</f>
        <v>0</v>
      </c>
      <c r="F31" s="1664"/>
      <c r="G31" s="1665"/>
      <c r="H31" s="633"/>
      <c r="I31" s="634"/>
      <c r="J31" s="633"/>
      <c r="K31" s="634"/>
      <c r="L31" s="633"/>
      <c r="M31" s="635"/>
      <c r="N31" s="633"/>
      <c r="O31" s="634"/>
      <c r="P31" s="633"/>
      <c r="Q31" s="634"/>
      <c r="R31" s="636"/>
      <c r="S31" s="634"/>
      <c r="T31" s="633"/>
      <c r="U31" s="635"/>
      <c r="V31" s="633"/>
      <c r="W31" s="634"/>
      <c r="X31" s="633"/>
      <c r="Y31" s="634"/>
      <c r="Z31" s="633"/>
      <c r="AA31" s="634"/>
      <c r="AB31" s="636"/>
      <c r="AC31" s="635"/>
      <c r="AD31" s="633"/>
      <c r="AE31" s="634"/>
      <c r="AF31" s="637"/>
      <c r="AG31" s="704"/>
      <c r="AH31" s="636"/>
      <c r="AI31" s="634"/>
      <c r="AJ31" s="376" t="str">
        <f t="shared" si="2"/>
        <v/>
      </c>
      <c r="AK31" s="1050"/>
      <c r="AL31" s="1050"/>
      <c r="AM31" s="1050"/>
      <c r="AN31" s="1050"/>
      <c r="AO31" s="1050"/>
      <c r="AP31" s="1050"/>
      <c r="AQ31" s="1050"/>
      <c r="AR31" s="1050"/>
      <c r="AS31" s="1050"/>
      <c r="AT31" s="1050"/>
      <c r="AU31" s="1050"/>
      <c r="AV31" s="1050"/>
      <c r="BD31" s="180"/>
      <c r="BE31" s="180"/>
      <c r="BF31" s="180"/>
      <c r="BG31" s="180"/>
      <c r="BH31" s="180"/>
      <c r="BI31" s="180"/>
      <c r="BJ31" s="180"/>
      <c r="BK31" s="180"/>
      <c r="BL31" s="180"/>
      <c r="CA31" s="464"/>
      <c r="CR31" s="381" t="str">
        <f t="shared" si="21"/>
        <v/>
      </c>
      <c r="CS31" s="381" t="str">
        <f t="shared" si="22"/>
        <v/>
      </c>
      <c r="DA31" s="385"/>
      <c r="DB31" s="385"/>
      <c r="DC31" s="385"/>
      <c r="DD31" s="385"/>
      <c r="DE31" s="385"/>
      <c r="DF31" s="385"/>
      <c r="DG31" s="385"/>
      <c r="DH31" s="385"/>
      <c r="DI31" s="385"/>
      <c r="DJ31" s="385"/>
      <c r="DO31" s="449">
        <f t="shared" si="23"/>
        <v>0</v>
      </c>
      <c r="DP31" s="449">
        <f t="shared" si="24"/>
        <v>0</v>
      </c>
    </row>
    <row r="32" spans="1:120" ht="21.75" customHeight="1" x14ac:dyDescent="0.25">
      <c r="A32" s="1803"/>
      <c r="B32" s="96" t="s">
        <v>100</v>
      </c>
      <c r="C32" s="677">
        <f t="shared" si="0"/>
        <v>0</v>
      </c>
      <c r="D32" s="1367">
        <f t="shared" ref="D32:E35" si="25">+H32+J32+L32+N32+P32+R32+T32+V32+X32+Z32+AB32+AD32</f>
        <v>0</v>
      </c>
      <c r="E32" s="696">
        <f t="shared" si="25"/>
        <v>0</v>
      </c>
      <c r="F32" s="1666"/>
      <c r="G32" s="1667"/>
      <c r="H32" s="679"/>
      <c r="I32" s="680"/>
      <c r="J32" s="679"/>
      <c r="K32" s="680"/>
      <c r="L32" s="679"/>
      <c r="M32" s="681"/>
      <c r="N32" s="679"/>
      <c r="O32" s="680"/>
      <c r="P32" s="679"/>
      <c r="Q32" s="680"/>
      <c r="R32" s="682"/>
      <c r="S32" s="680"/>
      <c r="T32" s="679"/>
      <c r="U32" s="681"/>
      <c r="V32" s="679"/>
      <c r="W32" s="680"/>
      <c r="X32" s="679"/>
      <c r="Y32" s="680"/>
      <c r="Z32" s="679"/>
      <c r="AA32" s="680"/>
      <c r="AB32" s="682"/>
      <c r="AC32" s="681"/>
      <c r="AD32" s="679"/>
      <c r="AE32" s="680"/>
      <c r="AF32" s="683"/>
      <c r="AG32" s="705"/>
      <c r="AH32" s="682"/>
      <c r="AI32" s="680"/>
      <c r="AJ32" s="376" t="str">
        <f t="shared" si="2"/>
        <v/>
      </c>
      <c r="AK32" s="1050"/>
      <c r="AL32" s="1050"/>
      <c r="AM32" s="1050"/>
      <c r="AN32" s="1050"/>
      <c r="AO32" s="1050"/>
      <c r="AP32" s="1050"/>
      <c r="AQ32" s="1050"/>
      <c r="AR32" s="1050"/>
      <c r="AS32" s="1050"/>
      <c r="AT32" s="1050"/>
      <c r="AU32" s="1050"/>
      <c r="AV32" s="1050"/>
      <c r="BD32" s="180"/>
      <c r="BE32" s="180"/>
      <c r="BF32" s="180"/>
      <c r="BG32" s="180"/>
      <c r="BH32" s="180"/>
      <c r="BI32" s="180"/>
      <c r="BJ32" s="180"/>
      <c r="BK32" s="180"/>
      <c r="BL32" s="180"/>
      <c r="CA32" s="464"/>
      <c r="CR32" s="381" t="str">
        <f t="shared" si="21"/>
        <v/>
      </c>
      <c r="CS32" s="381" t="str">
        <f t="shared" si="22"/>
        <v/>
      </c>
      <c r="DA32" s="385"/>
      <c r="DB32" s="385"/>
      <c r="DC32" s="385"/>
      <c r="DD32" s="385"/>
      <c r="DE32" s="385"/>
      <c r="DF32" s="385"/>
      <c r="DG32" s="385"/>
      <c r="DH32" s="385"/>
      <c r="DI32" s="385"/>
      <c r="DJ32" s="385"/>
      <c r="DO32" s="449">
        <f t="shared" si="23"/>
        <v>0</v>
      </c>
      <c r="DP32" s="449">
        <f t="shared" si="24"/>
        <v>0</v>
      </c>
    </row>
    <row r="33" spans="1:130" ht="21.75" customHeight="1" x14ac:dyDescent="0.25">
      <c r="A33" s="1803"/>
      <c r="B33" s="96" t="s">
        <v>371</v>
      </c>
      <c r="C33" s="677">
        <f t="shared" si="0"/>
        <v>0</v>
      </c>
      <c r="D33" s="1368">
        <f t="shared" si="25"/>
        <v>0</v>
      </c>
      <c r="E33" s="694">
        <f t="shared" si="25"/>
        <v>0</v>
      </c>
      <c r="F33" s="1666"/>
      <c r="G33" s="1667"/>
      <c r="H33" s="679"/>
      <c r="I33" s="680"/>
      <c r="J33" s="679"/>
      <c r="K33" s="680"/>
      <c r="L33" s="679"/>
      <c r="M33" s="681"/>
      <c r="N33" s="679"/>
      <c r="O33" s="680"/>
      <c r="P33" s="679"/>
      <c r="Q33" s="680"/>
      <c r="R33" s="682"/>
      <c r="S33" s="680"/>
      <c r="T33" s="679"/>
      <c r="U33" s="681"/>
      <c r="V33" s="679"/>
      <c r="W33" s="680"/>
      <c r="X33" s="679"/>
      <c r="Y33" s="680"/>
      <c r="Z33" s="679"/>
      <c r="AA33" s="680"/>
      <c r="AB33" s="682"/>
      <c r="AC33" s="681"/>
      <c r="AD33" s="679"/>
      <c r="AE33" s="680"/>
      <c r="AF33" s="683"/>
      <c r="AG33" s="705"/>
      <c r="AH33" s="682"/>
      <c r="AI33" s="680"/>
      <c r="AJ33" s="376" t="str">
        <f t="shared" si="2"/>
        <v/>
      </c>
      <c r="AK33" s="1050"/>
      <c r="AL33" s="1050"/>
      <c r="AM33" s="1050"/>
      <c r="AN33" s="1050"/>
      <c r="AO33" s="1050"/>
      <c r="AP33" s="1050"/>
      <c r="AQ33" s="1050"/>
      <c r="AR33" s="1050"/>
      <c r="AS33" s="1050"/>
      <c r="AT33" s="1050"/>
      <c r="AU33" s="1050"/>
      <c r="AV33" s="1050"/>
      <c r="BD33" s="180"/>
      <c r="BE33" s="180"/>
      <c r="BF33" s="180"/>
      <c r="BG33" s="180"/>
      <c r="BH33" s="180"/>
      <c r="BI33" s="180"/>
      <c r="BJ33" s="180"/>
      <c r="BK33" s="180"/>
      <c r="BL33" s="180"/>
      <c r="CA33" s="464"/>
      <c r="CR33" s="381" t="str">
        <f t="shared" si="21"/>
        <v/>
      </c>
      <c r="CS33" s="381" t="str">
        <f t="shared" si="22"/>
        <v/>
      </c>
      <c r="DA33" s="385"/>
      <c r="DB33" s="385"/>
      <c r="DC33" s="385"/>
      <c r="DD33" s="385"/>
      <c r="DE33" s="385"/>
      <c r="DF33" s="385"/>
      <c r="DG33" s="385"/>
      <c r="DH33" s="385"/>
      <c r="DI33" s="385"/>
      <c r="DJ33" s="385"/>
      <c r="DO33" s="449">
        <f t="shared" si="23"/>
        <v>0</v>
      </c>
      <c r="DP33" s="449">
        <f t="shared" si="24"/>
        <v>0</v>
      </c>
    </row>
    <row r="34" spans="1:130" ht="21.75" customHeight="1" x14ac:dyDescent="0.25">
      <c r="A34" s="1803"/>
      <c r="B34" s="96" t="s">
        <v>101</v>
      </c>
      <c r="C34" s="677">
        <f t="shared" si="0"/>
        <v>0</v>
      </c>
      <c r="D34" s="1369">
        <f t="shared" si="25"/>
        <v>0</v>
      </c>
      <c r="E34" s="698">
        <f t="shared" si="25"/>
        <v>0</v>
      </c>
      <c r="F34" s="1666"/>
      <c r="G34" s="1667"/>
      <c r="H34" s="679"/>
      <c r="I34" s="680"/>
      <c r="J34" s="679"/>
      <c r="K34" s="680"/>
      <c r="L34" s="679"/>
      <c r="M34" s="681"/>
      <c r="N34" s="679"/>
      <c r="O34" s="680"/>
      <c r="P34" s="679"/>
      <c r="Q34" s="680"/>
      <c r="R34" s="682"/>
      <c r="S34" s="680"/>
      <c r="T34" s="679"/>
      <c r="U34" s="681"/>
      <c r="V34" s="679"/>
      <c r="W34" s="680"/>
      <c r="X34" s="679"/>
      <c r="Y34" s="680"/>
      <c r="Z34" s="679"/>
      <c r="AA34" s="680"/>
      <c r="AB34" s="682"/>
      <c r="AC34" s="681"/>
      <c r="AD34" s="679"/>
      <c r="AE34" s="680"/>
      <c r="AF34" s="683"/>
      <c r="AG34" s="705"/>
      <c r="AH34" s="682"/>
      <c r="AI34" s="680"/>
      <c r="AJ34" s="376" t="str">
        <f t="shared" si="2"/>
        <v/>
      </c>
      <c r="AK34" s="1050"/>
      <c r="AL34" s="1050"/>
      <c r="AM34" s="1050"/>
      <c r="AN34" s="1050"/>
      <c r="AO34" s="1050"/>
      <c r="AP34" s="1050"/>
      <c r="AQ34" s="1050"/>
      <c r="AR34" s="1050"/>
      <c r="AS34" s="1050"/>
      <c r="AT34" s="1050"/>
      <c r="AU34" s="1050"/>
      <c r="AV34" s="1050"/>
      <c r="BD34" s="180"/>
      <c r="BE34" s="180"/>
      <c r="BF34" s="180"/>
      <c r="BG34" s="180"/>
      <c r="BH34" s="180"/>
      <c r="BI34" s="180"/>
      <c r="BJ34" s="180"/>
      <c r="BK34" s="180"/>
      <c r="BL34" s="180"/>
      <c r="CA34" s="464"/>
      <c r="CR34" s="381" t="str">
        <f t="shared" si="21"/>
        <v/>
      </c>
      <c r="CS34" s="381" t="str">
        <f t="shared" si="22"/>
        <v/>
      </c>
      <c r="DA34" s="385"/>
      <c r="DB34" s="385"/>
      <c r="DC34" s="385"/>
      <c r="DD34" s="385"/>
      <c r="DE34" s="385"/>
      <c r="DF34" s="385"/>
      <c r="DG34" s="385"/>
      <c r="DH34" s="385"/>
      <c r="DI34" s="385"/>
      <c r="DJ34" s="385"/>
      <c r="DO34" s="449">
        <f t="shared" si="23"/>
        <v>0</v>
      </c>
      <c r="DP34" s="449">
        <f t="shared" si="24"/>
        <v>0</v>
      </c>
    </row>
    <row r="35" spans="1:130" ht="21.75" customHeight="1" x14ac:dyDescent="0.25">
      <c r="A35" s="1803"/>
      <c r="B35" s="97" t="s">
        <v>51</v>
      </c>
      <c r="C35" s="1091">
        <f t="shared" si="0"/>
        <v>0</v>
      </c>
      <c r="D35" s="689">
        <f t="shared" si="25"/>
        <v>0</v>
      </c>
      <c r="E35" s="699">
        <f t="shared" si="25"/>
        <v>0</v>
      </c>
      <c r="F35" s="1666"/>
      <c r="G35" s="1667"/>
      <c r="H35" s="666"/>
      <c r="I35" s="669"/>
      <c r="J35" s="666"/>
      <c r="K35" s="669"/>
      <c r="L35" s="624"/>
      <c r="M35" s="1347"/>
      <c r="N35" s="624"/>
      <c r="O35" s="625"/>
      <c r="P35" s="624"/>
      <c r="Q35" s="625"/>
      <c r="R35" s="667"/>
      <c r="S35" s="669"/>
      <c r="T35" s="666"/>
      <c r="U35" s="668"/>
      <c r="V35" s="624"/>
      <c r="W35" s="625"/>
      <c r="X35" s="624"/>
      <c r="Y35" s="625"/>
      <c r="Z35" s="624"/>
      <c r="AA35" s="625"/>
      <c r="AB35" s="667"/>
      <c r="AC35" s="668"/>
      <c r="AD35" s="624"/>
      <c r="AE35" s="625"/>
      <c r="AF35" s="675"/>
      <c r="AG35" s="1139"/>
      <c r="AH35" s="1137"/>
      <c r="AI35" s="686"/>
      <c r="AJ35" s="376" t="str">
        <f t="shared" si="2"/>
        <v/>
      </c>
      <c r="AK35" s="1050"/>
      <c r="AL35" s="1050"/>
      <c r="AM35" s="1050"/>
      <c r="AN35" s="1050"/>
      <c r="AO35" s="1050"/>
      <c r="AP35" s="1050"/>
      <c r="AQ35" s="1050"/>
      <c r="AR35" s="1050"/>
      <c r="AS35" s="1050"/>
      <c r="AT35" s="1050"/>
      <c r="AU35" s="1050"/>
      <c r="AV35" s="1050"/>
      <c r="BD35" s="180"/>
      <c r="BE35" s="180"/>
      <c r="BF35" s="180"/>
      <c r="BG35" s="180"/>
      <c r="BH35" s="180"/>
      <c r="BI35" s="180"/>
      <c r="BJ35" s="180"/>
      <c r="BK35" s="180"/>
      <c r="BL35" s="180"/>
      <c r="CA35" s="464"/>
      <c r="CR35" s="381" t="str">
        <f t="shared" si="21"/>
        <v/>
      </c>
      <c r="CS35" s="381" t="str">
        <f t="shared" si="22"/>
        <v/>
      </c>
      <c r="DA35" s="385"/>
      <c r="DB35" s="385"/>
      <c r="DC35" s="385"/>
      <c r="DD35" s="385"/>
      <c r="DE35" s="385"/>
      <c r="DF35" s="385"/>
      <c r="DG35" s="385"/>
      <c r="DH35" s="385"/>
      <c r="DI35" s="385"/>
      <c r="DJ35" s="385"/>
      <c r="DO35" s="449">
        <f t="shared" si="23"/>
        <v>0</v>
      </c>
      <c r="DP35" s="449">
        <f t="shared" si="24"/>
        <v>0</v>
      </c>
    </row>
    <row r="36" spans="1:130" ht="21.75" customHeight="1" x14ac:dyDescent="0.25">
      <c r="A36" s="1803"/>
      <c r="B36" s="99" t="s">
        <v>102</v>
      </c>
      <c r="C36" s="687">
        <f>SUM(D36:E36)</f>
        <v>0</v>
      </c>
      <c r="D36" s="700">
        <f t="shared" ref="D36:E38" si="26">+H36+J36+L36+N36+P36+R36+T36+V36+X36+Z36+AB36+AD36</f>
        <v>0</v>
      </c>
      <c r="E36" s="1316">
        <f t="shared" si="26"/>
        <v>0</v>
      </c>
      <c r="F36" s="1666"/>
      <c r="G36" s="1667"/>
      <c r="H36" s="659">
        <f t="shared" ref="H36:AI36" si="27">SUM(H31:H35)</f>
        <v>0</v>
      </c>
      <c r="I36" s="660">
        <f t="shared" si="27"/>
        <v>0</v>
      </c>
      <c r="J36" s="659">
        <f t="shared" si="27"/>
        <v>0</v>
      </c>
      <c r="K36" s="660">
        <f t="shared" si="27"/>
        <v>0</v>
      </c>
      <c r="L36" s="659">
        <f t="shared" si="27"/>
        <v>0</v>
      </c>
      <c r="M36" s="662">
        <f t="shared" si="27"/>
        <v>0</v>
      </c>
      <c r="N36" s="663">
        <f t="shared" si="27"/>
        <v>0</v>
      </c>
      <c r="O36" s="662">
        <f t="shared" si="27"/>
        <v>0</v>
      </c>
      <c r="P36" s="663">
        <f t="shared" si="27"/>
        <v>0</v>
      </c>
      <c r="Q36" s="660">
        <f t="shared" si="27"/>
        <v>0</v>
      </c>
      <c r="R36" s="659">
        <f t="shared" si="27"/>
        <v>0</v>
      </c>
      <c r="S36" s="660">
        <f t="shared" si="27"/>
        <v>0</v>
      </c>
      <c r="T36" s="659">
        <f t="shared" si="27"/>
        <v>0</v>
      </c>
      <c r="U36" s="660">
        <f t="shared" si="27"/>
        <v>0</v>
      </c>
      <c r="V36" s="659">
        <f t="shared" si="27"/>
        <v>0</v>
      </c>
      <c r="W36" s="662">
        <f t="shared" si="27"/>
        <v>0</v>
      </c>
      <c r="X36" s="663">
        <f t="shared" si="27"/>
        <v>0</v>
      </c>
      <c r="Y36" s="662">
        <f t="shared" si="27"/>
        <v>0</v>
      </c>
      <c r="Z36" s="663">
        <f t="shared" si="27"/>
        <v>0</v>
      </c>
      <c r="AA36" s="660">
        <f t="shared" si="27"/>
        <v>0</v>
      </c>
      <c r="AB36" s="659">
        <f t="shared" si="27"/>
        <v>0</v>
      </c>
      <c r="AC36" s="660">
        <f t="shared" si="27"/>
        <v>0</v>
      </c>
      <c r="AD36" s="659">
        <f t="shared" si="27"/>
        <v>0</v>
      </c>
      <c r="AE36" s="660">
        <f t="shared" si="27"/>
        <v>0</v>
      </c>
      <c r="AF36" s="665">
        <f t="shared" si="27"/>
        <v>0</v>
      </c>
      <c r="AG36" s="663">
        <f t="shared" si="27"/>
        <v>0</v>
      </c>
      <c r="AH36" s="663">
        <f t="shared" si="27"/>
        <v>0</v>
      </c>
      <c r="AI36" s="662">
        <f t="shared" si="27"/>
        <v>0</v>
      </c>
      <c r="AJ36" s="376" t="str">
        <f t="shared" si="2"/>
        <v/>
      </c>
      <c r="AK36" s="1050"/>
      <c r="AL36" s="1050"/>
      <c r="AM36" s="1050"/>
      <c r="AN36" s="1050"/>
      <c r="AO36" s="1050"/>
      <c r="AP36" s="1050"/>
      <c r="AQ36" s="1050"/>
      <c r="AR36" s="1050"/>
      <c r="AS36" s="1050"/>
      <c r="AT36" s="1050"/>
      <c r="AU36" s="1050"/>
      <c r="AV36" s="1050"/>
      <c r="BD36" s="180"/>
      <c r="BE36" s="180"/>
      <c r="BF36" s="180"/>
      <c r="BG36" s="180"/>
      <c r="BH36" s="180"/>
      <c r="BI36" s="180"/>
      <c r="BJ36" s="180"/>
      <c r="BK36" s="180"/>
      <c r="BL36" s="180"/>
      <c r="CA36" s="464"/>
      <c r="CB36" s="381" t="str">
        <f>IF($C36&gt;=$AF36+$AG36,"","* El Total de Pueblos Originarios no debe ser mayor al Total Diagnóstico Nutricional Integrado")</f>
        <v/>
      </c>
      <c r="CC36" s="381" t="str">
        <f>IF($C36&gt;=$AH36+$AI36,"","* El Total de Población Migrante no debe ser mayor al Total Diagnóstico Nutricional Integrado")</f>
        <v/>
      </c>
      <c r="DA36" s="391">
        <f>IF($C36&gt;=$AF36+$AG36,0,1)</f>
        <v>0</v>
      </c>
      <c r="DB36" s="391">
        <f>IF($C36&gt;=$AH36+$AI36,0,1)</f>
        <v>0</v>
      </c>
      <c r="DC36" s="385"/>
      <c r="DD36" s="385"/>
      <c r="DE36" s="385"/>
      <c r="DF36" s="385"/>
      <c r="DG36" s="385"/>
      <c r="DH36" s="385"/>
      <c r="DI36" s="385"/>
      <c r="DJ36" s="385"/>
    </row>
    <row r="37" spans="1:130" ht="27.75" customHeight="1" x14ac:dyDescent="0.25">
      <c r="A37" s="1803"/>
      <c r="B37" s="1348" t="s">
        <v>103</v>
      </c>
      <c r="C37" s="687">
        <f>SUM(D37:E37)</f>
        <v>0</v>
      </c>
      <c r="D37" s="700">
        <f t="shared" si="26"/>
        <v>0</v>
      </c>
      <c r="E37" s="1316">
        <f t="shared" si="26"/>
        <v>0</v>
      </c>
      <c r="F37" s="1666"/>
      <c r="G37" s="1667"/>
      <c r="H37" s="666"/>
      <c r="I37" s="669"/>
      <c r="J37" s="666"/>
      <c r="K37" s="669"/>
      <c r="L37" s="627"/>
      <c r="M37" s="669"/>
      <c r="N37" s="674"/>
      <c r="O37" s="669"/>
      <c r="P37" s="674"/>
      <c r="Q37" s="636"/>
      <c r="R37" s="666"/>
      <c r="S37" s="669"/>
      <c r="T37" s="666"/>
      <c r="U37" s="669"/>
      <c r="V37" s="627"/>
      <c r="W37" s="669"/>
      <c r="X37" s="674"/>
      <c r="Y37" s="669"/>
      <c r="Z37" s="674"/>
      <c r="AA37" s="636"/>
      <c r="AB37" s="666"/>
      <c r="AC37" s="669"/>
      <c r="AD37" s="666"/>
      <c r="AE37" s="669"/>
      <c r="AF37" s="685"/>
      <c r="AG37" s="1137"/>
      <c r="AH37" s="1137"/>
      <c r="AI37" s="686"/>
      <c r="AJ37" s="376" t="str">
        <f t="shared" si="2"/>
        <v/>
      </c>
      <c r="AK37" s="1050"/>
      <c r="AL37" s="1050"/>
      <c r="AM37" s="1050"/>
      <c r="AN37" s="1050"/>
      <c r="AO37" s="1050"/>
      <c r="AP37" s="1050"/>
      <c r="AQ37" s="1050"/>
      <c r="AS37" s="1050"/>
      <c r="AT37" s="1050"/>
      <c r="AU37" s="1050"/>
      <c r="AV37" s="1050"/>
      <c r="BD37" s="180"/>
      <c r="BE37" s="180"/>
      <c r="BF37" s="180"/>
      <c r="BG37" s="180"/>
      <c r="BH37" s="180"/>
      <c r="BI37" s="180"/>
      <c r="BJ37" s="180"/>
      <c r="BK37" s="180"/>
      <c r="BL37" s="180"/>
      <c r="CA37" s="464"/>
      <c r="CR37" s="381" t="str">
        <f>IF(AND(D37&lt;&gt;0,AF37=""), "* No olvide escribir en la celda de Pueblos Originarios (Digite CERO si no tiene). ",IF(AND(E37&lt;&gt;0,AG37=""), "* No olvide escribir en la celda de Pueblos Originarios (Digite CERO si no tiene). ",""))</f>
        <v/>
      </c>
      <c r="CS37" s="381" t="str">
        <f>IF(AND(D37&lt;&gt;0,AH37=""), "* No olvide escribir en la celda de Población Migrantes (Digite CERO si no tiene). ",IF(AND(E37&lt;&gt;0,AI37=""), "* No olvide escribir en la celda de Población Migrantes (Digite CERO si no tiene). ",""))</f>
        <v/>
      </c>
      <c r="DA37" s="385"/>
      <c r="DB37" s="385"/>
      <c r="DC37" s="385"/>
      <c r="DD37" s="385"/>
      <c r="DE37" s="385"/>
      <c r="DF37" s="385"/>
      <c r="DG37" s="385"/>
      <c r="DH37" s="385"/>
      <c r="DI37" s="385"/>
      <c r="DJ37" s="385"/>
      <c r="DO37" s="449">
        <f>IF(AND(D37&lt;&gt;0,AF37=""), 1,IF(AND(E37&lt;&gt;0,AG37=""), 1,0))</f>
        <v>0</v>
      </c>
      <c r="DP37" s="449">
        <f>IF(AND(D37&lt;&gt;0,AH37=""), 1,IF(AND(E37&lt;&gt;0,AI37=""), 1,0))</f>
        <v>0</v>
      </c>
    </row>
    <row r="38" spans="1:130" ht="27.6" customHeight="1" x14ac:dyDescent="0.25">
      <c r="A38" s="1804"/>
      <c r="B38" s="1441" t="s">
        <v>13</v>
      </c>
      <c r="C38" s="1293">
        <f t="shared" si="0"/>
        <v>0</v>
      </c>
      <c r="D38" s="700">
        <f t="shared" si="26"/>
        <v>0</v>
      </c>
      <c r="E38" s="1316">
        <f t="shared" si="26"/>
        <v>0</v>
      </c>
      <c r="F38" s="1666"/>
      <c r="G38" s="1667"/>
      <c r="H38" s="659">
        <f t="shared" ref="H38:AI38" si="28">SUM(H31:H35)+H37</f>
        <v>0</v>
      </c>
      <c r="I38" s="662">
        <f t="shared" si="28"/>
        <v>0</v>
      </c>
      <c r="J38" s="659">
        <f t="shared" si="28"/>
        <v>0</v>
      </c>
      <c r="K38" s="662">
        <f t="shared" si="28"/>
        <v>0</v>
      </c>
      <c r="L38" s="659">
        <f t="shared" si="28"/>
        <v>0</v>
      </c>
      <c r="M38" s="662">
        <f t="shared" si="28"/>
        <v>0</v>
      </c>
      <c r="N38" s="649">
        <f t="shared" si="28"/>
        <v>0</v>
      </c>
      <c r="O38" s="647">
        <f t="shared" si="28"/>
        <v>0</v>
      </c>
      <c r="P38" s="649">
        <f t="shared" si="28"/>
        <v>0</v>
      </c>
      <c r="Q38" s="655">
        <f t="shared" si="28"/>
        <v>0</v>
      </c>
      <c r="R38" s="646">
        <f t="shared" si="28"/>
        <v>0</v>
      </c>
      <c r="S38" s="655">
        <f t="shared" si="28"/>
        <v>0</v>
      </c>
      <c r="T38" s="646">
        <f t="shared" si="28"/>
        <v>0</v>
      </c>
      <c r="U38" s="655">
        <f t="shared" si="28"/>
        <v>0</v>
      </c>
      <c r="V38" s="646">
        <f t="shared" si="28"/>
        <v>0</v>
      </c>
      <c r="W38" s="647">
        <f t="shared" si="28"/>
        <v>0</v>
      </c>
      <c r="X38" s="649">
        <f t="shared" si="28"/>
        <v>0</v>
      </c>
      <c r="Y38" s="647">
        <f t="shared" si="28"/>
        <v>0</v>
      </c>
      <c r="Z38" s="649">
        <f t="shared" si="28"/>
        <v>0</v>
      </c>
      <c r="AA38" s="655">
        <f t="shared" si="28"/>
        <v>0</v>
      </c>
      <c r="AB38" s="646">
        <f t="shared" si="28"/>
        <v>0</v>
      </c>
      <c r="AC38" s="655">
        <f t="shared" si="28"/>
        <v>0</v>
      </c>
      <c r="AD38" s="646">
        <f t="shared" si="28"/>
        <v>0</v>
      </c>
      <c r="AE38" s="655">
        <f t="shared" si="28"/>
        <v>0</v>
      </c>
      <c r="AF38" s="650">
        <f t="shared" si="28"/>
        <v>0</v>
      </c>
      <c r="AG38" s="649">
        <f t="shared" si="28"/>
        <v>0</v>
      </c>
      <c r="AH38" s="649">
        <f t="shared" si="28"/>
        <v>0</v>
      </c>
      <c r="AI38" s="647">
        <f t="shared" si="28"/>
        <v>0</v>
      </c>
      <c r="AJ38" s="376" t="str">
        <f t="shared" si="2"/>
        <v/>
      </c>
      <c r="AK38" s="1050"/>
      <c r="AL38" s="1050"/>
      <c r="AM38" s="1050"/>
      <c r="AN38" s="1050"/>
      <c r="AO38" s="1050"/>
      <c r="AP38" s="1050"/>
      <c r="AQ38" s="1050"/>
      <c r="AR38" s="1050"/>
      <c r="AS38" s="1050"/>
      <c r="AT38" s="1050"/>
      <c r="AU38" s="1050"/>
      <c r="AV38" s="1050"/>
      <c r="BD38" s="180"/>
      <c r="BE38" s="180"/>
      <c r="BF38" s="180"/>
      <c r="BG38" s="180"/>
      <c r="BH38" s="180"/>
      <c r="BI38" s="180"/>
      <c r="BJ38" s="180"/>
      <c r="BK38" s="180"/>
      <c r="BL38" s="180"/>
      <c r="CA38" s="464"/>
      <c r="CB38" s="381" t="str">
        <f>IF($C38&gt;=$AF38+$AG38,"","* El Total de Pueblos Originarios no debe ser mayor al Total Diagnóstico Nutricional Integrado")</f>
        <v/>
      </c>
      <c r="CC38" s="381" t="str">
        <f>IF($C38&gt;=$AH38+$AI38,"","* El Total de Población Migrante no debe ser mayor al Total Diagnóstico Nutricional Integrado")</f>
        <v/>
      </c>
      <c r="DA38" s="391">
        <f>IF($C38&gt;=$AF38+$AG38,0,1)</f>
        <v>0</v>
      </c>
      <c r="DB38" s="391">
        <f>IF($C38&gt;=$AH38+$AI38,0,1)</f>
        <v>0</v>
      </c>
      <c r="DC38" s="385"/>
      <c r="DD38" s="385"/>
      <c r="DE38" s="385"/>
      <c r="DF38" s="385"/>
      <c r="DG38" s="385"/>
      <c r="DH38" s="385"/>
      <c r="DI38" s="385"/>
      <c r="DJ38" s="385"/>
    </row>
    <row r="39" spans="1:130" ht="21.75" customHeight="1" x14ac:dyDescent="0.25">
      <c r="A39" s="1932" t="s">
        <v>815</v>
      </c>
      <c r="B39" s="1933"/>
      <c r="C39" s="658">
        <f>SUM(D39:E39)</f>
        <v>0</v>
      </c>
      <c r="D39" s="700">
        <f>+F39+H39+J39+L39+N39+P39+R39+T39+V39+X39+Z39+AB39+AD39</f>
        <v>0</v>
      </c>
      <c r="E39" s="1316">
        <f>+G39+I39+K39+M39+O39+Q39+S39+U39+W39+Y39+AA39+AC39+AE39</f>
        <v>0</v>
      </c>
      <c r="F39" s="627"/>
      <c r="G39" s="1365"/>
      <c r="H39" s="627"/>
      <c r="I39" s="628"/>
      <c r="J39" s="627"/>
      <c r="K39" s="628"/>
      <c r="L39" s="627"/>
      <c r="M39" s="628"/>
      <c r="N39" s="674"/>
      <c r="O39" s="628"/>
      <c r="P39" s="674"/>
      <c r="Q39" s="674"/>
      <c r="R39" s="627"/>
      <c r="S39" s="628"/>
      <c r="T39" s="627"/>
      <c r="U39" s="628"/>
      <c r="V39" s="627"/>
      <c r="W39" s="628"/>
      <c r="X39" s="674"/>
      <c r="Y39" s="628"/>
      <c r="Z39" s="674"/>
      <c r="AA39" s="674"/>
      <c r="AB39" s="627"/>
      <c r="AC39" s="628"/>
      <c r="AD39" s="627"/>
      <c r="AE39" s="628"/>
      <c r="AF39" s="631"/>
      <c r="AG39" s="674"/>
      <c r="AH39" s="674"/>
      <c r="AI39" s="628"/>
      <c r="AJ39" s="376" t="str">
        <f t="shared" si="2"/>
        <v/>
      </c>
      <c r="AK39" s="1050"/>
      <c r="AL39" s="1050"/>
      <c r="AM39" s="1050"/>
      <c r="AN39" s="1050"/>
      <c r="AO39" s="1050"/>
      <c r="AP39" s="1050"/>
      <c r="AQ39" s="1050"/>
      <c r="AR39" s="1050"/>
      <c r="AS39" s="1050"/>
      <c r="AT39" s="1050"/>
      <c r="AU39" s="1050"/>
      <c r="AV39" s="1050"/>
      <c r="BD39" s="180"/>
      <c r="BE39" s="180"/>
      <c r="BF39" s="180"/>
      <c r="BG39" s="180"/>
      <c r="BH39" s="180"/>
      <c r="BI39" s="180"/>
      <c r="BJ39" s="180"/>
      <c r="BK39" s="180"/>
      <c r="BL39" s="180"/>
      <c r="CA39" s="464"/>
      <c r="CB39" s="381" t="str">
        <f>IF($C39&gt;=$AF39+$AG39,"","* El Total de Pueblos Originarios no debe ser mayor al Total Niños sin Evaluación")</f>
        <v/>
      </c>
      <c r="CC39" s="381" t="str">
        <f>IF($C39&gt;=$AH39+$AI39,"","* El Total de Población Migrante no debe ser mayor al Total Niños sin Evaluación")</f>
        <v/>
      </c>
      <c r="CR39" s="381" t="str">
        <f>IF(AND(D39&lt;&gt;0,AF39=""), "* No olvide escribir en la celda de Pueblos Originarios (Digite CERO si no tiene). ",IF(AND(E39&lt;&gt;0,AG39=""), "* No olvide escribir en la celda de Pueblos Originarios (Digite CERO si no tiene). ",""))</f>
        <v/>
      </c>
      <c r="CS39" s="381" t="str">
        <f>IF(AND(D39&lt;&gt;0,AH39=""), "* No olvide escribir en la celda de Población Migrantes (Digite CERO si no tiene). ",IF(AND(E39&lt;&gt;0,AI39=""), "* No olvide escribir en la celda de Población Migrantes (Digite CERO si no tiene). ",""))</f>
        <v/>
      </c>
      <c r="DA39" s="391">
        <f>IF($C39&gt;=$AF39+$AG39,0,1)</f>
        <v>0</v>
      </c>
      <c r="DB39" s="391">
        <f>IF($C39&gt;=$AH39+$AI39,0,1)</f>
        <v>0</v>
      </c>
      <c r="DC39" s="385"/>
      <c r="DD39" s="385"/>
      <c r="DE39" s="385"/>
      <c r="DF39" s="385"/>
      <c r="DG39" s="385"/>
      <c r="DH39" s="385"/>
      <c r="DI39" s="385"/>
      <c r="DJ39" s="385"/>
      <c r="DO39" s="449">
        <f>IF(AND(D39&lt;&gt;0,AF39=""), 1,IF(AND(E39&lt;&gt;0,AG39=""), 1,0))</f>
        <v>0</v>
      </c>
      <c r="DP39" s="449">
        <f>IF(AND(D39&lt;&gt;0,AH39=""), 1,IF(AND(E39&lt;&gt;0,AI39=""), 1,0))</f>
        <v>0</v>
      </c>
    </row>
    <row r="40" spans="1:130" s="308" customFormat="1" ht="30" customHeight="1" x14ac:dyDescent="0.2">
      <c r="A40" s="1924" t="s">
        <v>859</v>
      </c>
      <c r="B40" s="1924"/>
      <c r="C40" s="1924"/>
      <c r="D40" s="1924"/>
      <c r="E40" s="1924"/>
      <c r="F40" s="1924"/>
      <c r="G40" s="1924"/>
      <c r="H40" s="1924"/>
      <c r="I40" s="1924"/>
      <c r="J40" s="1924"/>
      <c r="K40" s="1924"/>
      <c r="L40" s="1925"/>
      <c r="M40" s="1925"/>
      <c r="N40" s="458"/>
      <c r="O40" s="458"/>
      <c r="P40" s="458"/>
      <c r="Q40" s="458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BR40" s="180"/>
      <c r="CA40" s="464"/>
      <c r="CB40" s="387"/>
      <c r="CC40" s="387"/>
      <c r="CD40" s="387"/>
      <c r="CE40" s="387"/>
      <c r="CF40" s="387"/>
      <c r="CG40" s="387"/>
      <c r="CH40" s="387"/>
      <c r="CI40" s="387"/>
      <c r="CJ40" s="387"/>
      <c r="CK40" s="387"/>
      <c r="CL40" s="325"/>
      <c r="CM40" s="325"/>
      <c r="CN40" s="325"/>
      <c r="CO40" s="325"/>
      <c r="CP40" s="325"/>
      <c r="CQ40" s="325"/>
      <c r="CR40" s="325"/>
      <c r="CS40" s="325"/>
      <c r="CT40" s="325"/>
      <c r="CU40" s="325"/>
      <c r="CV40" s="325"/>
      <c r="CW40" s="325"/>
      <c r="CX40" s="325"/>
      <c r="CY40" s="325"/>
      <c r="CZ40" s="325"/>
      <c r="DA40" s="385"/>
      <c r="DB40" s="385"/>
      <c r="DC40" s="385"/>
      <c r="DD40" s="385"/>
      <c r="DE40" s="385"/>
      <c r="DF40" s="385"/>
      <c r="DG40" s="385"/>
      <c r="DH40" s="385"/>
      <c r="DI40" s="385"/>
      <c r="DJ40" s="385"/>
      <c r="DK40" s="385"/>
      <c r="DL40" s="385"/>
      <c r="DM40" s="385"/>
      <c r="DN40" s="385"/>
      <c r="DO40" s="385"/>
      <c r="DP40" s="385"/>
      <c r="DQ40" s="385"/>
      <c r="DR40" s="385"/>
      <c r="DS40" s="385"/>
      <c r="DT40" s="385"/>
      <c r="DU40" s="385"/>
      <c r="DV40" s="385"/>
      <c r="DW40" s="385"/>
      <c r="DX40" s="385"/>
      <c r="DY40" s="385"/>
      <c r="DZ40" s="385"/>
    </row>
    <row r="41" spans="1:130" ht="27.75" customHeight="1" x14ac:dyDescent="0.25">
      <c r="A41" s="1815" t="s">
        <v>76</v>
      </c>
      <c r="B41" s="1816"/>
      <c r="C41" s="1922" t="s">
        <v>13</v>
      </c>
      <c r="D41" s="1922"/>
      <c r="E41" s="1923"/>
      <c r="F41" s="1845" t="s">
        <v>77</v>
      </c>
      <c r="G41" s="1846"/>
      <c r="H41" s="1846"/>
      <c r="I41" s="1846"/>
      <c r="J41" s="1846"/>
      <c r="K41" s="1846"/>
      <c r="L41" s="1846"/>
      <c r="M41" s="1846"/>
      <c r="N41" s="1846"/>
      <c r="O41" s="1846"/>
      <c r="P41" s="1846"/>
      <c r="Q41" s="1846"/>
      <c r="R41" s="1846"/>
      <c r="S41" s="1920"/>
      <c r="T41" s="32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R41" s="1050"/>
      <c r="BS41" s="1050"/>
      <c r="BT41" s="1050"/>
      <c r="BU41" s="1050"/>
      <c r="BV41" s="1050"/>
      <c r="BW41" s="1050"/>
      <c r="DA41" s="385"/>
      <c r="DB41" s="385"/>
      <c r="DC41" s="385"/>
      <c r="DD41" s="385"/>
      <c r="DE41" s="385"/>
      <c r="DF41" s="385"/>
      <c r="DG41" s="385"/>
      <c r="DH41" s="385"/>
      <c r="DI41" s="385"/>
      <c r="DJ41" s="385"/>
    </row>
    <row r="42" spans="1:130" ht="24" customHeight="1" x14ac:dyDescent="0.25">
      <c r="A42" s="1917"/>
      <c r="B42" s="1818"/>
      <c r="C42" s="1833"/>
      <c r="D42" s="1833"/>
      <c r="E42" s="1834"/>
      <c r="F42" s="1908" t="s">
        <v>92</v>
      </c>
      <c r="G42" s="1801"/>
      <c r="H42" s="1908" t="s">
        <v>684</v>
      </c>
      <c r="I42" s="1801"/>
      <c r="J42" s="1908" t="s">
        <v>685</v>
      </c>
      <c r="K42" s="1801"/>
      <c r="L42" s="1908" t="s">
        <v>686</v>
      </c>
      <c r="M42" s="1801"/>
      <c r="N42" s="1908" t="s">
        <v>687</v>
      </c>
      <c r="O42" s="1801"/>
      <c r="P42" s="1918" t="s">
        <v>15</v>
      </c>
      <c r="Q42" s="1919"/>
      <c r="R42" s="1915" t="s">
        <v>814</v>
      </c>
      <c r="S42" s="1916"/>
      <c r="T42" s="32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R42" s="1050"/>
      <c r="BS42" s="1050"/>
      <c r="BT42" s="1050"/>
      <c r="BU42" s="1050"/>
      <c r="BV42" s="1050"/>
      <c r="BW42" s="1050"/>
      <c r="DA42" s="385"/>
      <c r="DB42" s="385"/>
      <c r="DC42" s="385"/>
      <c r="DD42" s="385"/>
      <c r="DE42" s="385"/>
      <c r="DF42" s="385"/>
      <c r="DG42" s="385"/>
      <c r="DH42" s="385"/>
      <c r="DI42" s="385"/>
      <c r="DJ42" s="385"/>
    </row>
    <row r="43" spans="1:130" ht="32.25" customHeight="1" x14ac:dyDescent="0.25">
      <c r="A43" s="1819"/>
      <c r="B43" s="1820"/>
      <c r="C43" s="104" t="s">
        <v>369</v>
      </c>
      <c r="D43" s="94" t="s">
        <v>31</v>
      </c>
      <c r="E43" s="359" t="s">
        <v>94</v>
      </c>
      <c r="F43" s="358" t="s">
        <v>31</v>
      </c>
      <c r="G43" s="105" t="s">
        <v>94</v>
      </c>
      <c r="H43" s="358" t="s">
        <v>31</v>
      </c>
      <c r="I43" s="95" t="s">
        <v>94</v>
      </c>
      <c r="J43" s="1047" t="s">
        <v>31</v>
      </c>
      <c r="K43" s="95" t="s">
        <v>94</v>
      </c>
      <c r="L43" s="1047" t="s">
        <v>31</v>
      </c>
      <c r="M43" s="95" t="s">
        <v>94</v>
      </c>
      <c r="N43" s="1047" t="s">
        <v>31</v>
      </c>
      <c r="O43" s="312" t="s">
        <v>94</v>
      </c>
      <c r="P43" s="313" t="s">
        <v>31</v>
      </c>
      <c r="Q43" s="1129" t="s">
        <v>94</v>
      </c>
      <c r="R43" s="1132" t="s">
        <v>31</v>
      </c>
      <c r="S43" s="359" t="s">
        <v>94</v>
      </c>
      <c r="T43" s="328"/>
      <c r="U43" s="308"/>
      <c r="V43" s="308"/>
      <c r="W43" s="308"/>
      <c r="X43" s="308"/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8"/>
      <c r="AX43" s="308"/>
      <c r="AY43" s="308"/>
      <c r="AZ43" s="308"/>
      <c r="BA43" s="308"/>
      <c r="BB43" s="308"/>
      <c r="BR43" s="1050"/>
      <c r="BS43" s="1050"/>
      <c r="BT43" s="1050"/>
      <c r="BU43" s="1050"/>
      <c r="BV43" s="1050"/>
      <c r="BW43" s="1050"/>
      <c r="BY43" s="308"/>
      <c r="BZ43" s="308"/>
      <c r="DA43" s="385"/>
      <c r="DB43" s="385"/>
      <c r="DC43" s="385"/>
      <c r="DD43" s="385"/>
      <c r="DE43" s="385"/>
      <c r="DF43" s="385"/>
      <c r="DG43" s="385"/>
      <c r="DH43" s="385"/>
      <c r="DI43" s="385"/>
      <c r="DJ43" s="385"/>
    </row>
    <row r="44" spans="1:130" ht="23.25" customHeight="1" x14ac:dyDescent="0.25">
      <c r="A44" s="1921" t="s">
        <v>95</v>
      </c>
      <c r="B44" s="1806"/>
      <c r="C44" s="690">
        <f>+D44+E44</f>
        <v>0</v>
      </c>
      <c r="D44" s="689">
        <f>+F44+H44+J44+L44+N44</f>
        <v>0</v>
      </c>
      <c r="E44" s="622">
        <f>+G44+I44+K44+M44+O44</f>
        <v>0</v>
      </c>
      <c r="F44" s="633"/>
      <c r="G44" s="634"/>
      <c r="H44" s="633"/>
      <c r="I44" s="634"/>
      <c r="J44" s="636"/>
      <c r="K44" s="634"/>
      <c r="L44" s="636"/>
      <c r="M44" s="634"/>
      <c r="N44" s="636"/>
      <c r="O44" s="635"/>
      <c r="P44" s="637"/>
      <c r="Q44" s="704"/>
      <c r="R44" s="636"/>
      <c r="S44" s="634"/>
      <c r="T44" s="1686" t="str">
        <f>CB44 &amp; CC44 &amp; CD44 &amp; CE44 &amp; CF44 &amp; CG44 &amp; CI44 &amp; CJ44</f>
        <v/>
      </c>
      <c r="U44" s="308"/>
      <c r="V44" s="308"/>
      <c r="W44" s="308"/>
      <c r="X44" s="308"/>
      <c r="Y44" s="308"/>
      <c r="Z44" s="308"/>
      <c r="AA44" s="308"/>
      <c r="AB44" s="308"/>
      <c r="AC44" s="308"/>
      <c r="AD44" s="308"/>
      <c r="AE44" s="308"/>
      <c r="AF44" s="308"/>
      <c r="AG44" s="308"/>
      <c r="AH44" s="308"/>
      <c r="AI44" s="308"/>
      <c r="AJ44" s="308"/>
      <c r="AK44" s="308"/>
      <c r="AL44" s="308"/>
      <c r="AM44" s="308"/>
      <c r="AN44" s="308"/>
      <c r="AO44" s="308"/>
      <c r="AP44" s="308"/>
      <c r="AQ44" s="308"/>
      <c r="AR44" s="308"/>
      <c r="AS44" s="308"/>
      <c r="AT44" s="308"/>
      <c r="AU44" s="308"/>
      <c r="AV44" s="308"/>
      <c r="AW44" s="308"/>
      <c r="AX44" s="308"/>
      <c r="AY44" s="308"/>
      <c r="AZ44" s="308"/>
      <c r="BA44" s="308"/>
      <c r="BB44" s="308"/>
      <c r="BR44" s="1050"/>
      <c r="BS44" s="1050"/>
      <c r="BT44" s="1050"/>
      <c r="BU44" s="1050"/>
      <c r="BV44" s="1050"/>
      <c r="BW44" s="1050"/>
      <c r="BY44" s="308"/>
      <c r="BZ44" s="308"/>
      <c r="CB44" s="381" t="str">
        <f>IF(F44+G44&lt;&gt;F72+G72,"* El Total de niños en control de 60 a 71 meses no debe ser distinto al total del Diagnóstico Nutricional Integrado. ","")</f>
        <v/>
      </c>
      <c r="CC44" s="381" t="str">
        <f>IF(H44+I44&lt;&gt;H72+I72,"* El Total de niñas en control de 6 a 6 años 11 meses no debe ser distinto al total del Diagnóstico Nutricional Integrado. ","")</f>
        <v/>
      </c>
      <c r="CD44" s="381" t="str">
        <f>IF(J44+K44&lt;&gt;J72+K72,"* El Total de niños en control de 7 a 7 años 11 meses no debe ser distinto al total del Diagnóstico Nutricional Integrado. ","")</f>
        <v/>
      </c>
      <c r="CE44" s="381" t="str">
        <f>IF(L44+M44&lt;&gt;L72+M72,"* El Total de niñas en control de 8 a 8 años 11 meses no debe ser distinto al total del Diagnóstico Nutricional Integrado. ","")</f>
        <v/>
      </c>
      <c r="CF44" s="381" t="str">
        <f>IF($C44&gt;=$P44+$Q44,"","* El Total de Pueblos Originarios no debe ser mayor al total de niños en control. ")</f>
        <v/>
      </c>
      <c r="CG44" s="381" t="str">
        <f>IF($C44&gt;=$R44+$S44,"","* El Total de Pueblación Migrantes no debe ser mayor al total de niños en control. ")</f>
        <v/>
      </c>
      <c r="CI44" s="381" t="str">
        <f>IF(AND(D44&lt;&gt;0,P44=""), "* No olvide escribir en la celda de Pueblos Originarios (Digite CERO si no tiene). ",IF(AND(E44&lt;&gt;0,Q44=""), "* No olvide escribir en la celda de Pueblos Originarios (Digite CERO si no tiene). ",""))</f>
        <v/>
      </c>
      <c r="CJ44" s="381" t="str">
        <f>IF(AND(D44&lt;&gt;0,R44=""), "* No olvide escribir en la celda de Población Migrantes (Digite CERO si no tiene). ",IF(AND(E44&lt;&gt;0,S44=""), "* No olvide escribir en la celda de Población Migrantes (Digite CERO si no tiene). ",""))</f>
        <v/>
      </c>
      <c r="DA44" s="391">
        <f>IF(F44&lt;&gt;F72,1,0)</f>
        <v>0</v>
      </c>
      <c r="DB44" s="391">
        <f>IF(G44&lt;&gt;G72,1,0)</f>
        <v>0</v>
      </c>
      <c r="DC44" s="391">
        <f>IF(N44&lt;&gt;N72,1,0)</f>
        <v>0</v>
      </c>
      <c r="DD44" s="391">
        <f>IF(O44&lt;&gt;O72,1,0)</f>
        <v>0</v>
      </c>
      <c r="DE44" s="391">
        <f>IF($C44&gt;=$P44+$Q44,0,1)</f>
        <v>0</v>
      </c>
      <c r="DF44" s="391">
        <f>IF($C44&gt;=$R44+$S44,0,1)</f>
        <v>0</v>
      </c>
      <c r="DG44" s="385"/>
      <c r="DH44" s="391">
        <f>IF(AND(D44&lt;&gt;0,P44=""), 1,IF(AND(E44&lt;&gt;0,Q44=""), 1,0))</f>
        <v>0</v>
      </c>
      <c r="DI44" s="391">
        <f>IF(AND(D44&lt;&gt;0,R44=""), 1,IF(AND(E44&lt;&gt;0,S44=""), 1,0))</f>
        <v>0</v>
      </c>
      <c r="DJ44" s="385"/>
    </row>
    <row r="45" spans="1:130" ht="23.25" customHeight="1" x14ac:dyDescent="0.25">
      <c r="A45" s="1810" t="s">
        <v>378</v>
      </c>
      <c r="B45" s="106" t="s">
        <v>379</v>
      </c>
      <c r="C45" s="656">
        <f>+D45+E45</f>
        <v>0</v>
      </c>
      <c r="D45" s="691">
        <f t="shared" ref="D45:D50" si="29">+F45+H45+J45+L45+N45</f>
        <v>0</v>
      </c>
      <c r="E45" s="692">
        <f t="shared" ref="E45:E47" si="30">+G45+I45+K45+M45+O45</f>
        <v>0</v>
      </c>
      <c r="F45" s="633"/>
      <c r="G45" s="634"/>
      <c r="H45" s="633"/>
      <c r="I45" s="634"/>
      <c r="J45" s="636"/>
      <c r="K45" s="634"/>
      <c r="L45" s="636"/>
      <c r="M45" s="634"/>
      <c r="N45" s="636"/>
      <c r="O45" s="635"/>
      <c r="P45" s="637"/>
      <c r="Q45" s="704"/>
      <c r="R45" s="636"/>
      <c r="S45" s="634"/>
      <c r="T45" s="384" t="str">
        <f>CI45 &amp; CJ45</f>
        <v/>
      </c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8"/>
      <c r="AJ45" s="308"/>
      <c r="AK45" s="308"/>
      <c r="AL45" s="308"/>
      <c r="AM45" s="308"/>
      <c r="AN45" s="308"/>
      <c r="AO45" s="308"/>
      <c r="AP45" s="308"/>
      <c r="AQ45" s="308"/>
      <c r="AR45" s="308"/>
      <c r="AS45" s="308"/>
      <c r="AT45" s="308"/>
      <c r="AU45" s="308"/>
      <c r="AV45" s="308"/>
      <c r="AW45" s="308"/>
      <c r="AX45" s="308"/>
      <c r="AY45" s="308"/>
      <c r="AZ45" s="308"/>
      <c r="BA45" s="308"/>
      <c r="BB45" s="308"/>
      <c r="BR45" s="1050"/>
      <c r="BS45" s="1050"/>
      <c r="BT45" s="1050"/>
      <c r="BU45" s="1050"/>
      <c r="BV45" s="1050"/>
      <c r="BW45" s="1050"/>
      <c r="BY45" s="308"/>
      <c r="BZ45" s="308"/>
      <c r="CI45" s="381" t="str">
        <f>IF(AND(D45&lt;&gt;0,P45=""), "* No olvide escribir en la celda de Pueblos Originarios (Digite CERO si no tiene). ",IF(AND(E45&lt;&gt;0,Q45=""), "* No olvide escribir en la celda de Pueblos Originarios (Digite CERO si no tiene). ",""))</f>
        <v/>
      </c>
      <c r="CJ45" s="381" t="str">
        <f>IF(AND(D45&lt;&gt;0,R45=""), "* No olvide escribir en la celda de Población Migrantes (Digite CERO si no tiene). ",IF(AND(E45&lt;&gt;0,S45=""), "* No olvide escribir en la celda de Población Migrantes (Digite CERO si no tiene). ",""))</f>
        <v/>
      </c>
      <c r="DA45" s="385"/>
      <c r="DB45" s="385"/>
      <c r="DC45" s="385"/>
      <c r="DD45" s="385"/>
      <c r="DE45" s="385"/>
      <c r="DF45" s="385"/>
      <c r="DG45" s="385"/>
      <c r="DH45" s="391">
        <f>IF(AND(D45&lt;&gt;0,P45=""), 1,IF(AND(E45&lt;&gt;0,Q45=""), 1,0))</f>
        <v>0</v>
      </c>
      <c r="DI45" s="391">
        <f>IF(AND(D45&lt;&gt;0,R45=""), 1,IF(AND(E45&lt;&gt;0,S45=""), 1,0))</f>
        <v>0</v>
      </c>
      <c r="DJ45" s="385"/>
    </row>
    <row r="46" spans="1:130" ht="23.25" customHeight="1" x14ac:dyDescent="0.25">
      <c r="A46" s="1811"/>
      <c r="B46" s="107" t="s">
        <v>380</v>
      </c>
      <c r="C46" s="677">
        <f t="shared" ref="C46:C71" si="31">+D46+E46</f>
        <v>0</v>
      </c>
      <c r="D46" s="693">
        <f t="shared" si="29"/>
        <v>0</v>
      </c>
      <c r="E46" s="694">
        <f t="shared" si="30"/>
        <v>0</v>
      </c>
      <c r="F46" s="679"/>
      <c r="G46" s="680"/>
      <c r="H46" s="679"/>
      <c r="I46" s="680"/>
      <c r="J46" s="682"/>
      <c r="K46" s="680"/>
      <c r="L46" s="682"/>
      <c r="M46" s="680"/>
      <c r="N46" s="682"/>
      <c r="O46" s="681"/>
      <c r="P46" s="683"/>
      <c r="Q46" s="705"/>
      <c r="R46" s="682"/>
      <c r="S46" s="680"/>
      <c r="T46" s="384" t="str">
        <f>CI46 &amp; CJ46</f>
        <v/>
      </c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8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  <c r="AX46" s="308"/>
      <c r="AY46" s="308"/>
      <c r="AZ46" s="308"/>
      <c r="BA46" s="308"/>
      <c r="BB46" s="308"/>
      <c r="BR46" s="1050"/>
      <c r="BS46" s="1050"/>
      <c r="BT46" s="1050"/>
      <c r="BU46" s="1050"/>
      <c r="BV46" s="1050"/>
      <c r="BW46" s="1050"/>
      <c r="BY46" s="308"/>
      <c r="BZ46" s="308"/>
      <c r="CI46" s="381" t="str">
        <f>IF(AND(D46&lt;&gt;0,P46=""), "* No olvide escribir en la celda de Pueblos Originarios (Digite CERO si no tiene). ",IF(AND(E46&lt;&gt;0,Q46=""), "* No olvide escribir en la celda de Pueblos Originarios (Digite CERO si no tiene). ",""))</f>
        <v/>
      </c>
      <c r="CJ46" s="381" t="str">
        <f>IF(AND(D46&lt;&gt;0,R46=""), "* No olvide escribir en la celda de Población Migrantes (Digite CERO si no tiene). ",IF(AND(E46&lt;&gt;0,S46=""), "* No olvide escribir en la celda de Población Migrantes (Digite CERO si no tiene). ",""))</f>
        <v/>
      </c>
      <c r="DA46" s="385"/>
      <c r="DB46" s="385"/>
      <c r="DC46" s="385"/>
      <c r="DD46" s="385"/>
      <c r="DE46" s="385"/>
      <c r="DF46" s="385"/>
      <c r="DG46" s="385"/>
      <c r="DH46" s="391">
        <f>IF(AND(D46&lt;&gt;0,P46=""), 1,IF(AND(E46&lt;&gt;0,Q46=""), 1,0))</f>
        <v>0</v>
      </c>
      <c r="DI46" s="391">
        <f>IF(AND(D46&lt;&gt;0,R46=""), 1,IF(AND(E46&lt;&gt;0,S46=""), 1,0))</f>
        <v>0</v>
      </c>
      <c r="DJ46" s="385"/>
    </row>
    <row r="47" spans="1:130" ht="23.25" customHeight="1" x14ac:dyDescent="0.25">
      <c r="A47" s="1811"/>
      <c r="B47" s="108" t="s">
        <v>381</v>
      </c>
      <c r="C47" s="684">
        <f t="shared" si="31"/>
        <v>0</v>
      </c>
      <c r="D47" s="695">
        <f t="shared" si="29"/>
        <v>0</v>
      </c>
      <c r="E47" s="696">
        <f t="shared" si="30"/>
        <v>0</v>
      </c>
      <c r="F47" s="639"/>
      <c r="G47" s="640"/>
      <c r="H47" s="639"/>
      <c r="I47" s="640"/>
      <c r="J47" s="642"/>
      <c r="K47" s="640"/>
      <c r="L47" s="642"/>
      <c r="M47" s="640"/>
      <c r="N47" s="642"/>
      <c r="O47" s="641"/>
      <c r="P47" s="643"/>
      <c r="Q47" s="708"/>
      <c r="R47" s="642"/>
      <c r="S47" s="640"/>
      <c r="T47" s="384" t="str">
        <f>CI47 &amp; CJ47</f>
        <v/>
      </c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8"/>
      <c r="BR47" s="1050"/>
      <c r="BS47" s="1050"/>
      <c r="BT47" s="1050"/>
      <c r="BU47" s="1050"/>
      <c r="BV47" s="1050"/>
      <c r="BW47" s="1050"/>
      <c r="BY47" s="308"/>
      <c r="BZ47" s="308"/>
      <c r="CI47" s="381" t="str">
        <f>IF(AND(D47&lt;&gt;0,P47=""), "* No olvide escribir en la celda de Pueblos Originarios (Digite CERO si no tiene). ",IF(AND(E47&lt;&gt;0,Q47=""), "* No olvide escribir en la celda de Pueblos Originarios (Digite CERO si no tiene). ",""))</f>
        <v/>
      </c>
      <c r="CJ47" s="381" t="str">
        <f>IF(AND(D47&lt;&gt;0,R47=""), "* No olvide escribir en la celda de Población Migrantes (Digite CERO si no tiene). ",IF(AND(E47&lt;&gt;0,S47=""), "* No olvide escribir en la celda de Población Migrantes (Digite CERO si no tiene). ",""))</f>
        <v/>
      </c>
      <c r="DA47" s="385"/>
      <c r="DB47" s="385"/>
      <c r="DC47" s="385"/>
      <c r="DD47" s="385"/>
      <c r="DE47" s="385"/>
      <c r="DF47" s="385"/>
      <c r="DG47" s="385"/>
      <c r="DH47" s="391">
        <f>IF(AND(D47&lt;&gt;0,P47=""), 1,IF(AND(E47&lt;&gt;0,Q47=""), 1,0))</f>
        <v>0</v>
      </c>
      <c r="DI47" s="391">
        <f>IF(AND(D47&lt;&gt;0,R47=""), 1,IF(AND(E47&lt;&gt;0,S47=""), 1,0))</f>
        <v>0</v>
      </c>
      <c r="DJ47" s="385"/>
    </row>
    <row r="48" spans="1:130" ht="23.25" customHeight="1" x14ac:dyDescent="0.25">
      <c r="A48" s="1811"/>
      <c r="B48" s="100" t="s">
        <v>13</v>
      </c>
      <c r="C48" s="658">
        <f t="shared" si="31"/>
        <v>0</v>
      </c>
      <c r="D48" s="646">
        <f>+F48+H48+J48+L48+N48</f>
        <v>0</v>
      </c>
      <c r="E48" s="655">
        <f>+G48+I48+K48+M48+O48</f>
        <v>0</v>
      </c>
      <c r="F48" s="646">
        <f>SUM(F45:F47)</f>
        <v>0</v>
      </c>
      <c r="G48" s="655">
        <f t="shared" ref="G48:O48" si="32">SUM(G45:G47)</f>
        <v>0</v>
      </c>
      <c r="H48" s="646">
        <f t="shared" si="32"/>
        <v>0</v>
      </c>
      <c r="I48" s="647">
        <f t="shared" si="32"/>
        <v>0</v>
      </c>
      <c r="J48" s="1131">
        <f t="shared" si="32"/>
        <v>0</v>
      </c>
      <c r="K48" s="647">
        <f t="shared" si="32"/>
        <v>0</v>
      </c>
      <c r="L48" s="1131">
        <f t="shared" si="32"/>
        <v>0</v>
      </c>
      <c r="M48" s="647">
        <f t="shared" si="32"/>
        <v>0</v>
      </c>
      <c r="N48" s="1131">
        <f t="shared" si="32"/>
        <v>0</v>
      </c>
      <c r="O48" s="688">
        <f t="shared" si="32"/>
        <v>0</v>
      </c>
      <c r="P48" s="650">
        <f t="shared" ref="P48:S48" si="33">SUM(P45:P47)</f>
        <v>0</v>
      </c>
      <c r="Q48" s="1131">
        <f t="shared" si="33"/>
        <v>0</v>
      </c>
      <c r="R48" s="1131">
        <f t="shared" si="33"/>
        <v>0</v>
      </c>
      <c r="S48" s="655">
        <f t="shared" si="33"/>
        <v>0</v>
      </c>
      <c r="T48" s="1686" t="str">
        <f xml:space="preserve"> CF48 &amp; CG48</f>
        <v/>
      </c>
      <c r="U48" s="1050"/>
      <c r="V48" s="1050"/>
      <c r="W48" s="1050"/>
      <c r="X48" s="1050"/>
      <c r="Y48" s="1050"/>
      <c r="Z48" s="1050"/>
      <c r="AA48" s="1050"/>
      <c r="AB48" s="1050"/>
      <c r="AC48" s="1050"/>
      <c r="AD48" s="1050"/>
      <c r="AE48" s="1050"/>
      <c r="AF48" s="1050"/>
      <c r="AG48" s="1050"/>
      <c r="AH48" s="1050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  <c r="AX48" s="308"/>
      <c r="AY48" s="308"/>
      <c r="AZ48" s="308"/>
      <c r="BA48" s="308"/>
      <c r="BB48" s="308"/>
      <c r="BR48" s="1050"/>
      <c r="BS48" s="1050"/>
      <c r="BT48" s="1050"/>
      <c r="BU48" s="1050"/>
      <c r="BV48" s="1050"/>
      <c r="BW48" s="1050"/>
      <c r="BY48" s="308"/>
      <c r="BZ48" s="308"/>
      <c r="CF48" s="381" t="str">
        <f>IF($C48&gt;=$P48+$Q48,"","* El Total de Pueblos Originarios no debe ser mayor al total de niños en control. ")</f>
        <v/>
      </c>
      <c r="CG48" s="381" t="str">
        <f>IF($C48&gt;=$R48+$S48,"","* El Total de Pueblación Migrantes no debe ser mayor al total de niños en control. ")</f>
        <v/>
      </c>
      <c r="DA48" s="385"/>
      <c r="DB48" s="385"/>
      <c r="DC48" s="385"/>
      <c r="DD48" s="385"/>
      <c r="DE48" s="391">
        <f>IF($C48&gt;=$P48+$Q48,0,1)</f>
        <v>0</v>
      </c>
      <c r="DF48" s="391">
        <f>IF($C48&gt;=$R48+$S48,0,1)</f>
        <v>0</v>
      </c>
      <c r="DG48" s="385"/>
      <c r="DH48" s="385"/>
      <c r="DI48" s="385"/>
      <c r="DJ48" s="385"/>
    </row>
    <row r="49" spans="1:114" ht="23.25" customHeight="1" x14ac:dyDescent="0.25">
      <c r="A49" s="1811"/>
      <c r="B49" s="109" t="s">
        <v>382</v>
      </c>
      <c r="C49" s="676">
        <f t="shared" si="31"/>
        <v>0</v>
      </c>
      <c r="D49" s="697">
        <f>+F49+H49+J49+L49+N49</f>
        <v>0</v>
      </c>
      <c r="E49" s="698">
        <f t="shared" ref="E49:E50" si="34">+G49+I49+K49+M49+O49</f>
        <v>0</v>
      </c>
      <c r="F49" s="633"/>
      <c r="G49" s="634"/>
      <c r="H49" s="633"/>
      <c r="I49" s="634"/>
      <c r="J49" s="636"/>
      <c r="K49" s="634"/>
      <c r="L49" s="636"/>
      <c r="M49" s="634"/>
      <c r="N49" s="636"/>
      <c r="O49" s="635"/>
      <c r="P49" s="637"/>
      <c r="Q49" s="704"/>
      <c r="R49" s="636"/>
      <c r="S49" s="634"/>
      <c r="T49" s="384" t="str">
        <f>CI49 &amp; CJ49</f>
        <v/>
      </c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  <c r="AX49" s="308"/>
      <c r="AY49" s="308"/>
      <c r="AZ49" s="308"/>
      <c r="BA49" s="308"/>
      <c r="BB49" s="308"/>
      <c r="BR49" s="1050"/>
      <c r="BS49" s="1050"/>
      <c r="BT49" s="1050"/>
      <c r="BU49" s="1050"/>
      <c r="BV49" s="1050"/>
      <c r="BW49" s="1050"/>
      <c r="BY49" s="308"/>
      <c r="BZ49" s="308"/>
      <c r="CI49" s="381" t="str">
        <f>IF(AND(D49&lt;&gt;0,P49=""), "* No olvide escribir en la celda de Pueblos Originarios (Digite CERO si no tiene). ",IF(AND(E49&lt;&gt;0,Q49=""), "* No olvide escribir en la celda de Pueblos Originarios (Digite CERO si no tiene). ",""))</f>
        <v/>
      </c>
      <c r="CJ49" s="381" t="str">
        <f>IF(AND(D49&lt;&gt;0,R49=""), "* No olvide escribir en la celda de Población Migrantes (Digite CERO si no tiene). ",IF(AND(E49&lt;&gt;0,S49=""), "* No olvide escribir en la celda de Población Migrantes (Digite CERO si no tiene). ",""))</f>
        <v/>
      </c>
      <c r="DA49" s="385"/>
      <c r="DB49" s="385"/>
      <c r="DC49" s="385"/>
      <c r="DD49" s="385"/>
      <c r="DE49" s="385"/>
      <c r="DF49" s="385"/>
      <c r="DG49" s="385"/>
      <c r="DH49" s="391">
        <f>IF(AND(D49&lt;&gt;0,P49=""), 1,IF(AND(E49&lt;&gt;0,Q49=""), 1,0))</f>
        <v>0</v>
      </c>
      <c r="DI49" s="391">
        <f>IF(AND(D49&lt;&gt;0,R49=""), 1,IF(AND(E49&lt;&gt;0,S49=""), 1,0))</f>
        <v>0</v>
      </c>
      <c r="DJ49" s="385"/>
    </row>
    <row r="50" spans="1:114" ht="23.25" customHeight="1" x14ac:dyDescent="0.25">
      <c r="A50" s="1811"/>
      <c r="B50" s="108" t="s">
        <v>383</v>
      </c>
      <c r="C50" s="684">
        <f>+D50+E50</f>
        <v>0</v>
      </c>
      <c r="D50" s="695">
        <f t="shared" si="29"/>
        <v>0</v>
      </c>
      <c r="E50" s="696">
        <f t="shared" si="34"/>
        <v>0</v>
      </c>
      <c r="F50" s="639"/>
      <c r="G50" s="640"/>
      <c r="H50" s="639"/>
      <c r="I50" s="640"/>
      <c r="J50" s="642"/>
      <c r="K50" s="640"/>
      <c r="L50" s="642"/>
      <c r="M50" s="640"/>
      <c r="N50" s="642"/>
      <c r="O50" s="641"/>
      <c r="P50" s="643"/>
      <c r="Q50" s="708"/>
      <c r="R50" s="642"/>
      <c r="S50" s="640"/>
      <c r="T50" s="384" t="str">
        <f>CI50 &amp; CJ50</f>
        <v/>
      </c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308"/>
      <c r="BR50" s="1050"/>
      <c r="BS50" s="1050"/>
      <c r="BT50" s="1050"/>
      <c r="BU50" s="1050"/>
      <c r="BV50" s="1050"/>
      <c r="BW50" s="1050"/>
      <c r="BY50" s="308"/>
      <c r="BZ50" s="308"/>
      <c r="CI50" s="381" t="str">
        <f>IF(AND(D50&lt;&gt;0,P50=""), "* No olvide escribir en la celda de Pueblos Originarios (Digite CERO si no tiene). ",IF(AND(E50&lt;&gt;0,Q50=""), "* No olvide escribir en la celda de Pueblos Originarios (Digite CERO si no tiene). ",""))</f>
        <v/>
      </c>
      <c r="CJ50" s="381" t="str">
        <f>IF(AND(D50&lt;&gt;0,R50=""), "* No olvide escribir en la celda de Población Migrantes (Digite CERO si no tiene). ",IF(AND(E50&lt;&gt;0,S50=""), "* No olvide escribir en la celda de Población Migrantes (Digite CERO si no tiene). ",""))</f>
        <v/>
      </c>
      <c r="DA50" s="385"/>
      <c r="DB50" s="385"/>
      <c r="DC50" s="385"/>
      <c r="DD50" s="385"/>
      <c r="DE50" s="385"/>
      <c r="DF50" s="385"/>
      <c r="DG50" s="385"/>
      <c r="DH50" s="391">
        <f>IF(AND(D50&lt;&gt;0,P50=""), 1,IF(AND(E50&lt;&gt;0,Q50=""), 1,0))</f>
        <v>0</v>
      </c>
      <c r="DI50" s="391">
        <f>IF(AND(D50&lt;&gt;0,R50=""), 1,IF(AND(E50&lt;&gt;0,S50=""), 1,0))</f>
        <v>0</v>
      </c>
      <c r="DJ50" s="385"/>
    </row>
    <row r="51" spans="1:114" ht="23.25" customHeight="1" x14ac:dyDescent="0.25">
      <c r="A51" s="1811"/>
      <c r="B51" s="100" t="s">
        <v>13</v>
      </c>
      <c r="C51" s="658">
        <f t="shared" si="31"/>
        <v>0</v>
      </c>
      <c r="D51" s="646">
        <f>+F51+H51+J51+L51+N51</f>
        <v>0</v>
      </c>
      <c r="E51" s="655">
        <f>+G51+I51+K51+M51+O51</f>
        <v>0</v>
      </c>
      <c r="F51" s="659">
        <f>SUM(F49:F50)</f>
        <v>0</v>
      </c>
      <c r="G51" s="662">
        <f t="shared" ref="G51:O51" si="35">SUM(G49:G50)</f>
        <v>0</v>
      </c>
      <c r="H51" s="659">
        <f t="shared" si="35"/>
        <v>0</v>
      </c>
      <c r="I51" s="662">
        <f t="shared" si="35"/>
        <v>0</v>
      </c>
      <c r="J51" s="1133">
        <f t="shared" si="35"/>
        <v>0</v>
      </c>
      <c r="K51" s="662">
        <f t="shared" si="35"/>
        <v>0</v>
      </c>
      <c r="L51" s="1133">
        <f t="shared" si="35"/>
        <v>0</v>
      </c>
      <c r="M51" s="662">
        <f t="shared" si="35"/>
        <v>0</v>
      </c>
      <c r="N51" s="1133">
        <f t="shared" si="35"/>
        <v>0</v>
      </c>
      <c r="O51" s="661">
        <f t="shared" si="35"/>
        <v>0</v>
      </c>
      <c r="P51" s="665">
        <f t="shared" ref="P51:S51" si="36">SUM(P49:P50)</f>
        <v>0</v>
      </c>
      <c r="Q51" s="1134">
        <f t="shared" si="36"/>
        <v>0</v>
      </c>
      <c r="R51" s="1133">
        <f t="shared" si="36"/>
        <v>0</v>
      </c>
      <c r="S51" s="662">
        <f t="shared" si="36"/>
        <v>0</v>
      </c>
      <c r="T51" s="1686" t="str">
        <f xml:space="preserve"> CF51 &amp; CG51</f>
        <v/>
      </c>
      <c r="U51" s="1050"/>
      <c r="V51" s="1050"/>
      <c r="W51" s="1050"/>
      <c r="X51" s="1050"/>
      <c r="Y51" s="1050"/>
      <c r="Z51" s="1050"/>
      <c r="AA51" s="1050"/>
      <c r="AB51" s="1050"/>
      <c r="AC51" s="1050"/>
      <c r="AD51" s="1050"/>
      <c r="AE51" s="1050"/>
      <c r="AF51" s="1050"/>
      <c r="AG51" s="1050"/>
      <c r="AH51" s="1050"/>
      <c r="AI51" s="308"/>
      <c r="AJ51" s="308"/>
      <c r="AK51" s="308"/>
      <c r="AL51" s="308"/>
      <c r="AM51" s="308"/>
      <c r="AN51" s="308"/>
      <c r="AO51" s="308"/>
      <c r="AP51" s="308"/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  <c r="BB51" s="308"/>
      <c r="BR51" s="1050"/>
      <c r="BS51" s="1050"/>
      <c r="BT51" s="1050"/>
      <c r="BU51" s="1050"/>
      <c r="BV51" s="1050"/>
      <c r="BW51" s="1050"/>
      <c r="BY51" s="308"/>
      <c r="BZ51" s="308"/>
      <c r="CF51" s="381" t="str">
        <f>IF($C51&gt;=$P51+$Q51,"","* El Total de Pueblos Originarios no debe ser mayor al total de niños en control. ")</f>
        <v/>
      </c>
      <c r="CG51" s="381" t="str">
        <f>IF($C51&gt;=$R51+$S51,"","* El Total de Pueblación Migrantes no debe ser mayor al total de niños en control. ")</f>
        <v/>
      </c>
      <c r="DA51" s="385"/>
      <c r="DB51" s="385"/>
      <c r="DC51" s="385"/>
      <c r="DD51" s="385"/>
      <c r="DE51" s="391">
        <f>IF($C51&gt;=$P51+$Q51,0,1)</f>
        <v>0</v>
      </c>
      <c r="DF51" s="391">
        <f>IF($C51&gt;=$R51+$S51,0,1)</f>
        <v>0</v>
      </c>
      <c r="DG51" s="385"/>
      <c r="DH51" s="385"/>
      <c r="DI51" s="385"/>
      <c r="DJ51" s="385"/>
    </row>
    <row r="52" spans="1:114" ht="23.25" customHeight="1" x14ac:dyDescent="0.25">
      <c r="A52" s="1812"/>
      <c r="B52" s="100" t="s">
        <v>384</v>
      </c>
      <c r="C52" s="658">
        <f t="shared" si="31"/>
        <v>0</v>
      </c>
      <c r="D52" s="646">
        <f>+F52+H52+J52+L52+N52</f>
        <v>0</v>
      </c>
      <c r="E52" s="655">
        <f t="shared" ref="E52:E54" si="37">+G52+I52+K52+M52+O52</f>
        <v>0</v>
      </c>
      <c r="F52" s="627"/>
      <c r="G52" s="628"/>
      <c r="H52" s="627"/>
      <c r="I52" s="628"/>
      <c r="J52" s="1136"/>
      <c r="K52" s="628"/>
      <c r="L52" s="1136"/>
      <c r="M52" s="628"/>
      <c r="N52" s="1136"/>
      <c r="O52" s="1201"/>
      <c r="P52" s="1136"/>
      <c r="Q52" s="1138"/>
      <c r="R52" s="1136"/>
      <c r="S52" s="628"/>
      <c r="T52" s="384" t="str">
        <f>CI52 &amp; CJ52</f>
        <v/>
      </c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8"/>
      <c r="AY52" s="308"/>
      <c r="AZ52" s="308"/>
      <c r="BA52" s="308"/>
      <c r="BB52" s="308"/>
      <c r="BR52" s="1050"/>
      <c r="BS52" s="1050"/>
      <c r="BT52" s="1050"/>
      <c r="BU52" s="1050"/>
      <c r="BV52" s="1050"/>
      <c r="BW52" s="1050"/>
      <c r="BY52" s="308"/>
      <c r="BZ52" s="308"/>
      <c r="CI52" s="381" t="str">
        <f>IF(AND(D52&lt;&gt;0,P52=""), "* No olvide escribir en la celda de Pueblos Originarios (Digite CERO si no tiene). ",IF(AND(E52&lt;&gt;0,Q52=""), "* No olvide escribir en la celda de Pueblos Originarios (Digite CERO si no tiene). ",""))</f>
        <v/>
      </c>
      <c r="CJ52" s="381" t="str">
        <f>IF(AND(D52&lt;&gt;0,R52=""), "* No olvide escribir en la celda de Población Migrantes (Digite CERO si no tiene). ",IF(AND(E52&lt;&gt;0,S52=""), "* No olvide escribir en la celda de Población Migrantes (Digite CERO si no tiene). ",""))</f>
        <v/>
      </c>
      <c r="DA52" s="385"/>
      <c r="DB52" s="385"/>
      <c r="DC52" s="385"/>
      <c r="DD52" s="385"/>
      <c r="DE52" s="385"/>
      <c r="DF52" s="385"/>
      <c r="DG52" s="385"/>
      <c r="DH52" s="391">
        <f>IF(AND(D52&lt;&gt;0,P52=""), 1,IF(AND(E52&lt;&gt;0,Q52=""), 1,0))</f>
        <v>0</v>
      </c>
      <c r="DI52" s="391">
        <f>IF(AND(D52&lt;&gt;0,R52=""), 1,IF(AND(E52&lt;&gt;0,S52=""), 1,0))</f>
        <v>0</v>
      </c>
      <c r="DJ52" s="385"/>
    </row>
    <row r="53" spans="1:114" ht="23.25" customHeight="1" x14ac:dyDescent="0.25">
      <c r="A53" s="1909" t="s">
        <v>98</v>
      </c>
      <c r="B53" s="1186" t="s">
        <v>385</v>
      </c>
      <c r="C53" s="1187">
        <f t="shared" si="31"/>
        <v>0</v>
      </c>
      <c r="D53" s="1188">
        <f t="shared" ref="D53:D54" si="38">+F53+H53+J53+L53+N53</f>
        <v>0</v>
      </c>
      <c r="E53" s="1189">
        <f t="shared" si="37"/>
        <v>0</v>
      </c>
      <c r="F53" s="666"/>
      <c r="G53" s="667"/>
      <c r="H53" s="666"/>
      <c r="I53" s="669"/>
      <c r="J53" s="667"/>
      <c r="K53" s="669"/>
      <c r="L53" s="667"/>
      <c r="M53" s="669"/>
      <c r="N53" s="667"/>
      <c r="O53" s="672"/>
      <c r="P53" s="671"/>
      <c r="Q53" s="1130"/>
      <c r="R53" s="1130"/>
      <c r="S53" s="669"/>
      <c r="T53" s="384" t="str">
        <f>CI53 &amp; CJ53</f>
        <v/>
      </c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08"/>
      <c r="BR53" s="1050"/>
      <c r="BS53" s="1050"/>
      <c r="BT53" s="1050"/>
      <c r="BU53" s="1050"/>
      <c r="BV53" s="1050"/>
      <c r="BW53" s="1050"/>
      <c r="BY53" s="308"/>
      <c r="BZ53" s="308"/>
      <c r="CI53" s="381" t="str">
        <f>IF(AND(D53&lt;&gt;0,P53=""), "* No olvide escribir en la celda de Pueblos Originarios (Digite CERO si no tiene). ",IF(AND(E53&lt;&gt;0,Q53=""), "* No olvide escribir en la celda de Pueblos Originarios (Digite CERO si no tiene). ",""))</f>
        <v/>
      </c>
      <c r="CJ53" s="381" t="str">
        <f>IF(AND(D53&lt;&gt;0,R53=""), "* No olvide escribir en la celda de Población Migrantes (Digite CERO si no tiene). ",IF(AND(E53&lt;&gt;0,S53=""), "* No olvide escribir en la celda de Población Migrantes (Digite CERO si no tiene). ",""))</f>
        <v/>
      </c>
      <c r="DA53" s="385"/>
      <c r="DB53" s="385"/>
      <c r="DC53" s="385"/>
      <c r="DD53" s="385"/>
      <c r="DE53" s="385"/>
      <c r="DF53" s="385"/>
      <c r="DG53" s="385"/>
      <c r="DH53" s="391">
        <f>IF(AND(D53&lt;&gt;0,P53=""), 1,IF(AND(E53&lt;&gt;0,Q53=""), 1,0))</f>
        <v>0</v>
      </c>
      <c r="DI53" s="391">
        <f>IF(AND(D53&lt;&gt;0,R53=""), 1,IF(AND(E53&lt;&gt;0,S53=""), 1,0))</f>
        <v>0</v>
      </c>
      <c r="DJ53" s="385"/>
    </row>
    <row r="54" spans="1:114" ht="23.25" customHeight="1" x14ac:dyDescent="0.25">
      <c r="A54" s="1910"/>
      <c r="B54" s="1190" t="s">
        <v>386</v>
      </c>
      <c r="C54" s="1191">
        <f t="shared" si="31"/>
        <v>0</v>
      </c>
      <c r="D54" s="1192">
        <f t="shared" si="38"/>
        <v>0</v>
      </c>
      <c r="E54" s="1193">
        <f t="shared" si="37"/>
        <v>0</v>
      </c>
      <c r="F54" s="639"/>
      <c r="G54" s="642"/>
      <c r="H54" s="639"/>
      <c r="I54" s="640"/>
      <c r="J54" s="642"/>
      <c r="K54" s="640"/>
      <c r="L54" s="642"/>
      <c r="M54" s="640"/>
      <c r="N54" s="642"/>
      <c r="O54" s="644"/>
      <c r="P54" s="643"/>
      <c r="Q54" s="708"/>
      <c r="R54" s="708"/>
      <c r="S54" s="640"/>
      <c r="T54" s="384" t="str">
        <f>CI54 &amp; CJ54</f>
        <v/>
      </c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8"/>
      <c r="AY54" s="308"/>
      <c r="AZ54" s="308"/>
      <c r="BA54" s="308"/>
      <c r="BB54" s="308"/>
      <c r="BR54" s="1050"/>
      <c r="BS54" s="1050"/>
      <c r="BT54" s="1050"/>
      <c r="BU54" s="1050"/>
      <c r="BV54" s="1050"/>
      <c r="BW54" s="1050"/>
      <c r="BY54" s="308"/>
      <c r="BZ54" s="308"/>
      <c r="CI54" s="381" t="str">
        <f>IF(AND(D54&lt;&gt;0,P54=""), "* No olvide escribir en la celda de Pueblos Originarios (Digite CERO si no tiene). ",IF(AND(E54&lt;&gt;0,Q54=""), "* No olvide escribir en la celda de Pueblos Originarios (Digite CERO si no tiene). ",""))</f>
        <v/>
      </c>
      <c r="CJ54" s="381" t="str">
        <f>IF(AND(D54&lt;&gt;0,R54=""), "* No olvide escribir en la celda de Población Migrantes (Digite CERO si no tiene). ",IF(AND(E54&lt;&gt;0,S54=""), "* No olvide escribir en la celda de Población Migrantes (Digite CERO si no tiene). ",""))</f>
        <v/>
      </c>
      <c r="DA54" s="385"/>
      <c r="DB54" s="385"/>
      <c r="DC54" s="385"/>
      <c r="DD54" s="385"/>
      <c r="DE54" s="385"/>
      <c r="DF54" s="385"/>
      <c r="DG54" s="385"/>
      <c r="DH54" s="391">
        <f>IF(AND(D54&lt;&gt;0,P54=""), 1,IF(AND(E54&lt;&gt;0,Q54=""), 1,0))</f>
        <v>0</v>
      </c>
      <c r="DI54" s="391">
        <f>IF(AND(D54&lt;&gt;0,R54=""), 1,IF(AND(E54&lt;&gt;0,S54=""), 1,0))</f>
        <v>0</v>
      </c>
      <c r="DJ54" s="385"/>
    </row>
    <row r="55" spans="1:114" ht="23.25" customHeight="1" x14ac:dyDescent="0.25">
      <c r="A55" s="1910"/>
      <c r="B55" s="1194" t="s">
        <v>13</v>
      </c>
      <c r="C55" s="1195">
        <f t="shared" si="31"/>
        <v>0</v>
      </c>
      <c r="D55" s="659">
        <f>+F55+H55+J55+L55+N55</f>
        <v>0</v>
      </c>
      <c r="E55" s="660">
        <f>+G55+I55+K55+M55+O55</f>
        <v>0</v>
      </c>
      <c r="F55" s="659">
        <f>SUM(F53:F54)</f>
        <v>0</v>
      </c>
      <c r="G55" s="1133">
        <f t="shared" ref="G55:S55" si="39">SUM(G53:G54)</f>
        <v>0</v>
      </c>
      <c r="H55" s="659">
        <f t="shared" ref="H55:I55" si="40">SUM(H53:H54)</f>
        <v>0</v>
      </c>
      <c r="I55" s="662">
        <f t="shared" si="40"/>
        <v>0</v>
      </c>
      <c r="J55" s="1133">
        <f t="shared" ref="J55:K55" si="41">SUM(J53:J54)</f>
        <v>0</v>
      </c>
      <c r="K55" s="662">
        <f t="shared" si="41"/>
        <v>0</v>
      </c>
      <c r="L55" s="1133">
        <f t="shared" ref="L55:M55" si="42">SUM(L53:L54)</f>
        <v>0</v>
      </c>
      <c r="M55" s="662">
        <f t="shared" si="42"/>
        <v>0</v>
      </c>
      <c r="N55" s="1133">
        <f t="shared" si="39"/>
        <v>0</v>
      </c>
      <c r="O55" s="1674">
        <f t="shared" si="39"/>
        <v>0</v>
      </c>
      <c r="P55" s="665">
        <f t="shared" si="39"/>
        <v>0</v>
      </c>
      <c r="Q55" s="1134">
        <f t="shared" si="39"/>
        <v>0</v>
      </c>
      <c r="R55" s="1134">
        <f t="shared" si="39"/>
        <v>0</v>
      </c>
      <c r="S55" s="662">
        <f t="shared" si="39"/>
        <v>0</v>
      </c>
      <c r="T55" s="1686" t="str">
        <f xml:space="preserve"> CF55 &amp; CG55</f>
        <v/>
      </c>
      <c r="U55" s="1050"/>
      <c r="V55" s="1050"/>
      <c r="W55" s="1050"/>
      <c r="X55" s="1050"/>
      <c r="Y55" s="1050"/>
      <c r="Z55" s="1050"/>
      <c r="AA55" s="1050"/>
      <c r="AB55" s="1050"/>
      <c r="AC55" s="1050"/>
      <c r="AD55" s="1050"/>
      <c r="AE55" s="1050"/>
      <c r="AF55" s="1050"/>
      <c r="AG55" s="1050"/>
      <c r="AH55" s="1050"/>
      <c r="AI55" s="308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  <c r="BB55" s="308"/>
      <c r="BR55" s="1050"/>
      <c r="BS55" s="1050"/>
      <c r="BT55" s="1050"/>
      <c r="BU55" s="1050"/>
      <c r="BV55" s="1050"/>
      <c r="BW55" s="1050"/>
      <c r="BY55" s="308"/>
      <c r="BZ55" s="308"/>
      <c r="CF55" s="381" t="str">
        <f>IF($C55&gt;=$P55+$Q55,"","* El Total de Pueblos Originarios no debe ser mayor al total de niños en control. ")</f>
        <v/>
      </c>
      <c r="CG55" s="381" t="str">
        <f>IF($C55&gt;=$R55+$S55,"","* El Total de Pueblación Migrantes no debe ser mayor al total de niños en control. ")</f>
        <v/>
      </c>
      <c r="DA55" s="385"/>
      <c r="DB55" s="385"/>
      <c r="DC55" s="385"/>
      <c r="DD55" s="385"/>
      <c r="DE55" s="391">
        <f>IF($C55&gt;=$P55+$Q55,0,1)</f>
        <v>0</v>
      </c>
      <c r="DF55" s="391">
        <f>IF($C55&gt;=$R55+$S55,0,1)</f>
        <v>0</v>
      </c>
      <c r="DG55" s="385"/>
      <c r="DH55" s="385"/>
      <c r="DI55" s="385"/>
      <c r="DJ55" s="385"/>
    </row>
    <row r="56" spans="1:114" ht="23.25" customHeight="1" x14ac:dyDescent="0.25">
      <c r="A56" s="1910"/>
      <c r="B56" s="1196" t="s">
        <v>387</v>
      </c>
      <c r="C56" s="1187">
        <f t="shared" si="31"/>
        <v>0</v>
      </c>
      <c r="D56" s="1188">
        <f t="shared" ref="D56:D57" si="43">+F56+H56+J56+L56+N56</f>
        <v>0</v>
      </c>
      <c r="E56" s="1189">
        <f t="shared" ref="E56:E57" si="44">+G56+I56+K56+M56+O56</f>
        <v>0</v>
      </c>
      <c r="F56" s="666"/>
      <c r="G56" s="667"/>
      <c r="H56" s="666"/>
      <c r="I56" s="669"/>
      <c r="J56" s="667"/>
      <c r="K56" s="669"/>
      <c r="L56" s="667"/>
      <c r="M56" s="669"/>
      <c r="N56" s="667"/>
      <c r="O56" s="672"/>
      <c r="P56" s="671"/>
      <c r="Q56" s="1130"/>
      <c r="R56" s="1130"/>
      <c r="S56" s="669"/>
      <c r="T56" s="384" t="str">
        <f>CI56 &amp; CJ56</f>
        <v/>
      </c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08"/>
      <c r="BR56" s="1050"/>
      <c r="BS56" s="1050"/>
      <c r="BT56" s="1050"/>
      <c r="BU56" s="1050"/>
      <c r="BV56" s="1050"/>
      <c r="BW56" s="1050"/>
      <c r="BY56" s="308"/>
      <c r="BZ56" s="308"/>
      <c r="CI56" s="381" t="str">
        <f>IF(AND(D56&lt;&gt;0,P56=""), "* No olvide escribir en la celda de Pueblos Originarios (Digite CERO si no tiene). ",IF(AND(E56&lt;&gt;0,Q56=""), "* No olvide escribir en la celda de Pueblos Originarios (Digite CERO si no tiene). ",""))</f>
        <v/>
      </c>
      <c r="CJ56" s="381" t="str">
        <f>IF(AND(D56&lt;&gt;0,R56=""), "* No olvide escribir en la celda de Población Migrantes (Digite CERO si no tiene). ",IF(AND(E56&lt;&gt;0,S56=""), "* No olvide escribir en la celda de Población Migrantes (Digite CERO si no tiene). ",""))</f>
        <v/>
      </c>
      <c r="DA56" s="385"/>
      <c r="DB56" s="385"/>
      <c r="DC56" s="385"/>
      <c r="DD56" s="385"/>
      <c r="DE56" s="385"/>
      <c r="DF56" s="385"/>
      <c r="DG56" s="385"/>
      <c r="DH56" s="391">
        <f>IF(AND(D56&lt;&gt;0,P56=""), 1,IF(AND(E56&lt;&gt;0,Q56=""), 1,0))</f>
        <v>0</v>
      </c>
      <c r="DI56" s="391">
        <f>IF(AND(D56&lt;&gt;0,R56=""), 1,IF(AND(E56&lt;&gt;0,S56=""), 1,0))</f>
        <v>0</v>
      </c>
      <c r="DJ56" s="385"/>
    </row>
    <row r="57" spans="1:114" ht="23.25" customHeight="1" x14ac:dyDescent="0.25">
      <c r="A57" s="1910"/>
      <c r="B57" s="1190" t="s">
        <v>383</v>
      </c>
      <c r="C57" s="1191">
        <f t="shared" si="31"/>
        <v>0</v>
      </c>
      <c r="D57" s="1192">
        <f t="shared" si="43"/>
        <v>0</v>
      </c>
      <c r="E57" s="1193">
        <f t="shared" si="44"/>
        <v>0</v>
      </c>
      <c r="F57" s="639"/>
      <c r="G57" s="642"/>
      <c r="H57" s="639"/>
      <c r="I57" s="640"/>
      <c r="J57" s="642"/>
      <c r="K57" s="640"/>
      <c r="L57" s="642"/>
      <c r="M57" s="640"/>
      <c r="N57" s="642"/>
      <c r="O57" s="644"/>
      <c r="P57" s="643"/>
      <c r="Q57" s="708"/>
      <c r="R57" s="708"/>
      <c r="S57" s="640"/>
      <c r="T57" s="384" t="str">
        <f>CI57 &amp; CJ57</f>
        <v/>
      </c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R57" s="1050"/>
      <c r="BS57" s="1050"/>
      <c r="BT57" s="1050"/>
      <c r="BU57" s="1050"/>
      <c r="BV57" s="1050"/>
      <c r="BW57" s="1050"/>
      <c r="BY57" s="308"/>
      <c r="BZ57" s="308"/>
      <c r="CI57" s="381" t="str">
        <f>IF(AND(D57&lt;&gt;0,P57=""), "* No olvide escribir en la celda de Pueblos Originarios (Digite CERO si no tiene). ",IF(AND(E57&lt;&gt;0,Q57=""), "* No olvide escribir en la celda de Pueblos Originarios (Digite CERO si no tiene). ",""))</f>
        <v/>
      </c>
      <c r="CJ57" s="381" t="str">
        <f>IF(AND(D57&lt;&gt;0,R57=""), "* No olvide escribir en la celda de Población Migrantes (Digite CERO si no tiene). ",IF(AND(E57&lt;&gt;0,S57=""), "* No olvide escribir en la celda de Población Migrantes (Digite CERO si no tiene). ",""))</f>
        <v/>
      </c>
      <c r="DA57" s="385"/>
      <c r="DB57" s="385"/>
      <c r="DC57" s="385"/>
      <c r="DD57" s="385"/>
      <c r="DE57" s="385"/>
      <c r="DF57" s="385"/>
      <c r="DG57" s="385"/>
      <c r="DH57" s="391">
        <f>IF(AND(D57&lt;&gt;0,P57=""), 1,IF(AND(E57&lt;&gt;0,Q57=""), 1,0))</f>
        <v>0</v>
      </c>
      <c r="DI57" s="391">
        <f>IF(AND(D57&lt;&gt;0,R57=""), 1,IF(AND(E57&lt;&gt;0,S57=""), 1,0))</f>
        <v>0</v>
      </c>
      <c r="DJ57" s="385"/>
    </row>
    <row r="58" spans="1:114" ht="23.25" customHeight="1" x14ac:dyDescent="0.25">
      <c r="A58" s="1910"/>
      <c r="B58" s="1194" t="s">
        <v>13</v>
      </c>
      <c r="C58" s="1195">
        <f t="shared" si="31"/>
        <v>0</v>
      </c>
      <c r="D58" s="659">
        <f>+F58+H58+J58+L58+N58</f>
        <v>0</v>
      </c>
      <c r="E58" s="660">
        <f>+G58+I58+K58+M58+O58</f>
        <v>0</v>
      </c>
      <c r="F58" s="659">
        <f>SUM(F56:F57)</f>
        <v>0</v>
      </c>
      <c r="G58" s="1133">
        <f t="shared" ref="G58:S58" si="45">SUM(G56:G57)</f>
        <v>0</v>
      </c>
      <c r="H58" s="659">
        <f t="shared" ref="H58:I58" si="46">SUM(H56:H57)</f>
        <v>0</v>
      </c>
      <c r="I58" s="662">
        <f t="shared" si="46"/>
        <v>0</v>
      </c>
      <c r="J58" s="1133">
        <f t="shared" ref="J58:K58" si="47">SUM(J56:J57)</f>
        <v>0</v>
      </c>
      <c r="K58" s="662">
        <f t="shared" si="47"/>
        <v>0</v>
      </c>
      <c r="L58" s="1133">
        <f t="shared" ref="L58:M58" si="48">SUM(L56:L57)</f>
        <v>0</v>
      </c>
      <c r="M58" s="662">
        <f t="shared" si="48"/>
        <v>0</v>
      </c>
      <c r="N58" s="1133">
        <f t="shared" si="45"/>
        <v>0</v>
      </c>
      <c r="O58" s="1674">
        <f t="shared" si="45"/>
        <v>0</v>
      </c>
      <c r="P58" s="665">
        <f>SUM(P56:P57)</f>
        <v>0</v>
      </c>
      <c r="Q58" s="1134">
        <f t="shared" si="45"/>
        <v>0</v>
      </c>
      <c r="R58" s="1134">
        <f t="shared" si="45"/>
        <v>0</v>
      </c>
      <c r="S58" s="662">
        <f t="shared" si="45"/>
        <v>0</v>
      </c>
      <c r="T58" s="1686" t="str">
        <f xml:space="preserve"> CF58 &amp; CG58</f>
        <v/>
      </c>
      <c r="U58" s="1050"/>
      <c r="V58" s="1050"/>
      <c r="W58" s="1050"/>
      <c r="X58" s="1050"/>
      <c r="Y58" s="1050"/>
      <c r="Z58" s="1050"/>
      <c r="AA58" s="1050"/>
      <c r="AB58" s="1050"/>
      <c r="AC58" s="1050"/>
      <c r="AD58" s="1050"/>
      <c r="AE58" s="1050"/>
      <c r="AF58" s="1050"/>
      <c r="AG58" s="1050"/>
      <c r="AH58" s="1050"/>
      <c r="AI58" s="308"/>
      <c r="AJ58" s="308"/>
      <c r="AK58" s="308"/>
      <c r="AL58" s="308"/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R58" s="1050"/>
      <c r="BS58" s="1050"/>
      <c r="BT58" s="1050"/>
      <c r="BU58" s="1050"/>
      <c r="BV58" s="1050"/>
      <c r="BW58" s="1050"/>
      <c r="BY58" s="308"/>
      <c r="BZ58" s="308"/>
      <c r="CF58" s="381" t="str">
        <f>IF($C58&gt;=$P58+$Q58,"","* El Total de Pueblos Originarios no debe ser mayor al total de niños en control. ")</f>
        <v/>
      </c>
      <c r="CG58" s="381" t="str">
        <f>IF($C58&gt;=$R58+$S58,"","* El Total de Pueblación Migrantes no debe ser mayor al total de niños en control. ")</f>
        <v/>
      </c>
      <c r="DA58" s="385"/>
      <c r="DB58" s="385"/>
      <c r="DC58" s="385"/>
      <c r="DD58" s="385"/>
      <c r="DE58" s="391">
        <f>IF($C58&gt;=$P58+$Q58,0,1)</f>
        <v>0</v>
      </c>
      <c r="DF58" s="391">
        <f>IF($C58&gt;=$R58+$S58,0,1)</f>
        <v>0</v>
      </c>
      <c r="DG58" s="385"/>
      <c r="DH58" s="385"/>
      <c r="DI58" s="385"/>
      <c r="DJ58" s="385"/>
    </row>
    <row r="59" spans="1:114" ht="23.25" customHeight="1" x14ac:dyDescent="0.25">
      <c r="A59" s="1911"/>
      <c r="B59" s="1197" t="s">
        <v>384</v>
      </c>
      <c r="C59" s="1198">
        <f t="shared" si="31"/>
        <v>0</v>
      </c>
      <c r="D59" s="1199">
        <f t="shared" ref="D59:D62" si="49">+F59+H59+J59+L59+N59</f>
        <v>0</v>
      </c>
      <c r="E59" s="1200">
        <f t="shared" ref="E59:E62" si="50">+G59+I59+K59+M59+O59</f>
        <v>0</v>
      </c>
      <c r="F59" s="624"/>
      <c r="G59" s="667"/>
      <c r="H59" s="624"/>
      <c r="I59" s="625"/>
      <c r="J59" s="629"/>
      <c r="K59" s="625"/>
      <c r="L59" s="629"/>
      <c r="M59" s="625"/>
      <c r="N59" s="629"/>
      <c r="O59" s="1202"/>
      <c r="P59" s="675"/>
      <c r="Q59" s="1139"/>
      <c r="R59" s="1139"/>
      <c r="S59" s="625"/>
      <c r="T59" s="384" t="str">
        <f>CI59 &amp; CJ59</f>
        <v/>
      </c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R59" s="1050"/>
      <c r="BS59" s="1050"/>
      <c r="BT59" s="1050"/>
      <c r="BU59" s="1050"/>
      <c r="BV59" s="1050"/>
      <c r="BW59" s="1050"/>
      <c r="BY59" s="308"/>
      <c r="BZ59" s="308"/>
      <c r="CI59" s="381" t="str">
        <f>IF(AND(D59&lt;&gt;0,P59=""), "* No olvide escribir en la celda de Pueblos Originarios (Digite CERO si no tiene). ",IF(AND(E59&lt;&gt;0,Q59=""), "* No olvide escribir en la celda de Pueblos Originarios (Digite CERO si no tiene). ",""))</f>
        <v/>
      </c>
      <c r="CJ59" s="381" t="str">
        <f>IF(AND(D59&lt;&gt;0,R59=""), "* No olvide escribir en la celda de Población Migrantes (Digite CERO si no tiene). ",IF(AND(E59&lt;&gt;0,S59=""), "* No olvide escribir en la celda de Población Migrantes (Digite CERO si no tiene). ",""))</f>
        <v/>
      </c>
      <c r="DA59" s="385"/>
      <c r="DB59" s="385"/>
      <c r="DC59" s="385"/>
      <c r="DD59" s="385"/>
      <c r="DE59" s="385"/>
      <c r="DF59" s="385"/>
      <c r="DG59" s="385"/>
      <c r="DH59" s="391">
        <f>IF(AND(D59&lt;&gt;0,P59=""), 1,IF(AND(E59&lt;&gt;0,Q59=""), 1,0))</f>
        <v>0</v>
      </c>
      <c r="DI59" s="391">
        <f>IF(AND(D59&lt;&gt;0,R59=""), 1,IF(AND(E59&lt;&gt;0,S59=""), 1,0))</f>
        <v>0</v>
      </c>
      <c r="DJ59" s="385"/>
    </row>
    <row r="60" spans="1:114" ht="23.25" customHeight="1" x14ac:dyDescent="0.25">
      <c r="A60" s="1912" t="s">
        <v>388</v>
      </c>
      <c r="B60" s="101" t="s">
        <v>389</v>
      </c>
      <c r="C60" s="676">
        <f t="shared" si="31"/>
        <v>0</v>
      </c>
      <c r="D60" s="697">
        <f t="shared" si="49"/>
        <v>0</v>
      </c>
      <c r="E60" s="698">
        <f t="shared" si="50"/>
        <v>0</v>
      </c>
      <c r="F60" s="633"/>
      <c r="G60" s="634"/>
      <c r="H60" s="633"/>
      <c r="I60" s="634"/>
      <c r="J60" s="636"/>
      <c r="K60" s="634"/>
      <c r="L60" s="636"/>
      <c r="M60" s="634"/>
      <c r="N60" s="636"/>
      <c r="O60" s="635"/>
      <c r="P60" s="637"/>
      <c r="Q60" s="704"/>
      <c r="R60" s="636"/>
      <c r="S60" s="634"/>
      <c r="T60" s="384" t="str">
        <f>CI60 &amp; CJ60</f>
        <v/>
      </c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R60" s="1050"/>
      <c r="BS60" s="1050"/>
      <c r="BT60" s="1050"/>
      <c r="BU60" s="1050"/>
      <c r="BV60" s="1050"/>
      <c r="BW60" s="1050"/>
      <c r="BY60" s="308"/>
      <c r="BZ60" s="308"/>
      <c r="CI60" s="381" t="str">
        <f>IF(AND(D60&lt;&gt;0,P60=""), "* No olvide escribir en la celda de Pueblos Originarios (Digite CERO si no tiene). ",IF(AND(E60&lt;&gt;0,Q60=""), "* No olvide escribir en la celda de Pueblos Originarios (Digite CERO si no tiene). ",""))</f>
        <v/>
      </c>
      <c r="CJ60" s="381" t="str">
        <f>IF(AND(D60&lt;&gt;0,R60=""), "* No olvide escribir en la celda de Población Migrantes (Digite CERO si no tiene). ",IF(AND(E60&lt;&gt;0,S60=""), "* No olvide escribir en la celda de Población Migrantes (Digite CERO si no tiene). ",""))</f>
        <v/>
      </c>
      <c r="DA60" s="385"/>
      <c r="DB60" s="385"/>
      <c r="DC60" s="385"/>
      <c r="DD60" s="385"/>
      <c r="DE60" s="385"/>
      <c r="DF60" s="385"/>
      <c r="DG60" s="385"/>
      <c r="DH60" s="391">
        <f>IF(AND(D60&lt;&gt;0,P60=""), 1,IF(AND(E60&lt;&gt;0,Q60=""), 1,0))</f>
        <v>0</v>
      </c>
      <c r="DI60" s="391">
        <f>IF(AND(D60&lt;&gt;0,R60=""), 1,IF(AND(E60&lt;&gt;0,S60=""), 1,0))</f>
        <v>0</v>
      </c>
      <c r="DJ60" s="385"/>
    </row>
    <row r="61" spans="1:114" ht="23.25" customHeight="1" x14ac:dyDescent="0.25">
      <c r="A61" s="1913"/>
      <c r="B61" s="96" t="s">
        <v>390</v>
      </c>
      <c r="C61" s="677">
        <f t="shared" si="31"/>
        <v>0</v>
      </c>
      <c r="D61" s="693">
        <f t="shared" si="49"/>
        <v>0</v>
      </c>
      <c r="E61" s="694">
        <f t="shared" si="50"/>
        <v>0</v>
      </c>
      <c r="F61" s="679"/>
      <c r="G61" s="680"/>
      <c r="H61" s="679"/>
      <c r="I61" s="680"/>
      <c r="J61" s="682"/>
      <c r="K61" s="680"/>
      <c r="L61" s="682"/>
      <c r="M61" s="680"/>
      <c r="N61" s="682"/>
      <c r="O61" s="681"/>
      <c r="P61" s="683"/>
      <c r="Q61" s="705"/>
      <c r="R61" s="682"/>
      <c r="S61" s="680"/>
      <c r="T61" s="384" t="str">
        <f>CI61 &amp; CJ61</f>
        <v/>
      </c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R61" s="1050"/>
      <c r="BS61" s="1050"/>
      <c r="BT61" s="1050"/>
      <c r="BU61" s="1050"/>
      <c r="BV61" s="1050"/>
      <c r="BW61" s="1050"/>
      <c r="BY61" s="308"/>
      <c r="BZ61" s="308"/>
      <c r="CI61" s="381" t="str">
        <f>IF(AND(D61&lt;&gt;0,P61=""), "* No olvide escribir en la celda de Pueblos Originarios (Digite CERO si no tiene). ",IF(AND(E61&lt;&gt;0,Q61=""), "* No olvide escribir en la celda de Pueblos Originarios (Digite CERO si no tiene). ",""))</f>
        <v/>
      </c>
      <c r="CJ61" s="381" t="str">
        <f>IF(AND(D61&lt;&gt;0,R61=""), "* No olvide escribir en la celda de Población Migrantes (Digite CERO si no tiene). ",IF(AND(E61&lt;&gt;0,S61=""), "* No olvide escribir en la celda de Población Migrantes (Digite CERO si no tiene). ",""))</f>
        <v/>
      </c>
      <c r="DA61" s="385"/>
      <c r="DB61" s="385"/>
      <c r="DC61" s="385"/>
      <c r="DD61" s="385"/>
      <c r="DE61" s="385"/>
      <c r="DF61" s="385"/>
      <c r="DG61" s="385"/>
      <c r="DH61" s="391">
        <f>IF(AND(D61&lt;&gt;0,P61=""), 1,IF(AND(E61&lt;&gt;0,Q61=""), 1,0))</f>
        <v>0</v>
      </c>
      <c r="DI61" s="391">
        <f>IF(AND(D61&lt;&gt;0,R61=""), 1,IF(AND(E61&lt;&gt;0,S61=""), 1,0))</f>
        <v>0</v>
      </c>
      <c r="DJ61" s="385"/>
    </row>
    <row r="62" spans="1:114" ht="23.25" customHeight="1" x14ac:dyDescent="0.25">
      <c r="A62" s="1913"/>
      <c r="B62" s="97" t="s">
        <v>391</v>
      </c>
      <c r="C62" s="684">
        <f t="shared" si="31"/>
        <v>0</v>
      </c>
      <c r="D62" s="695">
        <f t="shared" si="49"/>
        <v>0</v>
      </c>
      <c r="E62" s="696">
        <f t="shared" si="50"/>
        <v>0</v>
      </c>
      <c r="F62" s="639"/>
      <c r="G62" s="640"/>
      <c r="H62" s="639"/>
      <c r="I62" s="640"/>
      <c r="J62" s="642"/>
      <c r="K62" s="640"/>
      <c r="L62" s="642"/>
      <c r="M62" s="640"/>
      <c r="N62" s="642"/>
      <c r="O62" s="641"/>
      <c r="P62" s="643"/>
      <c r="Q62" s="708"/>
      <c r="R62" s="642"/>
      <c r="S62" s="640"/>
      <c r="T62" s="384" t="str">
        <f>CI62 &amp; CJ62</f>
        <v/>
      </c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08"/>
      <c r="AZ62" s="308"/>
      <c r="BA62" s="308"/>
      <c r="BB62" s="308"/>
      <c r="BR62" s="1050"/>
      <c r="BS62" s="1050"/>
      <c r="BT62" s="1050"/>
      <c r="BU62" s="1050"/>
      <c r="BV62" s="1050"/>
      <c r="BW62" s="1050"/>
      <c r="BY62" s="308"/>
      <c r="BZ62" s="308"/>
      <c r="CI62" s="381" t="str">
        <f>IF(AND(D62&lt;&gt;0,P62=""), "* No olvide escribir en la celda de Pueblos Originarios (Digite CERO si no tiene). ",IF(AND(E62&lt;&gt;0,Q62=""), "* No olvide escribir en la celda de Pueblos Originarios (Digite CERO si no tiene). ",""))</f>
        <v/>
      </c>
      <c r="CJ62" s="381" t="str">
        <f>IF(AND(D62&lt;&gt;0,R62=""), "* No olvide escribir en la celda de Población Migrantes (Digite CERO si no tiene). ",IF(AND(E62&lt;&gt;0,S62=""), "* No olvide escribir en la celda de Población Migrantes (Digite CERO si no tiene). ",""))</f>
        <v/>
      </c>
      <c r="DA62" s="385"/>
      <c r="DB62" s="385"/>
      <c r="DC62" s="385"/>
      <c r="DD62" s="385"/>
      <c r="DE62" s="385"/>
      <c r="DF62" s="385"/>
      <c r="DG62" s="385"/>
      <c r="DH62" s="391">
        <f>IF(AND(D62&lt;&gt;0,P62=""), 1,IF(AND(E62&lt;&gt;0,Q62=""), 1,0))</f>
        <v>0</v>
      </c>
      <c r="DI62" s="391">
        <f>IF(AND(D62&lt;&gt;0,R62=""), 1,IF(AND(E62&lt;&gt;0,S62=""), 1,0))</f>
        <v>0</v>
      </c>
      <c r="DJ62" s="385"/>
    </row>
    <row r="63" spans="1:114" ht="23.25" customHeight="1" x14ac:dyDescent="0.25">
      <c r="A63" s="1914"/>
      <c r="B63" s="99" t="s">
        <v>13</v>
      </c>
      <c r="C63" s="658">
        <f>+D63+E63</f>
        <v>0</v>
      </c>
      <c r="D63" s="646">
        <f>+F63+H63+J63+L63+N63</f>
        <v>0</v>
      </c>
      <c r="E63" s="655">
        <f>+G63+I63+K63+M63+O63</f>
        <v>0</v>
      </c>
      <c r="F63" s="659">
        <f>SUM(F60:F62)</f>
        <v>0</v>
      </c>
      <c r="G63" s="662">
        <f t="shared" ref="G63:R63" si="51">SUM(G60:G62)</f>
        <v>0</v>
      </c>
      <c r="H63" s="659">
        <f t="shared" ref="H63:I63" si="52">SUM(H60:H62)</f>
        <v>0</v>
      </c>
      <c r="I63" s="662">
        <f t="shared" si="52"/>
        <v>0</v>
      </c>
      <c r="J63" s="1133">
        <f t="shared" ref="J63:K63" si="53">SUM(J60:J62)</f>
        <v>0</v>
      </c>
      <c r="K63" s="662">
        <f t="shared" si="53"/>
        <v>0</v>
      </c>
      <c r="L63" s="1133">
        <f t="shared" ref="L63:M63" si="54">SUM(L60:L62)</f>
        <v>0</v>
      </c>
      <c r="M63" s="662">
        <f t="shared" si="54"/>
        <v>0</v>
      </c>
      <c r="N63" s="1133">
        <f t="shared" si="51"/>
        <v>0</v>
      </c>
      <c r="O63" s="661">
        <f t="shared" si="51"/>
        <v>0</v>
      </c>
      <c r="P63" s="665">
        <f>SUM(P60:P62)</f>
        <v>0</v>
      </c>
      <c r="Q63" s="1134">
        <f t="shared" si="51"/>
        <v>0</v>
      </c>
      <c r="R63" s="1133">
        <f t="shared" si="51"/>
        <v>0</v>
      </c>
      <c r="S63" s="662">
        <f>SUM(S60:S62)</f>
        <v>0</v>
      </c>
      <c r="T63" s="1686" t="str">
        <f xml:space="preserve"> CF63 &amp; CG63</f>
        <v/>
      </c>
      <c r="U63" s="308"/>
      <c r="V63" s="1050"/>
      <c r="W63" s="1050"/>
      <c r="X63" s="1050"/>
      <c r="Y63" s="1050"/>
      <c r="Z63" s="1050"/>
      <c r="AA63" s="1050"/>
      <c r="AB63" s="1050"/>
      <c r="AC63" s="1050"/>
      <c r="AD63" s="1050"/>
      <c r="AE63" s="1050"/>
      <c r="AF63" s="1050"/>
      <c r="AG63" s="1050"/>
      <c r="AH63" s="1050"/>
      <c r="AI63" s="1050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08"/>
      <c r="AZ63" s="308"/>
      <c r="BA63" s="308"/>
      <c r="BB63" s="308"/>
      <c r="BR63" s="1050"/>
      <c r="BS63" s="1050"/>
      <c r="BT63" s="1050"/>
      <c r="BU63" s="1050"/>
      <c r="BV63" s="1050"/>
      <c r="BW63" s="1050"/>
      <c r="BY63" s="308"/>
      <c r="BZ63" s="308"/>
      <c r="CF63" s="381" t="str">
        <f>IF($C63&gt;=$P63+$Q63,"","* El Total de Pueblos Originarios no debe ser mayor al total de niños en control. ")</f>
        <v/>
      </c>
      <c r="CG63" s="381" t="str">
        <f>IF($C63&gt;=$R63+$S63,"","* El Total de Pueblación Migrantes no debe ser mayor al total de niños en control. ")</f>
        <v/>
      </c>
      <c r="DA63" s="385"/>
      <c r="DB63" s="385"/>
      <c r="DC63" s="385"/>
      <c r="DD63" s="385"/>
      <c r="DE63" s="391">
        <f>IF($C63&gt;=$P63+$Q63,0,1)</f>
        <v>0</v>
      </c>
      <c r="DF63" s="391">
        <f>IF($C63&gt;=$R63+$S63,0,1)</f>
        <v>0</v>
      </c>
      <c r="DG63" s="385"/>
      <c r="DH63" s="385"/>
      <c r="DI63" s="385"/>
      <c r="DJ63" s="385"/>
    </row>
    <row r="64" spans="1:114" ht="22.5" customHeight="1" x14ac:dyDescent="0.25">
      <c r="A64" s="1926" t="s">
        <v>99</v>
      </c>
      <c r="B64" s="101" t="s">
        <v>392</v>
      </c>
      <c r="C64" s="676">
        <f t="shared" si="31"/>
        <v>0</v>
      </c>
      <c r="D64" s="697">
        <f t="shared" ref="D64:D69" si="55">+F64+H64+J64+L64+N64</f>
        <v>0</v>
      </c>
      <c r="E64" s="698">
        <f t="shared" ref="E64:E68" si="56">+G64+I64+K64+M64+O64</f>
        <v>0</v>
      </c>
      <c r="F64" s="633"/>
      <c r="G64" s="634"/>
      <c r="H64" s="633"/>
      <c r="I64" s="634"/>
      <c r="J64" s="636"/>
      <c r="K64" s="634"/>
      <c r="L64" s="636"/>
      <c r="M64" s="634"/>
      <c r="N64" s="636"/>
      <c r="O64" s="635"/>
      <c r="P64" s="637"/>
      <c r="Q64" s="704"/>
      <c r="R64" s="636"/>
      <c r="S64" s="634"/>
      <c r="T64" s="384" t="str">
        <f t="shared" ref="T64:T69" si="57">CI64 &amp; CJ64</f>
        <v/>
      </c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308"/>
      <c r="AU64" s="308"/>
      <c r="AV64" s="308"/>
      <c r="AW64" s="308"/>
      <c r="AX64" s="308"/>
      <c r="AY64" s="308"/>
      <c r="AZ64" s="308"/>
      <c r="BA64" s="308"/>
      <c r="BB64" s="308"/>
      <c r="BR64" s="1050"/>
      <c r="BS64" s="1050"/>
      <c r="BT64" s="1050"/>
      <c r="BU64" s="1050"/>
      <c r="BV64" s="1050"/>
      <c r="BW64" s="1050"/>
      <c r="BY64" s="308"/>
      <c r="BZ64" s="308"/>
      <c r="CI64" s="381" t="str">
        <f t="shared" ref="CI64:CI69" si="58">IF(AND(D64&lt;&gt;0,P64=""), "* No olvide escribir en la celda de Pueblos Originarios (Digite CERO si no tiene). ",IF(AND(E64&lt;&gt;0,Q64=""), "* No olvide escribir en la celda de Pueblos Originarios (Digite CERO si no tiene). ",""))</f>
        <v/>
      </c>
      <c r="CJ64" s="381" t="str">
        <f t="shared" ref="CJ64:CJ69" si="59">IF(AND(D64&lt;&gt;0,R64=""), "* No olvide escribir en la celda de Población Migrantes (Digite CERO si no tiene). ",IF(AND(E64&lt;&gt;0,S64=""), "* No olvide escribir en la celda de Población Migrantes (Digite CERO si no tiene). ",""))</f>
        <v/>
      </c>
      <c r="DA64" s="385"/>
      <c r="DB64" s="385"/>
      <c r="DC64" s="385"/>
      <c r="DD64" s="385"/>
      <c r="DE64" s="385"/>
      <c r="DF64" s="385"/>
      <c r="DG64" s="385"/>
      <c r="DH64" s="391">
        <f t="shared" ref="DH64:DH69" si="60">IF(AND(D64&lt;&gt;0,P64=""), 1,IF(AND(E64&lt;&gt;0,Q64=""), 1,0))</f>
        <v>0</v>
      </c>
      <c r="DI64" s="391">
        <f t="shared" ref="DI64:DI69" si="61">IF(AND(D64&lt;&gt;0,R64=""), 1,IF(AND(E64&lt;&gt;0,S64=""), 1,0))</f>
        <v>0</v>
      </c>
      <c r="DJ64" s="385"/>
    </row>
    <row r="65" spans="1:114" ht="22.5" customHeight="1" x14ac:dyDescent="0.25">
      <c r="A65" s="1927"/>
      <c r="B65" s="96" t="s">
        <v>100</v>
      </c>
      <c r="C65" s="677">
        <f t="shared" si="31"/>
        <v>0</v>
      </c>
      <c r="D65" s="693">
        <f t="shared" si="55"/>
        <v>0</v>
      </c>
      <c r="E65" s="694">
        <f t="shared" si="56"/>
        <v>0</v>
      </c>
      <c r="F65" s="679"/>
      <c r="G65" s="680"/>
      <c r="H65" s="679"/>
      <c r="I65" s="680"/>
      <c r="J65" s="682"/>
      <c r="K65" s="680"/>
      <c r="L65" s="682"/>
      <c r="M65" s="680"/>
      <c r="N65" s="682"/>
      <c r="O65" s="681"/>
      <c r="P65" s="683"/>
      <c r="Q65" s="705"/>
      <c r="R65" s="682"/>
      <c r="S65" s="680"/>
      <c r="T65" s="384" t="str">
        <f t="shared" si="57"/>
        <v/>
      </c>
      <c r="U65" s="308"/>
      <c r="V65" s="308"/>
      <c r="W65" s="308"/>
      <c r="X65" s="308"/>
      <c r="Y65" s="308"/>
      <c r="Z65" s="308"/>
      <c r="AA65" s="308"/>
      <c r="AB65" s="308"/>
      <c r="AC65" s="308"/>
      <c r="AD65" s="308"/>
      <c r="AE65" s="308"/>
      <c r="AF65" s="308"/>
      <c r="AG65" s="308"/>
      <c r="AH65" s="308"/>
      <c r="AI65" s="308"/>
      <c r="AJ65" s="308"/>
      <c r="AK65" s="308"/>
      <c r="AL65" s="308"/>
      <c r="AM65" s="308"/>
      <c r="AN65" s="308"/>
      <c r="AO65" s="308"/>
      <c r="AP65" s="308"/>
      <c r="AQ65" s="308"/>
      <c r="AR65" s="308"/>
      <c r="AS65" s="308"/>
      <c r="AT65" s="308"/>
      <c r="AU65" s="308"/>
      <c r="AV65" s="308"/>
      <c r="AW65" s="308"/>
      <c r="AX65" s="308"/>
      <c r="AY65" s="308"/>
      <c r="AZ65" s="308"/>
      <c r="BA65" s="308"/>
      <c r="BB65" s="308"/>
      <c r="BR65" s="1050"/>
      <c r="BS65" s="1050"/>
      <c r="BT65" s="1050"/>
      <c r="BU65" s="1050"/>
      <c r="BV65" s="1050"/>
      <c r="BW65" s="1050"/>
      <c r="BY65" s="308"/>
      <c r="BZ65" s="308"/>
      <c r="CI65" s="381" t="str">
        <f t="shared" si="58"/>
        <v/>
      </c>
      <c r="CJ65" s="381" t="str">
        <f t="shared" si="59"/>
        <v/>
      </c>
      <c r="DA65" s="385"/>
      <c r="DB65" s="385"/>
      <c r="DC65" s="385"/>
      <c r="DD65" s="385"/>
      <c r="DE65" s="385"/>
      <c r="DF65" s="385"/>
      <c r="DG65" s="385"/>
      <c r="DH65" s="391">
        <f t="shared" si="60"/>
        <v>0</v>
      </c>
      <c r="DI65" s="391">
        <f t="shared" si="61"/>
        <v>0</v>
      </c>
      <c r="DJ65" s="385"/>
    </row>
    <row r="66" spans="1:114" ht="22.5" customHeight="1" x14ac:dyDescent="0.25">
      <c r="A66" s="1927"/>
      <c r="B66" s="96" t="s">
        <v>371</v>
      </c>
      <c r="C66" s="677">
        <f t="shared" si="31"/>
        <v>0</v>
      </c>
      <c r="D66" s="693">
        <f t="shared" si="55"/>
        <v>0</v>
      </c>
      <c r="E66" s="694">
        <f t="shared" si="56"/>
        <v>0</v>
      </c>
      <c r="F66" s="679"/>
      <c r="G66" s="680"/>
      <c r="H66" s="679"/>
      <c r="I66" s="680"/>
      <c r="J66" s="682"/>
      <c r="K66" s="680"/>
      <c r="L66" s="682"/>
      <c r="M66" s="680"/>
      <c r="N66" s="682"/>
      <c r="O66" s="681"/>
      <c r="P66" s="683"/>
      <c r="Q66" s="705"/>
      <c r="R66" s="682"/>
      <c r="S66" s="680"/>
      <c r="T66" s="384" t="str">
        <f t="shared" si="57"/>
        <v/>
      </c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8"/>
      <c r="AK66" s="308"/>
      <c r="AL66" s="308"/>
      <c r="AM66" s="308"/>
      <c r="AN66" s="308"/>
      <c r="AO66" s="308"/>
      <c r="AP66" s="308"/>
      <c r="AQ66" s="308"/>
      <c r="AR66" s="308"/>
      <c r="AS66" s="308"/>
      <c r="AT66" s="308"/>
      <c r="AU66" s="308"/>
      <c r="AV66" s="308"/>
      <c r="AW66" s="308"/>
      <c r="AX66" s="308"/>
      <c r="AY66" s="308"/>
      <c r="AZ66" s="308"/>
      <c r="BA66" s="308"/>
      <c r="BB66" s="308"/>
      <c r="BR66" s="1050"/>
      <c r="BS66" s="1050"/>
      <c r="BT66" s="1050"/>
      <c r="BU66" s="1050"/>
      <c r="BV66" s="1050"/>
      <c r="BW66" s="1050"/>
      <c r="BY66" s="308"/>
      <c r="BZ66" s="308"/>
      <c r="CI66" s="381" t="str">
        <f t="shared" si="58"/>
        <v/>
      </c>
      <c r="CJ66" s="381" t="str">
        <f t="shared" si="59"/>
        <v/>
      </c>
      <c r="DA66" s="385"/>
      <c r="DB66" s="385"/>
      <c r="DC66" s="385"/>
      <c r="DD66" s="385"/>
      <c r="DE66" s="385"/>
      <c r="DF66" s="385"/>
      <c r="DG66" s="385"/>
      <c r="DH66" s="391">
        <f t="shared" si="60"/>
        <v>0</v>
      </c>
      <c r="DI66" s="391">
        <f t="shared" si="61"/>
        <v>0</v>
      </c>
      <c r="DJ66" s="385"/>
    </row>
    <row r="67" spans="1:114" ht="22.5" customHeight="1" x14ac:dyDescent="0.25">
      <c r="A67" s="1927"/>
      <c r="B67" s="96" t="s">
        <v>101</v>
      </c>
      <c r="C67" s="677">
        <f t="shared" si="31"/>
        <v>0</v>
      </c>
      <c r="D67" s="693">
        <f t="shared" si="55"/>
        <v>0</v>
      </c>
      <c r="E67" s="694">
        <f t="shared" si="56"/>
        <v>0</v>
      </c>
      <c r="F67" s="679"/>
      <c r="G67" s="680"/>
      <c r="H67" s="679"/>
      <c r="I67" s="680"/>
      <c r="J67" s="682"/>
      <c r="K67" s="680"/>
      <c r="L67" s="682"/>
      <c r="M67" s="680"/>
      <c r="N67" s="682"/>
      <c r="O67" s="681"/>
      <c r="P67" s="683"/>
      <c r="Q67" s="705"/>
      <c r="R67" s="682"/>
      <c r="S67" s="680"/>
      <c r="T67" s="384" t="str">
        <f t="shared" si="57"/>
        <v/>
      </c>
      <c r="U67" s="308"/>
      <c r="V67" s="308"/>
      <c r="W67" s="308"/>
      <c r="X67" s="308"/>
      <c r="Y67" s="308"/>
      <c r="Z67" s="308"/>
      <c r="AA67" s="308"/>
      <c r="AB67" s="308"/>
      <c r="AC67" s="308"/>
      <c r="AD67" s="308"/>
      <c r="AE67" s="308"/>
      <c r="AF67" s="308"/>
      <c r="AG67" s="308"/>
      <c r="AH67" s="308"/>
      <c r="AI67" s="308"/>
      <c r="AJ67" s="308"/>
      <c r="AK67" s="308"/>
      <c r="AL67" s="308"/>
      <c r="AM67" s="308"/>
      <c r="AN67" s="308"/>
      <c r="AO67" s="308"/>
      <c r="AP67" s="308"/>
      <c r="AQ67" s="308"/>
      <c r="AR67" s="308"/>
      <c r="AS67" s="308"/>
      <c r="AT67" s="308"/>
      <c r="AU67" s="308"/>
      <c r="AV67" s="308"/>
      <c r="AW67" s="308"/>
      <c r="AX67" s="308"/>
      <c r="AY67" s="308"/>
      <c r="AZ67" s="308"/>
      <c r="BA67" s="308"/>
      <c r="BB67" s="308"/>
      <c r="BR67" s="1050"/>
      <c r="BS67" s="1050"/>
      <c r="BT67" s="1050"/>
      <c r="BU67" s="1050"/>
      <c r="BV67" s="1050"/>
      <c r="BW67" s="1050"/>
      <c r="BY67" s="308"/>
      <c r="BZ67" s="308"/>
      <c r="CI67" s="381" t="str">
        <f t="shared" si="58"/>
        <v/>
      </c>
      <c r="CJ67" s="381" t="str">
        <f t="shared" si="59"/>
        <v/>
      </c>
      <c r="DA67" s="385"/>
      <c r="DB67" s="385"/>
      <c r="DC67" s="385"/>
      <c r="DD67" s="385"/>
      <c r="DE67" s="385"/>
      <c r="DF67" s="385"/>
      <c r="DG67" s="385"/>
      <c r="DH67" s="391">
        <f t="shared" si="60"/>
        <v>0</v>
      </c>
      <c r="DI67" s="391">
        <f t="shared" si="61"/>
        <v>0</v>
      </c>
      <c r="DJ67" s="385"/>
    </row>
    <row r="68" spans="1:114" ht="22.5" customHeight="1" x14ac:dyDescent="0.25">
      <c r="A68" s="1927"/>
      <c r="B68" s="96" t="s">
        <v>393</v>
      </c>
      <c r="C68" s="677">
        <f t="shared" si="31"/>
        <v>0</v>
      </c>
      <c r="D68" s="693">
        <f t="shared" si="55"/>
        <v>0</v>
      </c>
      <c r="E68" s="694">
        <f t="shared" si="56"/>
        <v>0</v>
      </c>
      <c r="F68" s="679"/>
      <c r="G68" s="680"/>
      <c r="H68" s="679"/>
      <c r="I68" s="680"/>
      <c r="J68" s="682"/>
      <c r="K68" s="680"/>
      <c r="L68" s="682"/>
      <c r="M68" s="680"/>
      <c r="N68" s="682"/>
      <c r="O68" s="681"/>
      <c r="P68" s="683"/>
      <c r="Q68" s="705"/>
      <c r="R68" s="682"/>
      <c r="S68" s="680"/>
      <c r="T68" s="384" t="str">
        <f t="shared" si="57"/>
        <v/>
      </c>
      <c r="U68" s="308"/>
      <c r="V68" s="308"/>
      <c r="W68" s="308"/>
      <c r="X68" s="308"/>
      <c r="Y68" s="308"/>
      <c r="Z68" s="308"/>
      <c r="AA68" s="308"/>
      <c r="AB68" s="308"/>
      <c r="AC68" s="308"/>
      <c r="AD68" s="308"/>
      <c r="AE68" s="308"/>
      <c r="AF68" s="308"/>
      <c r="AG68" s="308"/>
      <c r="AH68" s="308"/>
      <c r="AI68" s="308"/>
      <c r="AJ68" s="308"/>
      <c r="AK68" s="308"/>
      <c r="AL68" s="308"/>
      <c r="AM68" s="308"/>
      <c r="AN68" s="308"/>
      <c r="AO68" s="308"/>
      <c r="AP68" s="308"/>
      <c r="AQ68" s="308"/>
      <c r="AR68" s="308"/>
      <c r="AS68" s="308"/>
      <c r="AT68" s="308"/>
      <c r="AU68" s="308"/>
      <c r="AV68" s="308"/>
      <c r="AW68" s="308"/>
      <c r="AX68" s="308"/>
      <c r="AY68" s="308"/>
      <c r="AZ68" s="308"/>
      <c r="BA68" s="308"/>
      <c r="BB68" s="308"/>
      <c r="BR68" s="1050"/>
      <c r="BS68" s="1050"/>
      <c r="BT68" s="1050"/>
      <c r="BU68" s="1050"/>
      <c r="BV68" s="1050"/>
      <c r="BW68" s="1050"/>
      <c r="BY68" s="308"/>
      <c r="BZ68" s="308"/>
      <c r="CI68" s="381" t="str">
        <f t="shared" si="58"/>
        <v/>
      </c>
      <c r="CJ68" s="381" t="str">
        <f t="shared" si="59"/>
        <v/>
      </c>
      <c r="DA68" s="385"/>
      <c r="DB68" s="385"/>
      <c r="DC68" s="385"/>
      <c r="DD68" s="385"/>
      <c r="DE68" s="385"/>
      <c r="DF68" s="385"/>
      <c r="DG68" s="385"/>
      <c r="DH68" s="391">
        <f t="shared" si="60"/>
        <v>0</v>
      </c>
      <c r="DI68" s="391">
        <f t="shared" si="61"/>
        <v>0</v>
      </c>
      <c r="DJ68" s="385"/>
    </row>
    <row r="69" spans="1:114" ht="22.5" customHeight="1" x14ac:dyDescent="0.25">
      <c r="A69" s="1927"/>
      <c r="B69" s="97" t="s">
        <v>51</v>
      </c>
      <c r="C69" s="684">
        <f t="shared" si="31"/>
        <v>0</v>
      </c>
      <c r="D69" s="695">
        <f t="shared" si="55"/>
        <v>0</v>
      </c>
      <c r="E69" s="696">
        <f>+G69+I69+K69+M69+O69</f>
        <v>0</v>
      </c>
      <c r="F69" s="639"/>
      <c r="G69" s="640"/>
      <c r="H69" s="639"/>
      <c r="I69" s="640"/>
      <c r="J69" s="642"/>
      <c r="K69" s="640"/>
      <c r="L69" s="642"/>
      <c r="M69" s="640"/>
      <c r="N69" s="642"/>
      <c r="O69" s="641"/>
      <c r="P69" s="643"/>
      <c r="Q69" s="708"/>
      <c r="R69" s="642"/>
      <c r="S69" s="640"/>
      <c r="T69" s="384" t="str">
        <f t="shared" si="57"/>
        <v/>
      </c>
      <c r="U69" s="308"/>
      <c r="V69" s="308"/>
      <c r="W69" s="308"/>
      <c r="X69" s="308"/>
      <c r="Y69" s="308"/>
      <c r="Z69" s="308"/>
      <c r="AA69" s="308"/>
      <c r="AB69" s="308"/>
      <c r="AC69" s="308"/>
      <c r="AD69" s="308"/>
      <c r="AE69" s="308"/>
      <c r="AF69" s="308"/>
      <c r="AG69" s="308"/>
      <c r="AH69" s="308"/>
      <c r="AI69" s="308"/>
      <c r="AJ69" s="308"/>
      <c r="AK69" s="308"/>
      <c r="AL69" s="308"/>
      <c r="AM69" s="308"/>
      <c r="AN69" s="308"/>
      <c r="AO69" s="308"/>
      <c r="AP69" s="308"/>
      <c r="AQ69" s="308"/>
      <c r="AR69" s="308"/>
      <c r="AS69" s="308"/>
      <c r="AT69" s="308"/>
      <c r="AU69" s="308"/>
      <c r="AV69" s="308"/>
      <c r="AW69" s="308"/>
      <c r="AX69" s="308"/>
      <c r="AY69" s="308"/>
      <c r="AZ69" s="308"/>
      <c r="BA69" s="308"/>
      <c r="BB69" s="308"/>
      <c r="BR69" s="1050"/>
      <c r="BS69" s="1050"/>
      <c r="BT69" s="1050"/>
      <c r="BU69" s="1050"/>
      <c r="BV69" s="1050"/>
      <c r="BW69" s="1050"/>
      <c r="BY69" s="308"/>
      <c r="BZ69" s="308"/>
      <c r="CI69" s="381" t="str">
        <f t="shared" si="58"/>
        <v/>
      </c>
      <c r="CJ69" s="381" t="str">
        <f t="shared" si="59"/>
        <v/>
      </c>
      <c r="DA69" s="385"/>
      <c r="DB69" s="385"/>
      <c r="DC69" s="385"/>
      <c r="DD69" s="385"/>
      <c r="DE69" s="385"/>
      <c r="DF69" s="385"/>
      <c r="DG69" s="385"/>
      <c r="DH69" s="391">
        <f t="shared" si="60"/>
        <v>0</v>
      </c>
      <c r="DI69" s="391">
        <f t="shared" si="61"/>
        <v>0</v>
      </c>
      <c r="DJ69" s="385"/>
    </row>
    <row r="70" spans="1:114" ht="22.5" customHeight="1" x14ac:dyDescent="0.25">
      <c r="A70" s="1927"/>
      <c r="B70" s="99" t="s">
        <v>102</v>
      </c>
      <c r="C70" s="687">
        <f>+D70+E70</f>
        <v>0</v>
      </c>
      <c r="D70" s="700">
        <f>+F70+H70+J70+L70+N70</f>
        <v>0</v>
      </c>
      <c r="E70" s="655">
        <f>+G70+I70+K70+M70+O70</f>
        <v>0</v>
      </c>
      <c r="F70" s="659">
        <f>SUM(F64:F69)</f>
        <v>0</v>
      </c>
      <c r="G70" s="662">
        <f t="shared" ref="G70:S70" si="62">SUM(G64:G69)</f>
        <v>0</v>
      </c>
      <c r="H70" s="659">
        <f t="shared" ref="H70:I70" si="63">SUM(H64:H69)</f>
        <v>0</v>
      </c>
      <c r="I70" s="662">
        <f t="shared" si="63"/>
        <v>0</v>
      </c>
      <c r="J70" s="1133">
        <f t="shared" ref="J70:K70" si="64">SUM(J64:J69)</f>
        <v>0</v>
      </c>
      <c r="K70" s="662">
        <f t="shared" si="64"/>
        <v>0</v>
      </c>
      <c r="L70" s="1133">
        <f t="shared" ref="L70:M70" si="65">SUM(L64:L69)</f>
        <v>0</v>
      </c>
      <c r="M70" s="662">
        <f t="shared" si="65"/>
        <v>0</v>
      </c>
      <c r="N70" s="1133">
        <f t="shared" si="62"/>
        <v>0</v>
      </c>
      <c r="O70" s="661">
        <f t="shared" si="62"/>
        <v>0</v>
      </c>
      <c r="P70" s="665">
        <f t="shared" si="62"/>
        <v>0</v>
      </c>
      <c r="Q70" s="1134">
        <f t="shared" si="62"/>
        <v>0</v>
      </c>
      <c r="R70" s="1133">
        <f t="shared" si="62"/>
        <v>0</v>
      </c>
      <c r="S70" s="662">
        <f t="shared" si="62"/>
        <v>0</v>
      </c>
      <c r="T70" s="1686" t="str">
        <f xml:space="preserve"> CF70 &amp; CG70</f>
        <v/>
      </c>
      <c r="U70" s="308"/>
      <c r="V70" s="1050"/>
      <c r="W70" s="1050"/>
      <c r="X70" s="1050"/>
      <c r="Y70" s="1050"/>
      <c r="Z70" s="1050"/>
      <c r="AA70" s="1050"/>
      <c r="AB70" s="1050"/>
      <c r="AC70" s="1050"/>
      <c r="AD70" s="1050"/>
      <c r="AE70" s="1050"/>
      <c r="AF70" s="1050"/>
      <c r="AG70" s="1050"/>
      <c r="AH70" s="1050"/>
      <c r="AI70" s="1050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308"/>
      <c r="BR70" s="1050"/>
      <c r="BS70" s="1050"/>
      <c r="BT70" s="1050"/>
      <c r="BU70" s="1050"/>
      <c r="BV70" s="1050"/>
      <c r="BW70" s="1050"/>
      <c r="BY70" s="308"/>
      <c r="BZ70" s="308"/>
      <c r="CF70" s="381" t="str">
        <f>IF($C70&gt;=$P70+$Q70,"","* El Total de Pueblos Originarios no debe ser mayor al total de niños en control. ")</f>
        <v/>
      </c>
      <c r="CG70" s="381" t="str">
        <f>IF($C70&gt;=$R70+$S70,"","* El Total de Pueblación Migrantes no debe ser mayor al total de niños en control. ")</f>
        <v/>
      </c>
      <c r="DA70" s="385"/>
      <c r="DB70" s="385"/>
      <c r="DC70" s="385"/>
      <c r="DD70" s="385"/>
      <c r="DE70" s="391">
        <f>IF($C70&gt;=$P70+$Q70,0,1)</f>
        <v>0</v>
      </c>
      <c r="DF70" s="391">
        <f>IF($C70&gt;=$R70+$S70,0,1)</f>
        <v>0</v>
      </c>
      <c r="DG70" s="385"/>
      <c r="DH70" s="385"/>
      <c r="DI70" s="385"/>
      <c r="DJ70" s="385"/>
    </row>
    <row r="71" spans="1:114" ht="22.5" customHeight="1" x14ac:dyDescent="0.25">
      <c r="A71" s="1927"/>
      <c r="B71" s="1294" t="s">
        <v>103</v>
      </c>
      <c r="C71" s="1295">
        <f t="shared" si="31"/>
        <v>0</v>
      </c>
      <c r="D71" s="700">
        <f>+F71+H71+J71+L71+N71</f>
        <v>0</v>
      </c>
      <c r="E71" s="1217">
        <f>+G71+I71+K71+M71+O71</f>
        <v>0</v>
      </c>
      <c r="F71" s="627"/>
      <c r="G71" s="628"/>
      <c r="H71" s="627"/>
      <c r="I71" s="628"/>
      <c r="J71" s="1136"/>
      <c r="K71" s="628"/>
      <c r="L71" s="1136"/>
      <c r="M71" s="628"/>
      <c r="N71" s="1136"/>
      <c r="O71" s="630"/>
      <c r="P71" s="631"/>
      <c r="Q71" s="1138"/>
      <c r="R71" s="1136"/>
      <c r="S71" s="628"/>
      <c r="T71" s="384" t="str">
        <f>CI71 &amp; CJ71</f>
        <v/>
      </c>
      <c r="U71" s="308"/>
      <c r="V71" s="308"/>
      <c r="W71" s="308"/>
      <c r="X71" s="308"/>
      <c r="Y71" s="308"/>
      <c r="Z71" s="308"/>
      <c r="AA71" s="308"/>
      <c r="AB71" s="308"/>
      <c r="AC71" s="308"/>
      <c r="AD71" s="308"/>
      <c r="AE71" s="308"/>
      <c r="AF71" s="308"/>
      <c r="AG71" s="308"/>
      <c r="AH71" s="308"/>
      <c r="AI71" s="308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  <c r="BB71" s="308"/>
      <c r="BR71" s="1050"/>
      <c r="BS71" s="1050"/>
      <c r="BT71" s="1050"/>
      <c r="BU71" s="1050"/>
      <c r="BV71" s="1050"/>
      <c r="BW71" s="1050"/>
      <c r="BY71" s="308"/>
      <c r="BZ71" s="308"/>
      <c r="CI71" s="381" t="str">
        <f>IF(AND(D71&lt;&gt;0,P71=""), "* No olvide escribir en la celda de Pueblos Originarios (Digite CERO si no tiene). ",IF(AND(E71&lt;&gt;0,Q71=""), "* No olvide escribir en la celda de Pueblos Originarios (Digite CERO si no tiene). ",""))</f>
        <v/>
      </c>
      <c r="CJ71" s="381" t="str">
        <f>IF(AND(D71&lt;&gt;0,R71=""), "* No olvide escribir en la celda de Población Migrantes (Digite CERO si no tiene). ",IF(AND(E71&lt;&gt;0,S71=""), "* No olvide escribir en la celda de Población Migrantes (Digite CERO si no tiene). ",""))</f>
        <v/>
      </c>
      <c r="DA71" s="385"/>
      <c r="DB71" s="385"/>
      <c r="DC71" s="385"/>
      <c r="DD71" s="385"/>
      <c r="DE71" s="385"/>
      <c r="DF71" s="385"/>
      <c r="DG71" s="385"/>
      <c r="DH71" s="391">
        <f>IF(AND(D71&lt;&gt;0,P71=""), 1,IF(AND(E71&lt;&gt;0,Q71=""), 1,0))</f>
        <v>0</v>
      </c>
      <c r="DI71" s="391">
        <f>IF(AND(D71&lt;&gt;0,R71=""), 1,IF(AND(E71&lt;&gt;0,S71=""), 1,0))</f>
        <v>0</v>
      </c>
      <c r="DJ71" s="385"/>
    </row>
    <row r="72" spans="1:114" ht="22.5" customHeight="1" x14ac:dyDescent="0.25">
      <c r="A72" s="1928"/>
      <c r="B72" s="99" t="s">
        <v>104</v>
      </c>
      <c r="C72" s="658">
        <f>SUM(D72:E72)</f>
        <v>0</v>
      </c>
      <c r="D72" s="646">
        <f t="shared" ref="D72:S72" si="66">SUM(D64:D69)+D71</f>
        <v>0</v>
      </c>
      <c r="E72" s="655">
        <f t="shared" si="66"/>
        <v>0</v>
      </c>
      <c r="F72" s="659">
        <f t="shared" si="66"/>
        <v>0</v>
      </c>
      <c r="G72" s="662">
        <f t="shared" si="66"/>
        <v>0</v>
      </c>
      <c r="H72" s="659">
        <f t="shared" si="66"/>
        <v>0</v>
      </c>
      <c r="I72" s="662">
        <f t="shared" si="66"/>
        <v>0</v>
      </c>
      <c r="J72" s="1133">
        <f t="shared" si="66"/>
        <v>0</v>
      </c>
      <c r="K72" s="662">
        <f t="shared" si="66"/>
        <v>0</v>
      </c>
      <c r="L72" s="1133">
        <f t="shared" si="66"/>
        <v>0</v>
      </c>
      <c r="M72" s="662">
        <f t="shared" si="66"/>
        <v>0</v>
      </c>
      <c r="N72" s="1133">
        <f t="shared" si="66"/>
        <v>0</v>
      </c>
      <c r="O72" s="661">
        <f t="shared" si="66"/>
        <v>0</v>
      </c>
      <c r="P72" s="665">
        <f t="shared" si="66"/>
        <v>0</v>
      </c>
      <c r="Q72" s="1134">
        <f t="shared" si="66"/>
        <v>0</v>
      </c>
      <c r="R72" s="1133">
        <f t="shared" si="66"/>
        <v>0</v>
      </c>
      <c r="S72" s="662">
        <f t="shared" si="66"/>
        <v>0</v>
      </c>
      <c r="T72" s="1686" t="str">
        <f xml:space="preserve"> CF72 &amp; CG72</f>
        <v/>
      </c>
      <c r="U72" s="308"/>
      <c r="V72" s="1050"/>
      <c r="W72" s="1050"/>
      <c r="X72" s="1050"/>
      <c r="Y72" s="1050"/>
      <c r="Z72" s="1050"/>
      <c r="AA72" s="1050"/>
      <c r="AB72" s="1050"/>
      <c r="AC72" s="1050"/>
      <c r="AD72" s="1050"/>
      <c r="AE72" s="1050"/>
      <c r="AF72" s="1050"/>
      <c r="AG72" s="1050"/>
      <c r="AH72" s="1050"/>
      <c r="AI72" s="1050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  <c r="BB72" s="308"/>
      <c r="BR72" s="1050"/>
      <c r="BS72" s="1050"/>
      <c r="BT72" s="1050"/>
      <c r="BU72" s="1050"/>
      <c r="BV72" s="1050"/>
      <c r="BW72" s="1050"/>
      <c r="BY72" s="308"/>
      <c r="BZ72" s="308"/>
      <c r="CF72" s="381" t="str">
        <f>IF($C72&gt;=$P72+$Q72,"","* El Total de Pueblos Originarios no debe ser mayor al total de niños en control. ")</f>
        <v/>
      </c>
      <c r="CG72" s="381" t="str">
        <f>IF($C72&gt;=$R72+$S72,"","* El Total de Pueblación Migrantes no debe ser mayor al total de niños en control. ")</f>
        <v/>
      </c>
      <c r="DA72" s="385"/>
      <c r="DB72" s="385"/>
      <c r="DC72" s="385"/>
      <c r="DD72" s="385"/>
      <c r="DE72" s="391">
        <f>IF($C72&gt;=$P72+$Q72,0,1)</f>
        <v>0</v>
      </c>
      <c r="DF72" s="391">
        <f>IF($C72&gt;=$R72+$S72,0,1)</f>
        <v>0</v>
      </c>
      <c r="DG72" s="385"/>
      <c r="DH72" s="385"/>
      <c r="DI72" s="385"/>
      <c r="DJ72" s="385"/>
    </row>
    <row r="73" spans="1:114" ht="31.15" customHeight="1" x14ac:dyDescent="0.25">
      <c r="A73" s="1932" t="s">
        <v>815</v>
      </c>
      <c r="B73" s="1933"/>
      <c r="C73" s="1344">
        <f>SUM(D73:E73)</f>
        <v>0</v>
      </c>
      <c r="D73" s="700">
        <f>+F73+H73+J73+L73+N73</f>
        <v>0</v>
      </c>
      <c r="E73" s="655">
        <f>+G73+I73+K73+M73+O73</f>
        <v>0</v>
      </c>
      <c r="F73" s="627"/>
      <c r="G73" s="628"/>
      <c r="H73" s="627"/>
      <c r="I73" s="628"/>
      <c r="J73" s="674"/>
      <c r="K73" s="628"/>
      <c r="L73" s="674"/>
      <c r="M73" s="628"/>
      <c r="N73" s="674"/>
      <c r="O73" s="630"/>
      <c r="P73" s="631"/>
      <c r="Q73" s="1138"/>
      <c r="R73" s="674"/>
      <c r="S73" s="628"/>
      <c r="T73" s="384" t="str">
        <f>CF73&amp;CG73&amp;CI73&amp;CJ73</f>
        <v/>
      </c>
      <c r="U73" s="308"/>
      <c r="V73" s="308"/>
      <c r="W73" s="308"/>
      <c r="X73" s="308"/>
      <c r="Y73" s="308"/>
      <c r="Z73" s="308"/>
      <c r="AA73" s="308"/>
      <c r="AB73" s="308"/>
      <c r="AC73" s="308"/>
      <c r="AD73" s="308"/>
      <c r="AE73" s="308"/>
      <c r="AF73" s="308"/>
      <c r="AG73" s="308"/>
      <c r="AH73" s="308"/>
      <c r="AI73" s="308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  <c r="BB73" s="308"/>
      <c r="BR73" s="1050"/>
      <c r="BS73" s="1050"/>
      <c r="BT73" s="1050"/>
      <c r="BU73" s="1050"/>
      <c r="BV73" s="1050"/>
      <c r="BW73" s="1050"/>
      <c r="BY73" s="308"/>
      <c r="BZ73" s="308"/>
      <c r="CF73" s="381" t="str">
        <f>IF($C73&gt;=$P73+$Q73,"","* El Total de Pueblos Originarios no debe ser mayor al total de niños en control. ")</f>
        <v/>
      </c>
      <c r="CG73" s="381" t="str">
        <f>IF($C73&gt;=$R73+$S73,"","* El Total de Pueblación Migrantes no debe ser mayor al total de niños en control. ")</f>
        <v/>
      </c>
      <c r="CI73" s="381" t="str">
        <f>IF(AND(D73&lt;&gt;0,P73=""), "* No olvide escribir en la celda de Pueblos Originarios (Digite CERO si no tiene). ",IF(AND(E73&lt;&gt;0,Q73=""), "* No olvide escribir en la celda de Pueblos Originarios (Digite CERO si no tiene). ",""))</f>
        <v/>
      </c>
      <c r="CJ73" s="381" t="str">
        <f>IF(AND(D73&lt;&gt;0,R73=""), "* No olvide escribir en la celda de Población Migrantes (Digite CERO si no tiene). ",IF(AND(E73&lt;&gt;0,S73=""), "* No olvide escribir en la celda de Población Migrantes (Digite CERO si no tiene). ",""))</f>
        <v/>
      </c>
      <c r="DA73" s="385"/>
      <c r="DB73" s="385"/>
      <c r="DC73" s="385"/>
      <c r="DD73" s="385"/>
      <c r="DE73" s="391">
        <f>IF($C73&gt;=$P73+$Q73,0,1)</f>
        <v>0</v>
      </c>
      <c r="DF73" s="391">
        <f>IF($C73&gt;=$R73+$S73,0,1)</f>
        <v>0</v>
      </c>
      <c r="DG73" s="385"/>
      <c r="DH73" s="391">
        <f>IF(AND(D73&lt;&gt;0,P73=""), 1,IF(AND(E73&lt;&gt;0,Q73=""), 1,0))</f>
        <v>0</v>
      </c>
      <c r="DI73" s="391">
        <f>IF(AND(D73&lt;&gt;0,R73=""), 1,IF(AND(E73&lt;&gt;0,S73=""), 1,0))</f>
        <v>0</v>
      </c>
      <c r="DJ73" s="385"/>
    </row>
    <row r="74" spans="1:114" ht="15.75" customHeight="1" x14ac:dyDescent="0.25">
      <c r="A74" s="1900" t="s">
        <v>396</v>
      </c>
      <c r="B74" s="1900"/>
      <c r="C74" s="1900"/>
      <c r="D74" s="1900"/>
      <c r="E74" s="1900"/>
      <c r="F74" s="1900"/>
      <c r="G74" s="1900"/>
      <c r="H74" s="1900"/>
      <c r="I74" s="1900"/>
      <c r="J74" s="1900"/>
      <c r="K74" s="1900"/>
      <c r="L74" s="1900"/>
      <c r="M74" s="1900"/>
      <c r="N74" s="1900"/>
      <c r="O74" s="1900"/>
      <c r="P74" s="1900"/>
      <c r="Q74" s="1900"/>
      <c r="R74" s="1900"/>
      <c r="S74" s="1900"/>
      <c r="T74" s="1900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BS74" s="308"/>
      <c r="BT74" s="308"/>
      <c r="BU74" s="308"/>
      <c r="CA74" s="464"/>
      <c r="DA74" s="385"/>
      <c r="DB74" s="385"/>
      <c r="DC74" s="385"/>
      <c r="DD74" s="385"/>
      <c r="DE74" s="385"/>
      <c r="DF74" s="385"/>
      <c r="DG74" s="385"/>
      <c r="DH74" s="385"/>
      <c r="DI74" s="385"/>
      <c r="DJ74" s="385"/>
    </row>
    <row r="75" spans="1:114" ht="24" customHeight="1" x14ac:dyDescent="0.25">
      <c r="A75" s="471" t="s">
        <v>359</v>
      </c>
      <c r="B75" s="465"/>
      <c r="C75" s="465"/>
      <c r="D75" s="465"/>
      <c r="E75" s="465"/>
      <c r="F75" s="56"/>
      <c r="G75" s="110"/>
      <c r="K75" s="458"/>
      <c r="L75" s="458"/>
      <c r="M75" s="458"/>
      <c r="N75" s="458"/>
      <c r="BS75" s="308"/>
      <c r="BT75" s="308"/>
      <c r="BU75" s="308"/>
      <c r="DA75" s="385"/>
      <c r="DB75" s="385"/>
      <c r="DC75" s="385"/>
      <c r="DD75" s="385"/>
      <c r="DE75" s="385"/>
      <c r="DF75" s="385"/>
      <c r="DG75" s="385"/>
      <c r="DH75" s="385"/>
      <c r="DI75" s="385"/>
      <c r="DJ75" s="385"/>
    </row>
    <row r="76" spans="1:114" ht="50.45" customHeight="1" x14ac:dyDescent="0.25">
      <c r="A76" s="1783" t="s">
        <v>105</v>
      </c>
      <c r="B76" s="1715"/>
      <c r="C76" s="394" t="s">
        <v>13</v>
      </c>
      <c r="D76" s="61" t="s">
        <v>31</v>
      </c>
      <c r="E76" s="220" t="s">
        <v>94</v>
      </c>
      <c r="F76" s="1442" t="s">
        <v>15</v>
      </c>
      <c r="G76" s="218" t="s">
        <v>689</v>
      </c>
      <c r="J76" s="111"/>
      <c r="K76" s="111"/>
      <c r="L76" s="111"/>
      <c r="M76" s="112"/>
      <c r="N76" s="112"/>
      <c r="AV76" s="1050"/>
      <c r="BQ76" s="180"/>
      <c r="BR76" s="308"/>
      <c r="BS76" s="308"/>
      <c r="BT76" s="308"/>
      <c r="DA76" s="385"/>
      <c r="DB76" s="385"/>
      <c r="DC76" s="385"/>
      <c r="DD76" s="385"/>
      <c r="DE76" s="385"/>
      <c r="DF76" s="385"/>
      <c r="DG76" s="385"/>
      <c r="DH76" s="385"/>
      <c r="DI76" s="385"/>
      <c r="DJ76" s="385"/>
    </row>
    <row r="77" spans="1:114" ht="15.75" customHeight="1" x14ac:dyDescent="0.25">
      <c r="A77" s="1902" t="s">
        <v>51</v>
      </c>
      <c r="B77" s="113" t="s">
        <v>108</v>
      </c>
      <c r="C77" s="547">
        <f>SUM(D77:E77)</f>
        <v>0</v>
      </c>
      <c r="D77" s="619"/>
      <c r="E77" s="1296"/>
      <c r="F77" s="564"/>
      <c r="G77" s="620"/>
      <c r="H77" s="384" t="str">
        <f>CF77&amp;CG77&amp;CH77&amp;CI77&amp;CJ77&amp;CK77</f>
        <v/>
      </c>
      <c r="I77" s="1050"/>
      <c r="J77" s="1050"/>
      <c r="K77" s="1050"/>
      <c r="L77" s="1050"/>
      <c r="M77" s="1050"/>
      <c r="N77" s="1050"/>
      <c r="O77" s="1050"/>
      <c r="P77" s="1050"/>
      <c r="Q77" s="1050"/>
      <c r="R77" s="1050"/>
      <c r="S77" s="1050"/>
      <c r="U77" s="1050"/>
      <c r="V77" s="1050"/>
      <c r="W77" s="308"/>
      <c r="X77" s="308"/>
      <c r="AV77" s="1050"/>
      <c r="BQ77" s="180"/>
      <c r="BR77" s="308"/>
      <c r="BS77" s="308"/>
      <c r="BT77" s="308"/>
      <c r="CF77" s="381" t="str">
        <f>IF(SUM(F11,H11,J11,L11,N11,P11,R11,T11)&lt;SUM(D77,D83,D89,D95),"* La suma de Población Masculina Menor de 12 meses según resultado de Evaluación no puede ser mayor que la Población Masculina bajo control de la sección A. ","")</f>
        <v/>
      </c>
      <c r="CG77" s="381" t="str">
        <f>IF(SUM(G11,I11,K11,M11,O11,Q11,S11,U11)&lt;SUM(E77,E83,E89,E95),"* La suma de Población Femenina Menor de 12 meses según resultado de Evaluación no puede ser mayor que la Población Femenina bajo control de la sección A. ","")</f>
        <v/>
      </c>
      <c r="CH77" s="381" t="str">
        <f>IF(F77&gt;$C77," * El Total de Pueblos Originarios no puede ser mayor que el Total según sexo. ","")</f>
        <v/>
      </c>
      <c r="CI77" s="381" t="str">
        <f>IF(G77&gt;$C77," * El Total según Población Migrante no puede ser mayor que el Total según sexo. ","")</f>
        <v/>
      </c>
      <c r="CJ77" s="381" t="str">
        <f>IF(AND($C77&lt;&gt;0,F77=""),"* No olvide ingresar el total según Pueblos Originarios (Digite 0 si no tiene). ","")</f>
        <v/>
      </c>
      <c r="CK77" s="381" t="str">
        <f>IF(AND($C77&lt;&gt;0,G77=""),"* No olvide ingresar el total según Pueblos Originarios (Digite 0 si no tiene). ","")</f>
        <v/>
      </c>
      <c r="DA77" s="385"/>
      <c r="DB77" s="385"/>
      <c r="DC77" s="385"/>
      <c r="DD77" s="385"/>
      <c r="DE77" s="391">
        <f>IF(SUM(F11,H11,J11,L11,N11,P11,R11,T11)&lt;SUM(D77,D83,D89,D95),1,0)</f>
        <v>0</v>
      </c>
      <c r="DF77" s="391">
        <f>IF(SUM(G11,I11,K11,M11,O11,Q11,S11,U11)&lt;SUM(E77,E83,E89,E95),1,0)</f>
        <v>0</v>
      </c>
      <c r="DG77" s="391">
        <f>IF(F77&gt;$C77,1,0)</f>
        <v>0</v>
      </c>
      <c r="DH77" s="391">
        <f>IF(G77&gt;$C77,1,0)</f>
        <v>0</v>
      </c>
      <c r="DI77" s="391">
        <f>IF(AND($C77&lt;&gt;0,F77=""),1,0)</f>
        <v>0</v>
      </c>
      <c r="DJ77" s="391">
        <f>IF(AND($C77&lt;&gt;0,G77=""),1,0)</f>
        <v>0</v>
      </c>
    </row>
    <row r="78" spans="1:114" ht="15.75" customHeight="1" x14ac:dyDescent="0.25">
      <c r="A78" s="1903"/>
      <c r="B78" s="115" t="s">
        <v>86</v>
      </c>
      <c r="C78" s="594">
        <f t="shared" ref="C78:C99" si="67">SUM(D78:E78)</f>
        <v>0</v>
      </c>
      <c r="D78" s="619"/>
      <c r="E78" s="1296"/>
      <c r="F78" s="564"/>
      <c r="G78" s="620"/>
      <c r="H78" s="384" t="str">
        <f t="shared" ref="H78:H100" si="68">CF78&amp;CG78&amp;CH78&amp;CI78&amp;CJ78&amp;CK78</f>
        <v/>
      </c>
      <c r="J78" s="386"/>
      <c r="K78" s="386"/>
      <c r="L78" s="386"/>
      <c r="M78" s="386"/>
      <c r="N78" s="386"/>
      <c r="AV78" s="1050"/>
      <c r="BQ78" s="180"/>
      <c r="BR78" s="308"/>
      <c r="BS78" s="308"/>
      <c r="BT78" s="308"/>
      <c r="CF78" s="381" t="str">
        <f>IF(V$11&lt;SUM(D78,D84,D90,D96),"* La suma de Población Masculina de 12 a 17 meses según resultado de Evaluación no puede ser mayor que la Población Masculina bajo control de la sección A. ","")</f>
        <v/>
      </c>
      <c r="CG78" s="381" t="str">
        <f>IF(W$11&lt;SUM(E78,E84,E90,E96),"* La suma de Población Femenina de 12 a 17 meses según resultado de Evaluación no puede ser mayor que la Población Femenina bajo control de la sección A. ","")</f>
        <v/>
      </c>
      <c r="CH78" s="381" t="str">
        <f t="shared" ref="CH78:CH100" si="69">IF(F78&gt;$C78," * El Total de Pueblos Originarios no puede ser mayor que el Total según sexo. ","")</f>
        <v/>
      </c>
      <c r="CI78" s="381" t="str">
        <f t="shared" ref="CI78:CI100" si="70">IF(G78&gt;$C78," * El Total según Población Migrante no puede ser mayor que el Total según sexo. ","")</f>
        <v/>
      </c>
      <c r="CJ78" s="381" t="str">
        <f t="shared" ref="CJ78:CJ100" si="71">IF(AND($C78&lt;&gt;0,F78=""),"* No olvide ingresar el total según Pueblos Originarios (Digite 0 si no tiene). ","")</f>
        <v/>
      </c>
      <c r="CK78" s="381" t="str">
        <f t="shared" ref="CK78:CK100" si="72">IF(AND($C78&lt;&gt;0,G78=""),"* No olvide ingresar el total según Pueblos Originarios (Digite 0 si no tiene). ","")</f>
        <v/>
      </c>
      <c r="DA78" s="385"/>
      <c r="DB78" s="385"/>
      <c r="DC78" s="385"/>
      <c r="DD78" s="385"/>
      <c r="DE78" s="391">
        <f>IF(V$11&lt;SUM(D78,D84,D90,D96),1,0)</f>
        <v>0</v>
      </c>
      <c r="DF78" s="391">
        <f>IF(W$11&lt;SUM(E78,E84,E90,E96),1,0)</f>
        <v>0</v>
      </c>
      <c r="DG78" s="391">
        <f t="shared" ref="DG78:DG100" si="73">IF(F78&gt;$C78,1,0)</f>
        <v>0</v>
      </c>
      <c r="DH78" s="391">
        <f t="shared" ref="DH78:DH100" si="74">IF(G78&gt;$C78,1,0)</f>
        <v>0</v>
      </c>
      <c r="DI78" s="391">
        <f t="shared" ref="DI78:DI100" si="75">IF(AND($C78&lt;&gt;0,F78=""),1,0)</f>
        <v>0</v>
      </c>
      <c r="DJ78" s="391">
        <f t="shared" ref="DJ78:DJ100" si="76">IF(AND($C78&lt;&gt;0,G78=""),1,0)</f>
        <v>0</v>
      </c>
    </row>
    <row r="79" spans="1:114" ht="15.75" customHeight="1" x14ac:dyDescent="0.25">
      <c r="A79" s="1904"/>
      <c r="B79" s="115" t="s">
        <v>87</v>
      </c>
      <c r="C79" s="594">
        <f t="shared" si="67"/>
        <v>0</v>
      </c>
      <c r="D79" s="619"/>
      <c r="E79" s="1296"/>
      <c r="F79" s="564"/>
      <c r="G79" s="620"/>
      <c r="H79" s="384" t="str">
        <f t="shared" si="68"/>
        <v/>
      </c>
      <c r="J79" s="386"/>
      <c r="K79" s="386"/>
      <c r="L79" s="386"/>
      <c r="M79" s="386"/>
      <c r="N79" s="386"/>
      <c r="AV79" s="1050"/>
      <c r="BQ79" s="180"/>
      <c r="BR79" s="308"/>
      <c r="BS79" s="308"/>
      <c r="BT79" s="308"/>
      <c r="CF79" s="381" t="str">
        <f>IF(X$11&lt;SUM(D79,D85,D91,D97),"* La suma de Población Masculina de 18 a 23 meses según resultado de Evaluación no puede ser mayor que la Población Masculina bajo control de la sección A. ","")</f>
        <v/>
      </c>
      <c r="CG79" s="381" t="str">
        <f>IF(Y$11&lt;SUM(E79,E85,E91,E97),"* La suma de Población Femenina de 18 a 23 meses según resultado de Evaluación no puede ser mayor que la Población Femenina bajo control de la sección A. ","")</f>
        <v/>
      </c>
      <c r="CH79" s="381" t="str">
        <f t="shared" si="69"/>
        <v/>
      </c>
      <c r="CI79" s="381" t="str">
        <f t="shared" si="70"/>
        <v/>
      </c>
      <c r="CJ79" s="381" t="str">
        <f t="shared" si="71"/>
        <v/>
      </c>
      <c r="CK79" s="381" t="str">
        <f t="shared" si="72"/>
        <v/>
      </c>
      <c r="DA79" s="385"/>
      <c r="DB79" s="385"/>
      <c r="DC79" s="385"/>
      <c r="DD79" s="385"/>
      <c r="DE79" s="391">
        <f>IF(X$11&lt;SUM(D79,D85,D91,D97),1,0)</f>
        <v>0</v>
      </c>
      <c r="DF79" s="391">
        <f>IF(Y$11&lt;SUM(E79,E85,E91,E97),1,0)</f>
        <v>0</v>
      </c>
      <c r="DG79" s="391">
        <f t="shared" si="73"/>
        <v>0</v>
      </c>
      <c r="DH79" s="391">
        <f t="shared" si="74"/>
        <v>0</v>
      </c>
      <c r="DI79" s="391">
        <f t="shared" si="75"/>
        <v>0</v>
      </c>
      <c r="DJ79" s="391">
        <f t="shared" si="76"/>
        <v>0</v>
      </c>
    </row>
    <row r="80" spans="1:114" ht="15.75" customHeight="1" x14ac:dyDescent="0.25">
      <c r="A80" s="1904"/>
      <c r="B80" s="115" t="s">
        <v>88</v>
      </c>
      <c r="C80" s="594">
        <f t="shared" si="67"/>
        <v>0</v>
      </c>
      <c r="D80" s="619"/>
      <c r="E80" s="1296"/>
      <c r="F80" s="564"/>
      <c r="G80" s="620"/>
      <c r="H80" s="384" t="str">
        <f t="shared" si="68"/>
        <v/>
      </c>
      <c r="J80" s="386"/>
      <c r="K80" s="386"/>
      <c r="L80" s="386"/>
      <c r="M80" s="386"/>
      <c r="N80" s="386"/>
      <c r="AV80" s="1050"/>
      <c r="BQ80" s="180"/>
      <c r="BR80" s="308"/>
      <c r="BS80" s="308"/>
      <c r="BT80" s="308"/>
      <c r="CF80" s="381" t="str">
        <f>IF(Z$11&lt;SUM(D80,D86,D92,D98),"* La suma de Población Masculina de 24 a 35 meses según resultado de Evaluación no puede ser mayor que la Población Masculina bajo control de la sección A. ","")</f>
        <v/>
      </c>
      <c r="CG80" s="381" t="str">
        <f>IF(AA$11&lt;SUM(E80,E86,E92,E98),"* La suma de Población Femenina de 24 a 35 meses según resultado de Evaluación no puede ser mayor que la Población Femenina bajo control de la sección A. ","")</f>
        <v/>
      </c>
      <c r="CH80" s="381" t="str">
        <f t="shared" si="69"/>
        <v/>
      </c>
      <c r="CI80" s="381" t="str">
        <f t="shared" si="70"/>
        <v/>
      </c>
      <c r="CJ80" s="381" t="str">
        <f t="shared" si="71"/>
        <v/>
      </c>
      <c r="CK80" s="381" t="str">
        <f t="shared" si="72"/>
        <v/>
      </c>
      <c r="DA80" s="385"/>
      <c r="DB80" s="385"/>
      <c r="DC80" s="385"/>
      <c r="DD80" s="385"/>
      <c r="DE80" s="391">
        <f>IF(Z$11&lt;SUM(D80,D86,D92,D98),1,0)</f>
        <v>0</v>
      </c>
      <c r="DF80" s="391">
        <f>IF(AA$11&lt;SUM(E80,E86,E92,E98),1,0)</f>
        <v>0</v>
      </c>
      <c r="DG80" s="391">
        <f t="shared" si="73"/>
        <v>0</v>
      </c>
      <c r="DH80" s="391">
        <f t="shared" si="74"/>
        <v>0</v>
      </c>
      <c r="DI80" s="391">
        <f t="shared" si="75"/>
        <v>0</v>
      </c>
      <c r="DJ80" s="391">
        <f t="shared" si="76"/>
        <v>0</v>
      </c>
    </row>
    <row r="81" spans="1:114" ht="15.75" customHeight="1" x14ac:dyDescent="0.25">
      <c r="A81" s="1904"/>
      <c r="B81" s="1443" t="s">
        <v>119</v>
      </c>
      <c r="C81" s="577">
        <f t="shared" si="67"/>
        <v>0</v>
      </c>
      <c r="D81" s="702"/>
      <c r="E81" s="1297"/>
      <c r="F81" s="568"/>
      <c r="G81" s="703"/>
      <c r="H81" s="384" t="str">
        <f t="shared" si="68"/>
        <v/>
      </c>
      <c r="J81" s="386"/>
      <c r="K81" s="386"/>
      <c r="L81" s="386"/>
      <c r="M81" s="386"/>
      <c r="N81" s="386"/>
      <c r="AV81" s="1050"/>
      <c r="BQ81" s="180"/>
      <c r="BR81" s="308"/>
      <c r="BS81" s="308"/>
      <c r="BT81" s="308"/>
      <c r="CF81" s="381" t="str">
        <f>IF(AB$11&lt;SUM(D81,D87,D93,D99),"* La suma de Población Masculina de 36 a 47 meses según resultado de Evaluación no puede ser mayor que la Población Masculina bajo control de la sección A. ","")</f>
        <v/>
      </c>
      <c r="CG81" s="381" t="str">
        <f>IF(AC$11&lt;SUM(E81,E87,E93,E99),"* La suma de Población Femenina de 36 a 47 meses según resultado de Evaluación no puede ser mayor que la Población Femenina bajo control de la sección A. ","")</f>
        <v/>
      </c>
      <c r="CH81" s="381" t="str">
        <f t="shared" si="69"/>
        <v/>
      </c>
      <c r="CI81" s="381" t="str">
        <f t="shared" si="70"/>
        <v/>
      </c>
      <c r="CJ81" s="381" t="str">
        <f t="shared" si="71"/>
        <v/>
      </c>
      <c r="CK81" s="381" t="str">
        <f t="shared" si="72"/>
        <v/>
      </c>
      <c r="DA81" s="385"/>
      <c r="DB81" s="385"/>
      <c r="DC81" s="385"/>
      <c r="DD81" s="385"/>
      <c r="DE81" s="391">
        <f>IF(AB$11&lt;SUM(D81,D87,D93,D99),1,0)</f>
        <v>0</v>
      </c>
      <c r="DF81" s="391">
        <f>IF(AC$11&lt;SUM(E81,E87,E93,E99),1,0)</f>
        <v>0</v>
      </c>
      <c r="DG81" s="391">
        <f t="shared" si="73"/>
        <v>0</v>
      </c>
      <c r="DH81" s="391">
        <f t="shared" si="74"/>
        <v>0</v>
      </c>
      <c r="DI81" s="391">
        <f t="shared" si="75"/>
        <v>0</v>
      </c>
      <c r="DJ81" s="391">
        <f t="shared" si="76"/>
        <v>0</v>
      </c>
    </row>
    <row r="82" spans="1:114" ht="15.75" customHeight="1" x14ac:dyDescent="0.25">
      <c r="A82" s="1905"/>
      <c r="B82" s="116" t="s">
        <v>91</v>
      </c>
      <c r="C82" s="701">
        <f t="shared" si="67"/>
        <v>0</v>
      </c>
      <c r="D82" s="578"/>
      <c r="E82" s="1298"/>
      <c r="F82" s="555"/>
      <c r="G82" s="621"/>
      <c r="H82" s="384" t="str">
        <f t="shared" si="68"/>
        <v/>
      </c>
      <c r="J82" s="386"/>
      <c r="K82" s="386"/>
      <c r="L82" s="386"/>
      <c r="M82" s="386"/>
      <c r="N82" s="386"/>
      <c r="AV82" s="1050"/>
      <c r="BQ82" s="180"/>
      <c r="BR82" s="308"/>
      <c r="BS82" s="308"/>
      <c r="BT82" s="308"/>
      <c r="CF82" s="381" t="str">
        <f>IF(AD$11&lt;SUM(D82,D88,D94,D100),"* La suma de Población Masculina de 48 a 59 meses según resultado de Evaluación no puede ser mayor que la Población Masculina bajo control de la sección A. ","")</f>
        <v/>
      </c>
      <c r="CG82" s="381" t="str">
        <f>IF(AE$11&lt;SUM(E82,E88,E94,E100),"* La suma de Población Femenina de 48 a 59 meses según resultado de Evaluación no puede ser mayor que la Población Femenina bajo control de la sección A. ","")</f>
        <v/>
      </c>
      <c r="CH82" s="381" t="str">
        <f t="shared" si="69"/>
        <v/>
      </c>
      <c r="CI82" s="381" t="str">
        <f t="shared" si="70"/>
        <v/>
      </c>
      <c r="CJ82" s="381" t="str">
        <f t="shared" si="71"/>
        <v/>
      </c>
      <c r="CK82" s="381" t="str">
        <f t="shared" si="72"/>
        <v/>
      </c>
      <c r="DA82" s="385"/>
      <c r="DB82" s="385"/>
      <c r="DC82" s="385"/>
      <c r="DD82" s="385"/>
      <c r="DE82" s="391">
        <f>IF(AD$11&lt;SUM(D82,D88,D94,D100),1,0)</f>
        <v>0</v>
      </c>
      <c r="DF82" s="391">
        <f>IF(AE$11&lt;SUM(E82,E88,E94,E100),1,0)</f>
        <v>0</v>
      </c>
      <c r="DG82" s="391">
        <f t="shared" si="73"/>
        <v>0</v>
      </c>
      <c r="DH82" s="391">
        <f t="shared" si="74"/>
        <v>0</v>
      </c>
      <c r="DI82" s="391">
        <f t="shared" si="75"/>
        <v>0</v>
      </c>
      <c r="DJ82" s="391">
        <f t="shared" si="76"/>
        <v>0</v>
      </c>
    </row>
    <row r="83" spans="1:114" ht="15.75" customHeight="1" x14ac:dyDescent="0.25">
      <c r="A83" s="1902" t="s">
        <v>688</v>
      </c>
      <c r="B83" s="113" t="s">
        <v>108</v>
      </c>
      <c r="C83" s="547">
        <f>SUM(D83:E83)</f>
        <v>0</v>
      </c>
      <c r="D83" s="576"/>
      <c r="E83" s="1333"/>
      <c r="F83" s="561"/>
      <c r="G83" s="1207"/>
      <c r="H83" s="384" t="str">
        <f t="shared" si="68"/>
        <v/>
      </c>
      <c r="J83" s="111"/>
      <c r="K83" s="111"/>
      <c r="L83" s="111"/>
      <c r="M83" s="111"/>
      <c r="N83" s="111"/>
      <c r="AV83" s="1050"/>
      <c r="BQ83" s="180"/>
      <c r="BR83" s="308"/>
      <c r="BS83" s="308"/>
      <c r="BT83" s="308"/>
      <c r="CH83" s="381" t="str">
        <f t="shared" si="69"/>
        <v/>
      </c>
      <c r="CI83" s="381" t="str">
        <f t="shared" si="70"/>
        <v/>
      </c>
      <c r="CJ83" s="381" t="str">
        <f t="shared" si="71"/>
        <v/>
      </c>
      <c r="CK83" s="381" t="str">
        <f t="shared" si="72"/>
        <v/>
      </c>
      <c r="DA83" s="385"/>
      <c r="DB83" s="385"/>
      <c r="DC83" s="385"/>
      <c r="DD83" s="385"/>
      <c r="DE83" s="385"/>
      <c r="DF83" s="385"/>
      <c r="DG83" s="391">
        <f t="shared" si="73"/>
        <v>0</v>
      </c>
      <c r="DH83" s="391">
        <f t="shared" si="74"/>
        <v>0</v>
      </c>
      <c r="DI83" s="391">
        <f t="shared" si="75"/>
        <v>0</v>
      </c>
      <c r="DJ83" s="391">
        <f t="shared" si="76"/>
        <v>0</v>
      </c>
    </row>
    <row r="84" spans="1:114" ht="15.75" customHeight="1" x14ac:dyDescent="0.25">
      <c r="A84" s="1903"/>
      <c r="B84" s="115" t="s">
        <v>86</v>
      </c>
      <c r="C84" s="594">
        <f t="shared" si="67"/>
        <v>0</v>
      </c>
      <c r="D84" s="619"/>
      <c r="E84" s="1296"/>
      <c r="F84" s="564"/>
      <c r="G84" s="620"/>
      <c r="H84" s="384" t="str">
        <f t="shared" si="68"/>
        <v/>
      </c>
      <c r="J84" s="386"/>
      <c r="K84" s="386"/>
      <c r="L84" s="386"/>
      <c r="M84" s="386"/>
      <c r="N84" s="386"/>
      <c r="AV84" s="1050"/>
      <c r="BQ84" s="180"/>
      <c r="BR84" s="308"/>
      <c r="BS84" s="308"/>
      <c r="BT84" s="308"/>
      <c r="CH84" s="381" t="str">
        <f t="shared" si="69"/>
        <v/>
      </c>
      <c r="CI84" s="381" t="str">
        <f t="shared" si="70"/>
        <v/>
      </c>
      <c r="CJ84" s="381" t="str">
        <f t="shared" si="71"/>
        <v/>
      </c>
      <c r="CK84" s="381" t="str">
        <f t="shared" si="72"/>
        <v/>
      </c>
      <c r="DA84" s="385"/>
      <c r="DB84" s="385"/>
      <c r="DC84" s="385"/>
      <c r="DD84" s="385"/>
      <c r="DE84" s="385"/>
      <c r="DF84" s="385"/>
      <c r="DG84" s="391">
        <f t="shared" si="73"/>
        <v>0</v>
      </c>
      <c r="DH84" s="391">
        <f t="shared" si="74"/>
        <v>0</v>
      </c>
      <c r="DI84" s="391">
        <f t="shared" si="75"/>
        <v>0</v>
      </c>
      <c r="DJ84" s="391">
        <f t="shared" si="76"/>
        <v>0</v>
      </c>
    </row>
    <row r="85" spans="1:114" ht="15.75" customHeight="1" x14ac:dyDescent="0.25">
      <c r="A85" s="1904"/>
      <c r="B85" s="115" t="s">
        <v>87</v>
      </c>
      <c r="C85" s="594">
        <f t="shared" si="67"/>
        <v>0</v>
      </c>
      <c r="D85" s="619"/>
      <c r="E85" s="1296"/>
      <c r="F85" s="564"/>
      <c r="G85" s="620"/>
      <c r="H85" s="384" t="str">
        <f t="shared" si="68"/>
        <v/>
      </c>
      <c r="J85" s="386"/>
      <c r="K85" s="386"/>
      <c r="L85" s="386"/>
      <c r="M85" s="386"/>
      <c r="N85" s="386"/>
      <c r="AV85" s="1050"/>
      <c r="BQ85" s="180"/>
      <c r="BR85" s="308"/>
      <c r="BS85" s="308"/>
      <c r="BT85" s="308"/>
      <c r="CH85" s="381" t="str">
        <f t="shared" si="69"/>
        <v/>
      </c>
      <c r="CI85" s="381" t="str">
        <f t="shared" si="70"/>
        <v/>
      </c>
      <c r="CJ85" s="381" t="str">
        <f t="shared" si="71"/>
        <v/>
      </c>
      <c r="CK85" s="381" t="str">
        <f t="shared" si="72"/>
        <v/>
      </c>
      <c r="DA85" s="385"/>
      <c r="DB85" s="385"/>
      <c r="DC85" s="385"/>
      <c r="DD85" s="385"/>
      <c r="DE85" s="385"/>
      <c r="DF85" s="385"/>
      <c r="DG85" s="391">
        <f t="shared" si="73"/>
        <v>0</v>
      </c>
      <c r="DH85" s="391">
        <f t="shared" si="74"/>
        <v>0</v>
      </c>
      <c r="DI85" s="391">
        <f t="shared" si="75"/>
        <v>0</v>
      </c>
      <c r="DJ85" s="391">
        <f t="shared" si="76"/>
        <v>0</v>
      </c>
    </row>
    <row r="86" spans="1:114" ht="15.75" customHeight="1" x14ac:dyDescent="0.25">
      <c r="A86" s="1904"/>
      <c r="B86" s="115" t="s">
        <v>88</v>
      </c>
      <c r="C86" s="594">
        <f t="shared" si="67"/>
        <v>0</v>
      </c>
      <c r="D86" s="619"/>
      <c r="E86" s="1296"/>
      <c r="F86" s="564"/>
      <c r="G86" s="620"/>
      <c r="H86" s="384" t="str">
        <f t="shared" si="68"/>
        <v/>
      </c>
      <c r="J86" s="386"/>
      <c r="K86" s="386"/>
      <c r="L86" s="386"/>
      <c r="M86" s="386"/>
      <c r="N86" s="386"/>
      <c r="AV86" s="1050"/>
      <c r="BQ86" s="180"/>
      <c r="BR86" s="308"/>
      <c r="BS86" s="308"/>
      <c r="BT86" s="308"/>
      <c r="CH86" s="381" t="str">
        <f t="shared" si="69"/>
        <v/>
      </c>
      <c r="CI86" s="381" t="str">
        <f t="shared" si="70"/>
        <v/>
      </c>
      <c r="CJ86" s="381" t="str">
        <f t="shared" si="71"/>
        <v/>
      </c>
      <c r="CK86" s="381" t="str">
        <f t="shared" si="72"/>
        <v/>
      </c>
      <c r="DA86" s="385"/>
      <c r="DB86" s="385"/>
      <c r="DC86" s="385"/>
      <c r="DD86" s="385"/>
      <c r="DE86" s="385"/>
      <c r="DF86" s="385"/>
      <c r="DG86" s="391">
        <f t="shared" si="73"/>
        <v>0</v>
      </c>
      <c r="DH86" s="391">
        <f t="shared" si="74"/>
        <v>0</v>
      </c>
      <c r="DI86" s="391">
        <f t="shared" si="75"/>
        <v>0</v>
      </c>
      <c r="DJ86" s="391">
        <f t="shared" si="76"/>
        <v>0</v>
      </c>
    </row>
    <row r="87" spans="1:114" ht="15.75" customHeight="1" x14ac:dyDescent="0.25">
      <c r="A87" s="1904"/>
      <c r="B87" s="1443" t="s">
        <v>119</v>
      </c>
      <c r="C87" s="577">
        <f t="shared" si="67"/>
        <v>0</v>
      </c>
      <c r="D87" s="702"/>
      <c r="E87" s="1297"/>
      <c r="F87" s="568"/>
      <c r="G87" s="703"/>
      <c r="H87" s="384" t="str">
        <f t="shared" si="68"/>
        <v/>
      </c>
      <c r="J87" s="386"/>
      <c r="K87" s="386"/>
      <c r="L87" s="386"/>
      <c r="M87" s="386"/>
      <c r="N87" s="386"/>
      <c r="AV87" s="1050"/>
      <c r="BQ87" s="180"/>
      <c r="BR87" s="308"/>
      <c r="BS87" s="308"/>
      <c r="BT87" s="308"/>
      <c r="CH87" s="381" t="str">
        <f t="shared" si="69"/>
        <v/>
      </c>
      <c r="CI87" s="381" t="str">
        <f t="shared" si="70"/>
        <v/>
      </c>
      <c r="CJ87" s="381" t="str">
        <f t="shared" si="71"/>
        <v/>
      </c>
      <c r="CK87" s="381" t="str">
        <f t="shared" si="72"/>
        <v/>
      </c>
      <c r="DA87" s="385"/>
      <c r="DB87" s="385"/>
      <c r="DC87" s="385"/>
      <c r="DD87" s="385"/>
      <c r="DE87" s="385"/>
      <c r="DF87" s="385"/>
      <c r="DG87" s="391">
        <f t="shared" si="73"/>
        <v>0</v>
      </c>
      <c r="DH87" s="391">
        <f t="shared" si="74"/>
        <v>0</v>
      </c>
      <c r="DI87" s="391">
        <f t="shared" si="75"/>
        <v>0</v>
      </c>
      <c r="DJ87" s="391">
        <f t="shared" si="76"/>
        <v>0</v>
      </c>
    </row>
    <row r="88" spans="1:114" ht="15.75" customHeight="1" x14ac:dyDescent="0.25">
      <c r="A88" s="1905"/>
      <c r="B88" s="116" t="s">
        <v>91</v>
      </c>
      <c r="C88" s="701">
        <f t="shared" si="67"/>
        <v>0</v>
      </c>
      <c r="D88" s="578"/>
      <c r="E88" s="1298"/>
      <c r="F88" s="555"/>
      <c r="G88" s="621"/>
      <c r="H88" s="384" t="str">
        <f t="shared" si="68"/>
        <v/>
      </c>
      <c r="J88" s="386"/>
      <c r="K88" s="386"/>
      <c r="L88" s="386"/>
      <c r="M88" s="386"/>
      <c r="N88" s="386"/>
      <c r="AV88" s="1050"/>
      <c r="BQ88" s="180"/>
      <c r="BR88" s="308"/>
      <c r="BS88" s="308"/>
      <c r="BT88" s="308"/>
      <c r="CH88" s="381" t="str">
        <f t="shared" si="69"/>
        <v/>
      </c>
      <c r="CI88" s="381" t="str">
        <f t="shared" si="70"/>
        <v/>
      </c>
      <c r="CJ88" s="381" t="str">
        <f t="shared" si="71"/>
        <v/>
      </c>
      <c r="CK88" s="381" t="str">
        <f t="shared" si="72"/>
        <v/>
      </c>
      <c r="DA88" s="385"/>
      <c r="DB88" s="385"/>
      <c r="DC88" s="385"/>
      <c r="DD88" s="385"/>
      <c r="DE88" s="385"/>
      <c r="DF88" s="385"/>
      <c r="DG88" s="391">
        <f t="shared" si="73"/>
        <v>0</v>
      </c>
      <c r="DH88" s="391">
        <f t="shared" si="74"/>
        <v>0</v>
      </c>
      <c r="DI88" s="391">
        <f t="shared" si="75"/>
        <v>0</v>
      </c>
      <c r="DJ88" s="391">
        <f t="shared" si="76"/>
        <v>0</v>
      </c>
    </row>
    <row r="89" spans="1:114" ht="15.75" customHeight="1" x14ac:dyDescent="0.25">
      <c r="A89" s="1902" t="s">
        <v>107</v>
      </c>
      <c r="B89" s="113" t="s">
        <v>108</v>
      </c>
      <c r="C89" s="547">
        <f t="shared" si="67"/>
        <v>0</v>
      </c>
      <c r="D89" s="576"/>
      <c r="E89" s="1333"/>
      <c r="F89" s="561"/>
      <c r="G89" s="1207"/>
      <c r="H89" s="384" t="str">
        <f t="shared" si="68"/>
        <v/>
      </c>
      <c r="J89" s="111"/>
      <c r="K89" s="111"/>
      <c r="L89" s="111"/>
      <c r="M89" s="111"/>
      <c r="N89" s="111"/>
      <c r="AV89" s="1050"/>
      <c r="BQ89" s="180"/>
      <c r="BR89" s="308"/>
      <c r="BS89" s="308"/>
      <c r="BT89" s="308"/>
      <c r="CH89" s="381" t="str">
        <f t="shared" si="69"/>
        <v/>
      </c>
      <c r="CI89" s="381" t="str">
        <f t="shared" si="70"/>
        <v/>
      </c>
      <c r="CJ89" s="381" t="str">
        <f t="shared" si="71"/>
        <v/>
      </c>
      <c r="CK89" s="381" t="str">
        <f t="shared" si="72"/>
        <v/>
      </c>
      <c r="DA89" s="385"/>
      <c r="DB89" s="385"/>
      <c r="DC89" s="385"/>
      <c r="DD89" s="385"/>
      <c r="DE89" s="385"/>
      <c r="DF89" s="385"/>
      <c r="DG89" s="391">
        <f t="shared" si="73"/>
        <v>0</v>
      </c>
      <c r="DH89" s="391">
        <f t="shared" si="74"/>
        <v>0</v>
      </c>
      <c r="DI89" s="391">
        <f t="shared" si="75"/>
        <v>0</v>
      </c>
      <c r="DJ89" s="391">
        <f t="shared" si="76"/>
        <v>0</v>
      </c>
    </row>
    <row r="90" spans="1:114" ht="15.75" customHeight="1" x14ac:dyDescent="0.25">
      <c r="A90" s="1903"/>
      <c r="B90" s="115" t="s">
        <v>86</v>
      </c>
      <c r="C90" s="594">
        <f t="shared" si="67"/>
        <v>0</v>
      </c>
      <c r="D90" s="619"/>
      <c r="E90" s="1296"/>
      <c r="F90" s="564"/>
      <c r="G90" s="620"/>
      <c r="H90" s="384" t="str">
        <f t="shared" si="68"/>
        <v/>
      </c>
      <c r="J90" s="386"/>
      <c r="K90" s="386"/>
      <c r="L90" s="386"/>
      <c r="M90" s="386"/>
      <c r="N90" s="386"/>
      <c r="AV90" s="1050"/>
      <c r="BQ90" s="180"/>
      <c r="BR90" s="308"/>
      <c r="BS90" s="308"/>
      <c r="BT90" s="308"/>
      <c r="CH90" s="381" t="str">
        <f t="shared" si="69"/>
        <v/>
      </c>
      <c r="CI90" s="381" t="str">
        <f t="shared" si="70"/>
        <v/>
      </c>
      <c r="CJ90" s="381" t="str">
        <f t="shared" si="71"/>
        <v/>
      </c>
      <c r="CK90" s="381" t="str">
        <f t="shared" si="72"/>
        <v/>
      </c>
      <c r="DA90" s="385"/>
      <c r="DB90" s="385"/>
      <c r="DC90" s="385"/>
      <c r="DD90" s="385"/>
      <c r="DE90" s="385"/>
      <c r="DF90" s="385"/>
      <c r="DG90" s="391">
        <f t="shared" si="73"/>
        <v>0</v>
      </c>
      <c r="DH90" s="391">
        <f t="shared" si="74"/>
        <v>0</v>
      </c>
      <c r="DI90" s="391">
        <f t="shared" si="75"/>
        <v>0</v>
      </c>
      <c r="DJ90" s="391">
        <f t="shared" si="76"/>
        <v>0</v>
      </c>
    </row>
    <row r="91" spans="1:114" ht="15.75" customHeight="1" x14ac:dyDescent="0.25">
      <c r="A91" s="1904"/>
      <c r="B91" s="115" t="s">
        <v>87</v>
      </c>
      <c r="C91" s="594">
        <f t="shared" si="67"/>
        <v>0</v>
      </c>
      <c r="D91" s="619"/>
      <c r="E91" s="1296"/>
      <c r="F91" s="564"/>
      <c r="G91" s="620"/>
      <c r="H91" s="384" t="str">
        <f t="shared" si="68"/>
        <v/>
      </c>
      <c r="J91" s="386"/>
      <c r="K91" s="386"/>
      <c r="L91" s="386"/>
      <c r="M91" s="386"/>
      <c r="N91" s="386"/>
      <c r="AV91" s="1050"/>
      <c r="BQ91" s="180"/>
      <c r="BR91" s="308"/>
      <c r="BS91" s="308"/>
      <c r="BT91" s="308"/>
      <c r="CH91" s="381" t="str">
        <f t="shared" si="69"/>
        <v/>
      </c>
      <c r="CI91" s="381" t="str">
        <f t="shared" si="70"/>
        <v/>
      </c>
      <c r="CJ91" s="381" t="str">
        <f t="shared" si="71"/>
        <v/>
      </c>
      <c r="CK91" s="381" t="str">
        <f t="shared" si="72"/>
        <v/>
      </c>
      <c r="DA91" s="385"/>
      <c r="DB91" s="385"/>
      <c r="DC91" s="385"/>
      <c r="DD91" s="385"/>
      <c r="DE91" s="385"/>
      <c r="DF91" s="385"/>
      <c r="DG91" s="391">
        <f t="shared" si="73"/>
        <v>0</v>
      </c>
      <c r="DH91" s="391">
        <f t="shared" si="74"/>
        <v>0</v>
      </c>
      <c r="DI91" s="391">
        <f t="shared" si="75"/>
        <v>0</v>
      </c>
      <c r="DJ91" s="391">
        <f t="shared" si="76"/>
        <v>0</v>
      </c>
    </row>
    <row r="92" spans="1:114" ht="15.75" customHeight="1" x14ac:dyDescent="0.25">
      <c r="A92" s="1904"/>
      <c r="B92" s="115" t="s">
        <v>88</v>
      </c>
      <c r="C92" s="594">
        <f t="shared" si="67"/>
        <v>0</v>
      </c>
      <c r="D92" s="619"/>
      <c r="E92" s="1296"/>
      <c r="F92" s="564"/>
      <c r="G92" s="620"/>
      <c r="H92" s="384" t="str">
        <f t="shared" si="68"/>
        <v/>
      </c>
      <c r="J92" s="386"/>
      <c r="K92" s="386"/>
      <c r="L92" s="386"/>
      <c r="M92" s="386"/>
      <c r="N92" s="386"/>
      <c r="AV92" s="1050"/>
      <c r="BQ92" s="180"/>
      <c r="BR92" s="308"/>
      <c r="BS92" s="308"/>
      <c r="BT92" s="308"/>
      <c r="CH92" s="381" t="str">
        <f t="shared" si="69"/>
        <v/>
      </c>
      <c r="CI92" s="381" t="str">
        <f t="shared" si="70"/>
        <v/>
      </c>
      <c r="CJ92" s="381" t="str">
        <f t="shared" si="71"/>
        <v/>
      </c>
      <c r="CK92" s="381" t="str">
        <f t="shared" si="72"/>
        <v/>
      </c>
      <c r="DA92" s="385"/>
      <c r="DB92" s="385"/>
      <c r="DC92" s="385"/>
      <c r="DD92" s="385"/>
      <c r="DE92" s="385"/>
      <c r="DF92" s="385"/>
      <c r="DG92" s="391">
        <f t="shared" si="73"/>
        <v>0</v>
      </c>
      <c r="DH92" s="391">
        <f t="shared" si="74"/>
        <v>0</v>
      </c>
      <c r="DI92" s="391">
        <f t="shared" si="75"/>
        <v>0</v>
      </c>
      <c r="DJ92" s="391">
        <f t="shared" si="76"/>
        <v>0</v>
      </c>
    </row>
    <row r="93" spans="1:114" ht="15.75" customHeight="1" x14ac:dyDescent="0.25">
      <c r="A93" s="1904"/>
      <c r="B93" s="1443" t="s">
        <v>119</v>
      </c>
      <c r="C93" s="577">
        <f t="shared" si="67"/>
        <v>0</v>
      </c>
      <c r="D93" s="702"/>
      <c r="E93" s="1297"/>
      <c r="F93" s="568"/>
      <c r="G93" s="703"/>
      <c r="H93" s="384" t="str">
        <f t="shared" si="68"/>
        <v/>
      </c>
      <c r="J93" s="386"/>
      <c r="K93" s="386"/>
      <c r="L93" s="386"/>
      <c r="M93" s="386"/>
      <c r="N93" s="386"/>
      <c r="AV93" s="1050"/>
      <c r="BQ93" s="180"/>
      <c r="BR93" s="308"/>
      <c r="BS93" s="308"/>
      <c r="BT93" s="308"/>
      <c r="CH93" s="381" t="str">
        <f t="shared" si="69"/>
        <v/>
      </c>
      <c r="CI93" s="381" t="str">
        <f t="shared" si="70"/>
        <v/>
      </c>
      <c r="CJ93" s="381" t="str">
        <f t="shared" si="71"/>
        <v/>
      </c>
      <c r="CK93" s="381" t="str">
        <f t="shared" si="72"/>
        <v/>
      </c>
      <c r="DA93" s="385"/>
      <c r="DB93" s="385"/>
      <c r="DC93" s="385"/>
      <c r="DD93" s="385"/>
      <c r="DE93" s="385"/>
      <c r="DF93" s="385"/>
      <c r="DG93" s="391">
        <f t="shared" si="73"/>
        <v>0</v>
      </c>
      <c r="DH93" s="391">
        <f t="shared" si="74"/>
        <v>0</v>
      </c>
      <c r="DI93" s="391">
        <f t="shared" si="75"/>
        <v>0</v>
      </c>
      <c r="DJ93" s="391">
        <f t="shared" si="76"/>
        <v>0</v>
      </c>
    </row>
    <row r="94" spans="1:114" ht="15.75" customHeight="1" x14ac:dyDescent="0.25">
      <c r="A94" s="1905"/>
      <c r="B94" s="116" t="s">
        <v>91</v>
      </c>
      <c r="C94" s="701">
        <f t="shared" si="67"/>
        <v>0</v>
      </c>
      <c r="D94" s="702"/>
      <c r="E94" s="1297"/>
      <c r="F94" s="568"/>
      <c r="G94" s="703"/>
      <c r="H94" s="384" t="str">
        <f t="shared" si="68"/>
        <v/>
      </c>
      <c r="J94" s="386"/>
      <c r="K94" s="386"/>
      <c r="L94" s="386"/>
      <c r="M94" s="386"/>
      <c r="N94" s="386"/>
      <c r="AV94" s="1050"/>
      <c r="BQ94" s="180"/>
      <c r="BR94" s="308"/>
      <c r="BS94" s="308"/>
      <c r="BT94" s="308"/>
      <c r="CH94" s="381" t="str">
        <f t="shared" si="69"/>
        <v/>
      </c>
      <c r="CI94" s="381" t="str">
        <f t="shared" si="70"/>
        <v/>
      </c>
      <c r="CJ94" s="381" t="str">
        <f t="shared" si="71"/>
        <v/>
      </c>
      <c r="CK94" s="381" t="str">
        <f t="shared" si="72"/>
        <v/>
      </c>
      <c r="DA94" s="385"/>
      <c r="DB94" s="385"/>
      <c r="DC94" s="385"/>
      <c r="DD94" s="385"/>
      <c r="DE94" s="385"/>
      <c r="DF94" s="385"/>
      <c r="DG94" s="391">
        <f t="shared" si="73"/>
        <v>0</v>
      </c>
      <c r="DH94" s="391">
        <f t="shared" si="74"/>
        <v>0</v>
      </c>
      <c r="DI94" s="391">
        <f t="shared" si="75"/>
        <v>0</v>
      </c>
      <c r="DJ94" s="391">
        <f t="shared" si="76"/>
        <v>0</v>
      </c>
    </row>
    <row r="95" spans="1:114" ht="15.75" customHeight="1" x14ac:dyDescent="0.25">
      <c r="A95" s="1902" t="s">
        <v>109</v>
      </c>
      <c r="B95" s="113" t="s">
        <v>108</v>
      </c>
      <c r="C95" s="547">
        <f t="shared" si="67"/>
        <v>0</v>
      </c>
      <c r="D95" s="548"/>
      <c r="E95" s="992"/>
      <c r="F95" s="549"/>
      <c r="G95" s="618"/>
      <c r="H95" s="384" t="str">
        <f t="shared" si="68"/>
        <v/>
      </c>
      <c r="J95" s="386"/>
      <c r="K95" s="386"/>
      <c r="L95" s="386"/>
      <c r="M95" s="386"/>
      <c r="N95" s="386"/>
      <c r="AV95" s="1050"/>
      <c r="BQ95" s="180"/>
      <c r="BR95" s="308"/>
      <c r="BS95" s="308"/>
      <c r="BT95" s="308"/>
      <c r="CH95" s="381" t="str">
        <f t="shared" si="69"/>
        <v/>
      </c>
      <c r="CI95" s="381" t="str">
        <f t="shared" si="70"/>
        <v/>
      </c>
      <c r="CJ95" s="381" t="str">
        <f t="shared" si="71"/>
        <v/>
      </c>
      <c r="CK95" s="381" t="str">
        <f t="shared" si="72"/>
        <v/>
      </c>
      <c r="DA95" s="385"/>
      <c r="DB95" s="385"/>
      <c r="DC95" s="385"/>
      <c r="DD95" s="385"/>
      <c r="DE95" s="385"/>
      <c r="DF95" s="385"/>
      <c r="DG95" s="391">
        <f t="shared" si="73"/>
        <v>0</v>
      </c>
      <c r="DH95" s="391">
        <f t="shared" si="74"/>
        <v>0</v>
      </c>
      <c r="DI95" s="391">
        <f t="shared" si="75"/>
        <v>0</v>
      </c>
      <c r="DJ95" s="391">
        <f t="shared" si="76"/>
        <v>0</v>
      </c>
    </row>
    <row r="96" spans="1:114" ht="15.75" customHeight="1" x14ac:dyDescent="0.25">
      <c r="A96" s="1903"/>
      <c r="B96" s="115" t="s">
        <v>86</v>
      </c>
      <c r="C96" s="594">
        <f t="shared" si="67"/>
        <v>0</v>
      </c>
      <c r="D96" s="619"/>
      <c r="E96" s="1296"/>
      <c r="F96" s="564"/>
      <c r="G96" s="620"/>
      <c r="H96" s="384" t="str">
        <f t="shared" si="68"/>
        <v/>
      </c>
      <c r="J96" s="117"/>
      <c r="K96" s="117"/>
      <c r="L96" s="117"/>
      <c r="M96" s="117"/>
      <c r="N96" s="117"/>
      <c r="AV96" s="1050"/>
      <c r="BQ96" s="180"/>
      <c r="CH96" s="381" t="str">
        <f t="shared" si="69"/>
        <v/>
      </c>
      <c r="CI96" s="381" t="str">
        <f t="shared" si="70"/>
        <v/>
      </c>
      <c r="CJ96" s="381" t="str">
        <f t="shared" si="71"/>
        <v/>
      </c>
      <c r="CK96" s="381" t="str">
        <f t="shared" si="72"/>
        <v/>
      </c>
      <c r="DA96" s="385"/>
      <c r="DB96" s="385"/>
      <c r="DC96" s="385"/>
      <c r="DD96" s="385"/>
      <c r="DE96" s="385"/>
      <c r="DF96" s="385"/>
      <c r="DG96" s="391">
        <f t="shared" si="73"/>
        <v>0</v>
      </c>
      <c r="DH96" s="391">
        <f t="shared" si="74"/>
        <v>0</v>
      </c>
      <c r="DI96" s="391">
        <f t="shared" si="75"/>
        <v>0</v>
      </c>
      <c r="DJ96" s="391">
        <f t="shared" si="76"/>
        <v>0</v>
      </c>
    </row>
    <row r="97" spans="1:114" ht="15.75" customHeight="1" x14ac:dyDescent="0.25">
      <c r="A97" s="1904"/>
      <c r="B97" s="115" t="s">
        <v>87</v>
      </c>
      <c r="C97" s="594">
        <f t="shared" si="67"/>
        <v>0</v>
      </c>
      <c r="D97" s="619"/>
      <c r="E97" s="1296"/>
      <c r="F97" s="564"/>
      <c r="G97" s="620"/>
      <c r="H97" s="384" t="str">
        <f t="shared" si="68"/>
        <v/>
      </c>
      <c r="J97" s="117"/>
      <c r="K97" s="117"/>
      <c r="L97" s="117"/>
      <c r="M97" s="117"/>
      <c r="N97" s="117"/>
      <c r="AV97" s="1050"/>
      <c r="BQ97" s="180"/>
      <c r="CH97" s="381" t="str">
        <f t="shared" si="69"/>
        <v/>
      </c>
      <c r="CI97" s="381" t="str">
        <f t="shared" si="70"/>
        <v/>
      </c>
      <c r="CJ97" s="381" t="str">
        <f t="shared" si="71"/>
        <v/>
      </c>
      <c r="CK97" s="381" t="str">
        <f t="shared" si="72"/>
        <v/>
      </c>
      <c r="DA97" s="385"/>
      <c r="DB97" s="385"/>
      <c r="DC97" s="385"/>
      <c r="DD97" s="385"/>
      <c r="DE97" s="385"/>
      <c r="DF97" s="385"/>
      <c r="DG97" s="391">
        <f t="shared" si="73"/>
        <v>0</v>
      </c>
      <c r="DH97" s="391">
        <f t="shared" si="74"/>
        <v>0</v>
      </c>
      <c r="DI97" s="391">
        <f t="shared" si="75"/>
        <v>0</v>
      </c>
      <c r="DJ97" s="391">
        <f t="shared" si="76"/>
        <v>0</v>
      </c>
    </row>
    <row r="98" spans="1:114" ht="15.75" customHeight="1" x14ac:dyDescent="0.25">
      <c r="A98" s="1904"/>
      <c r="B98" s="115" t="s">
        <v>88</v>
      </c>
      <c r="C98" s="594">
        <f t="shared" si="67"/>
        <v>0</v>
      </c>
      <c r="D98" s="619"/>
      <c r="E98" s="1296"/>
      <c r="F98" s="564"/>
      <c r="G98" s="620"/>
      <c r="H98" s="384" t="str">
        <f t="shared" si="68"/>
        <v/>
      </c>
      <c r="J98" s="117"/>
      <c r="K98" s="117"/>
      <c r="L98" s="117"/>
      <c r="M98" s="117"/>
      <c r="N98" s="117"/>
      <c r="AV98" s="1050"/>
      <c r="BQ98" s="180"/>
      <c r="CH98" s="381" t="str">
        <f t="shared" si="69"/>
        <v/>
      </c>
      <c r="CI98" s="381" t="str">
        <f t="shared" si="70"/>
        <v/>
      </c>
      <c r="CJ98" s="381" t="str">
        <f t="shared" si="71"/>
        <v/>
      </c>
      <c r="CK98" s="381" t="str">
        <f t="shared" si="72"/>
        <v/>
      </c>
      <c r="DA98" s="385"/>
      <c r="DB98" s="385"/>
      <c r="DC98" s="385"/>
      <c r="DD98" s="385"/>
      <c r="DE98" s="385"/>
      <c r="DF98" s="385"/>
      <c r="DG98" s="391">
        <f t="shared" si="73"/>
        <v>0</v>
      </c>
      <c r="DH98" s="391">
        <f t="shared" si="74"/>
        <v>0</v>
      </c>
      <c r="DI98" s="391">
        <f t="shared" si="75"/>
        <v>0</v>
      </c>
      <c r="DJ98" s="391">
        <f t="shared" si="76"/>
        <v>0</v>
      </c>
    </row>
    <row r="99" spans="1:114" ht="15.75" customHeight="1" x14ac:dyDescent="0.25">
      <c r="A99" s="1904"/>
      <c r="B99" s="1443" t="s">
        <v>119</v>
      </c>
      <c r="C99" s="577">
        <f t="shared" si="67"/>
        <v>0</v>
      </c>
      <c r="D99" s="702"/>
      <c r="E99" s="1297"/>
      <c r="F99" s="568"/>
      <c r="G99" s="703"/>
      <c r="H99" s="384" t="str">
        <f t="shared" si="68"/>
        <v/>
      </c>
      <c r="J99" s="117"/>
      <c r="K99" s="117"/>
      <c r="L99" s="117"/>
      <c r="M99" s="117"/>
      <c r="N99" s="117"/>
      <c r="AV99" s="1050"/>
      <c r="BQ99" s="180"/>
      <c r="CH99" s="381" t="str">
        <f t="shared" si="69"/>
        <v/>
      </c>
      <c r="CI99" s="381" t="str">
        <f t="shared" si="70"/>
        <v/>
      </c>
      <c r="CJ99" s="381" t="str">
        <f t="shared" si="71"/>
        <v/>
      </c>
      <c r="CK99" s="381" t="str">
        <f t="shared" si="72"/>
        <v/>
      </c>
      <c r="DA99" s="385"/>
      <c r="DB99" s="385"/>
      <c r="DC99" s="385"/>
      <c r="DD99" s="385"/>
      <c r="DE99" s="385"/>
      <c r="DF99" s="385"/>
      <c r="DG99" s="391">
        <f t="shared" si="73"/>
        <v>0</v>
      </c>
      <c r="DH99" s="391">
        <f t="shared" si="74"/>
        <v>0</v>
      </c>
      <c r="DI99" s="391">
        <f t="shared" si="75"/>
        <v>0</v>
      </c>
      <c r="DJ99" s="391">
        <f t="shared" si="76"/>
        <v>0</v>
      </c>
    </row>
    <row r="100" spans="1:114" ht="15.75" customHeight="1" x14ac:dyDescent="0.25">
      <c r="A100" s="1905"/>
      <c r="B100" s="116" t="s">
        <v>91</v>
      </c>
      <c r="C100" s="701">
        <f>SUM(D100:E100)</f>
        <v>0</v>
      </c>
      <c r="D100" s="578"/>
      <c r="E100" s="1298"/>
      <c r="F100" s="555"/>
      <c r="G100" s="621"/>
      <c r="H100" s="384" t="str">
        <f t="shared" si="68"/>
        <v/>
      </c>
      <c r="J100" s="458"/>
      <c r="K100" s="458"/>
      <c r="AV100" s="1050"/>
      <c r="BQ100" s="180"/>
      <c r="CH100" s="381" t="str">
        <f t="shared" si="69"/>
        <v/>
      </c>
      <c r="CI100" s="381" t="str">
        <f t="shared" si="70"/>
        <v/>
      </c>
      <c r="CJ100" s="381" t="str">
        <f t="shared" si="71"/>
        <v/>
      </c>
      <c r="CK100" s="381" t="str">
        <f t="shared" si="72"/>
        <v/>
      </c>
      <c r="DA100" s="385"/>
      <c r="DB100" s="385"/>
      <c r="DC100" s="385"/>
      <c r="DD100" s="385"/>
      <c r="DE100" s="385"/>
      <c r="DF100" s="385"/>
      <c r="DG100" s="391">
        <f t="shared" si="73"/>
        <v>0</v>
      </c>
      <c r="DH100" s="391">
        <f t="shared" si="74"/>
        <v>0</v>
      </c>
      <c r="DI100" s="391">
        <f t="shared" si="75"/>
        <v>0</v>
      </c>
      <c r="DJ100" s="391">
        <f t="shared" si="76"/>
        <v>0</v>
      </c>
    </row>
    <row r="101" spans="1:114" ht="27" customHeight="1" x14ac:dyDescent="0.25">
      <c r="A101" s="471" t="s">
        <v>592</v>
      </c>
      <c r="B101" s="465"/>
      <c r="C101" s="465"/>
      <c r="D101" s="465"/>
      <c r="E101" s="465"/>
      <c r="F101" s="465"/>
      <c r="G101" s="465"/>
      <c r="H101" s="465"/>
      <c r="I101" s="465"/>
      <c r="DA101" s="385"/>
      <c r="DB101" s="385"/>
      <c r="DC101" s="385"/>
      <c r="DD101" s="385"/>
      <c r="DE101" s="385"/>
      <c r="DF101" s="385"/>
      <c r="DG101" s="385"/>
      <c r="DH101" s="385"/>
      <c r="DI101" s="385"/>
      <c r="DJ101" s="385"/>
    </row>
    <row r="102" spans="1:114" ht="12.75" customHeight="1" x14ac:dyDescent="0.25">
      <c r="A102" s="1815" t="s">
        <v>110</v>
      </c>
      <c r="B102" s="1802"/>
      <c r="C102" s="1850" t="s">
        <v>13</v>
      </c>
      <c r="D102" s="1956" t="s">
        <v>321</v>
      </c>
      <c r="E102" s="1897" t="s">
        <v>79</v>
      </c>
      <c r="F102" s="1897" t="s">
        <v>80</v>
      </c>
      <c r="G102" s="1897" t="s">
        <v>81</v>
      </c>
      <c r="H102" s="1897" t="s">
        <v>82</v>
      </c>
      <c r="I102" s="1897" t="s">
        <v>83</v>
      </c>
      <c r="J102" s="1899" t="s">
        <v>84</v>
      </c>
      <c r="K102" s="1895" t="s">
        <v>659</v>
      </c>
      <c r="L102" s="1906" t="s">
        <v>479</v>
      </c>
      <c r="M102" s="1901" t="s">
        <v>15</v>
      </c>
      <c r="N102" s="1866" t="s">
        <v>689</v>
      </c>
      <c r="AW102" s="183"/>
      <c r="BR102" s="1050"/>
      <c r="DA102" s="385"/>
      <c r="DB102" s="385"/>
      <c r="DC102" s="385"/>
      <c r="DD102" s="385"/>
      <c r="DE102" s="385"/>
      <c r="DF102" s="385"/>
      <c r="DG102" s="385"/>
      <c r="DH102" s="385"/>
      <c r="DI102" s="385"/>
      <c r="DJ102" s="385"/>
    </row>
    <row r="103" spans="1:114" ht="54.75" customHeight="1" x14ac:dyDescent="0.25">
      <c r="A103" s="1867"/>
      <c r="B103" s="1804"/>
      <c r="C103" s="1851"/>
      <c r="D103" s="1957"/>
      <c r="E103" s="1898"/>
      <c r="F103" s="1898"/>
      <c r="G103" s="1898"/>
      <c r="H103" s="1898"/>
      <c r="I103" s="1898"/>
      <c r="J103" s="1735"/>
      <c r="K103" s="1896"/>
      <c r="L103" s="1907"/>
      <c r="M103" s="1804"/>
      <c r="N103" s="1804"/>
      <c r="AW103" s="183"/>
      <c r="BR103" s="1050"/>
      <c r="DA103" s="385"/>
      <c r="DB103" s="385"/>
      <c r="DC103" s="385"/>
      <c r="DD103" s="385"/>
      <c r="DE103" s="385"/>
      <c r="DF103" s="385"/>
      <c r="DG103" s="385"/>
      <c r="DH103" s="385"/>
      <c r="DI103" s="385"/>
      <c r="DJ103" s="385"/>
    </row>
    <row r="104" spans="1:114" ht="21" customHeight="1" x14ac:dyDescent="0.25">
      <c r="A104" s="1958" t="s">
        <v>111</v>
      </c>
      <c r="B104" s="118" t="s">
        <v>112</v>
      </c>
      <c r="C104" s="632">
        <f>SUM(D104:K104)</f>
        <v>0</v>
      </c>
      <c r="D104" s="633"/>
      <c r="E104" s="704"/>
      <c r="F104" s="704"/>
      <c r="G104" s="704"/>
      <c r="H104" s="704"/>
      <c r="I104" s="704"/>
      <c r="J104" s="634"/>
      <c r="K104" s="1444"/>
      <c r="L104" s="1445"/>
      <c r="M104" s="1231"/>
      <c r="N104" s="1231"/>
      <c r="O104" s="1687" t="str">
        <f>CF104&amp;CH104&amp;CI104&amp;CJ104&amp;CK104</f>
        <v/>
      </c>
      <c r="AW104" s="183"/>
      <c r="BR104" s="1050"/>
      <c r="CH104" s="381" t="str">
        <f>IF(M104&gt;$C104," * El Total de Pueblos Originarios no puede ser mayor que el Total. ","")</f>
        <v/>
      </c>
      <c r="CI104" s="381" t="str">
        <f>IF(N104&gt;$C104," * El Total según Población Migrante no puede ser mayor que el Total. ","")</f>
        <v/>
      </c>
      <c r="CJ104" s="381" t="str">
        <f>IF(AND($C104&lt;&gt;0,M104=""),"* No olvide ingresar el total según Pueblos Originarios (Digite 0 si no tiene). ","")</f>
        <v/>
      </c>
      <c r="CK104" s="381" t="str">
        <f>IF(AND($C104&lt;&gt;0,N104=""),"* No olvide ingresar el total según Pueblos Originarios (Digite 0 si no tiene). ","")</f>
        <v/>
      </c>
      <c r="DA104" s="385"/>
      <c r="DB104" s="385"/>
      <c r="DC104" s="385"/>
      <c r="DD104" s="385"/>
      <c r="DE104" s="385"/>
      <c r="DF104" s="385"/>
      <c r="DG104" s="391">
        <f>IF(M104&gt;$C104,1,0)</f>
        <v>0</v>
      </c>
      <c r="DH104" s="391">
        <f>IF(N104&gt;$C104,1,0)</f>
        <v>0</v>
      </c>
      <c r="DI104" s="391">
        <f>IF(AND($C104&lt;&gt;0,N104=""),1,0)</f>
        <v>0</v>
      </c>
      <c r="DJ104" s="391">
        <f>IF(AND($C104&lt;&gt;0,N104=""),1,0)</f>
        <v>0</v>
      </c>
    </row>
    <row r="105" spans="1:114" ht="21" customHeight="1" x14ac:dyDescent="0.25">
      <c r="A105" s="1959"/>
      <c r="B105" s="119" t="s">
        <v>113</v>
      </c>
      <c r="C105" s="678">
        <f>SUM(D105:K105)</f>
        <v>0</v>
      </c>
      <c r="D105" s="679"/>
      <c r="E105" s="705"/>
      <c r="F105" s="705"/>
      <c r="G105" s="705"/>
      <c r="H105" s="705"/>
      <c r="I105" s="705"/>
      <c r="J105" s="680"/>
      <c r="K105" s="1446"/>
      <c r="L105" s="706"/>
      <c r="M105" s="1231"/>
      <c r="N105" s="1231"/>
      <c r="O105" s="1687" t="str">
        <f t="shared" ref="O105:O106" si="77">CF105&amp;CH105&amp;CI105&amp;CJ105&amp;CK105</f>
        <v/>
      </c>
      <c r="AW105" s="183"/>
      <c r="BR105" s="1050"/>
      <c r="BT105" s="308"/>
      <c r="BU105" s="308"/>
      <c r="BV105" s="308"/>
      <c r="CF105" s="381" t="str">
        <f>IF($C105&lt;$L105, "* Niños visitados no puede ser mayor que el total Score Moderado. ","")</f>
        <v/>
      </c>
      <c r="CH105" s="381" t="str">
        <f t="shared" ref="CH105:CH106" si="78">IF(M105&gt;$C105," * El Total de Pueblos Originarios no puede ser mayor que el Total. ","")</f>
        <v/>
      </c>
      <c r="CI105" s="381" t="str">
        <f t="shared" ref="CI105:CI106" si="79">IF(N105&gt;$C105," * El Total según Población Migrante no puede ser mayor que el Total. ","")</f>
        <v/>
      </c>
      <c r="CJ105" s="381" t="str">
        <f t="shared" ref="CJ105:CJ106" si="80">IF(AND($C105&lt;&gt;0,M105=""),"* No olvide ingresar el total según Pueblos Originarios (Digite 0 si no tiene). ","")</f>
        <v/>
      </c>
      <c r="CK105" s="381" t="str">
        <f t="shared" ref="CK105:CK106" si="81">IF(AND($C105&lt;&gt;0,N105=""),"* No olvide ingresar el total según Pueblos Originarios (Digite 0 si no tiene). ","")</f>
        <v/>
      </c>
      <c r="DA105" s="385"/>
      <c r="DB105" s="385"/>
      <c r="DC105" s="385"/>
      <c r="DD105" s="391">
        <f>IF($C105&lt;$L105, 1,0)</f>
        <v>0</v>
      </c>
      <c r="DE105" s="385"/>
      <c r="DF105" s="385"/>
      <c r="DG105" s="391">
        <f t="shared" ref="DG105:DG106" si="82">IF(M105&gt;$C105,1,0)</f>
        <v>0</v>
      </c>
      <c r="DH105" s="391">
        <f t="shared" ref="DH105:DH106" si="83">IF(N105&gt;$C105,1,0)</f>
        <v>0</v>
      </c>
      <c r="DI105" s="391">
        <f t="shared" ref="DI105:DI106" si="84">IF(AND($C105&lt;&gt;0,N105=""),1,0)</f>
        <v>0</v>
      </c>
      <c r="DJ105" s="391">
        <f t="shared" ref="DJ105:DJ106" si="85">IF(AND($C105&lt;&gt;0,N105=""),1,0)</f>
        <v>0</v>
      </c>
    </row>
    <row r="106" spans="1:114" ht="21" customHeight="1" x14ac:dyDescent="0.25">
      <c r="A106" s="1959"/>
      <c r="B106" s="120" t="s">
        <v>114</v>
      </c>
      <c r="C106" s="707">
        <f>SUM(D106:K106)</f>
        <v>0</v>
      </c>
      <c r="D106" s="639"/>
      <c r="E106" s="708"/>
      <c r="F106" s="708"/>
      <c r="G106" s="708"/>
      <c r="H106" s="708"/>
      <c r="I106" s="708"/>
      <c r="J106" s="640"/>
      <c r="K106" s="1447"/>
      <c r="L106" s="709"/>
      <c r="M106" s="1235"/>
      <c r="N106" s="1235"/>
      <c r="O106" s="1687" t="str">
        <f t="shared" si="77"/>
        <v/>
      </c>
      <c r="AW106" s="183"/>
      <c r="BR106" s="1050"/>
      <c r="BT106" s="308"/>
      <c r="BU106" s="308"/>
      <c r="BV106" s="308"/>
      <c r="CF106" s="381" t="str">
        <f>IF($C106&lt;$L106, "* Niños visitados no puede ser mayor que el total Score Grave. ","")</f>
        <v/>
      </c>
      <c r="CH106" s="381" t="str">
        <f t="shared" si="78"/>
        <v/>
      </c>
      <c r="CI106" s="381" t="str">
        <f t="shared" si="79"/>
        <v/>
      </c>
      <c r="CJ106" s="381" t="str">
        <f t="shared" si="80"/>
        <v/>
      </c>
      <c r="CK106" s="381" t="str">
        <f t="shared" si="81"/>
        <v/>
      </c>
      <c r="DA106" s="385"/>
      <c r="DB106" s="385"/>
      <c r="DC106" s="385"/>
      <c r="DD106" s="391">
        <f>IF($C106&lt;$L106,1,0)</f>
        <v>0</v>
      </c>
      <c r="DE106" s="385"/>
      <c r="DF106" s="385"/>
      <c r="DG106" s="391">
        <f t="shared" si="82"/>
        <v>0</v>
      </c>
      <c r="DH106" s="391">
        <f t="shared" si="83"/>
        <v>0</v>
      </c>
      <c r="DI106" s="391">
        <f t="shared" si="84"/>
        <v>0</v>
      </c>
      <c r="DJ106" s="391">
        <f t="shared" si="85"/>
        <v>0</v>
      </c>
    </row>
    <row r="107" spans="1:114" ht="21" customHeight="1" x14ac:dyDescent="0.25">
      <c r="A107" s="1960"/>
      <c r="B107" s="121" t="s">
        <v>13</v>
      </c>
      <c r="C107" s="623">
        <f>SUM(D107:K107)</f>
        <v>0</v>
      </c>
      <c r="D107" s="646">
        <f t="shared" ref="D107:K107" si="86">SUM(D104:D106)</f>
        <v>0</v>
      </c>
      <c r="E107" s="710">
        <f t="shared" si="86"/>
        <v>0</v>
      </c>
      <c r="F107" s="710">
        <f t="shared" si="86"/>
        <v>0</v>
      </c>
      <c r="G107" s="710">
        <f t="shared" si="86"/>
        <v>0</v>
      </c>
      <c r="H107" s="710">
        <f t="shared" si="86"/>
        <v>0</v>
      </c>
      <c r="I107" s="710">
        <f t="shared" si="86"/>
        <v>0</v>
      </c>
      <c r="J107" s="647">
        <f t="shared" ref="J107" si="87">SUM(J104:J106)</f>
        <v>0</v>
      </c>
      <c r="K107" s="1448">
        <f t="shared" si="86"/>
        <v>0</v>
      </c>
      <c r="L107" s="711">
        <f>SUM(L105:L106)</f>
        <v>0</v>
      </c>
      <c r="M107" s="1316">
        <f>SUM(M104:M106)</f>
        <v>0</v>
      </c>
      <c r="N107" s="1217">
        <f>SUM(N104:N106)</f>
        <v>0</v>
      </c>
      <c r="AW107" s="183"/>
      <c r="BR107" s="1050"/>
      <c r="BT107" s="308"/>
      <c r="BU107" s="308"/>
      <c r="BV107" s="308"/>
      <c r="DA107" s="385"/>
      <c r="DB107" s="385"/>
      <c r="DC107" s="385"/>
      <c r="DD107" s="385"/>
      <c r="DE107" s="385"/>
      <c r="DF107" s="385"/>
      <c r="DG107" s="385"/>
      <c r="DH107" s="385"/>
      <c r="DI107" s="385"/>
      <c r="DJ107" s="385"/>
    </row>
    <row r="108" spans="1:114" ht="34.5" customHeight="1" x14ac:dyDescent="0.25">
      <c r="A108" s="472" t="s">
        <v>360</v>
      </c>
      <c r="B108" s="466"/>
      <c r="C108" s="466"/>
      <c r="D108" s="466"/>
      <c r="E108" s="466"/>
      <c r="F108" s="466"/>
      <c r="G108" s="466"/>
      <c r="H108" s="467"/>
      <c r="I108" s="467"/>
      <c r="BS108" s="122"/>
      <c r="BT108" s="122"/>
      <c r="BU108" s="122"/>
      <c r="CF108" s="463"/>
      <c r="CG108" s="463"/>
      <c r="CH108" s="463"/>
      <c r="CI108" s="463"/>
      <c r="CJ108" s="463"/>
      <c r="CK108" s="463"/>
      <c r="DA108" s="468"/>
      <c r="DB108" s="468"/>
      <c r="DC108" s="385"/>
      <c r="DD108" s="385"/>
      <c r="DE108" s="385"/>
      <c r="DF108" s="385"/>
      <c r="DG108" s="385"/>
      <c r="DH108" s="385"/>
      <c r="DI108" s="385"/>
      <c r="DJ108" s="385"/>
    </row>
    <row r="109" spans="1:114" ht="14.25" customHeight="1" x14ac:dyDescent="0.25">
      <c r="A109" s="1815" t="s">
        <v>115</v>
      </c>
      <c r="B109" s="1802"/>
      <c r="C109" s="1850" t="s">
        <v>13</v>
      </c>
      <c r="D109" s="123"/>
      <c r="E109" s="111"/>
      <c r="F109" s="111"/>
      <c r="G109" s="112"/>
      <c r="H109" s="112"/>
      <c r="BS109" s="368"/>
      <c r="BT109" s="368"/>
      <c r="BU109" s="368"/>
      <c r="CF109" s="339"/>
      <c r="CG109" s="339"/>
      <c r="CH109" s="339"/>
      <c r="CI109" s="339"/>
      <c r="CJ109" s="339"/>
      <c r="CK109" s="339"/>
      <c r="DA109" s="443"/>
      <c r="DB109" s="443"/>
      <c r="DC109" s="385"/>
      <c r="DD109" s="385"/>
      <c r="DE109" s="385"/>
      <c r="DF109" s="385"/>
      <c r="DG109" s="385"/>
      <c r="DH109" s="385"/>
      <c r="DI109" s="385"/>
      <c r="DJ109" s="385"/>
    </row>
    <row r="110" spans="1:114" ht="12.75" customHeight="1" x14ac:dyDescent="0.25">
      <c r="A110" s="1867"/>
      <c r="B110" s="1804"/>
      <c r="C110" s="1851"/>
      <c r="D110" s="111"/>
      <c r="E110" s="111"/>
      <c r="F110" s="111"/>
      <c r="G110" s="111"/>
      <c r="H110" s="111"/>
      <c r="DA110" s="385"/>
      <c r="DB110" s="385"/>
      <c r="DC110" s="385"/>
      <c r="DD110" s="385"/>
      <c r="DE110" s="385"/>
      <c r="DF110" s="385"/>
      <c r="DG110" s="385"/>
      <c r="DH110" s="385"/>
      <c r="DI110" s="385"/>
      <c r="DJ110" s="385"/>
    </row>
    <row r="111" spans="1:114" x14ac:dyDescent="0.25">
      <c r="A111" s="1872" t="s">
        <v>319</v>
      </c>
      <c r="B111" s="1873"/>
      <c r="C111" s="712"/>
      <c r="E111" s="386"/>
      <c r="F111" s="386"/>
      <c r="G111" s="386"/>
      <c r="H111" s="386"/>
      <c r="DA111" s="385"/>
      <c r="DB111" s="385"/>
      <c r="DC111" s="385"/>
      <c r="DD111" s="385"/>
      <c r="DE111" s="385"/>
      <c r="DF111" s="385"/>
      <c r="DG111" s="385"/>
      <c r="DH111" s="385"/>
      <c r="DI111" s="385"/>
      <c r="DJ111" s="385"/>
    </row>
    <row r="112" spans="1:114" ht="18" customHeight="1" x14ac:dyDescent="0.25">
      <c r="A112" s="1862" t="s">
        <v>320</v>
      </c>
      <c r="B112" s="1863"/>
      <c r="C112" s="713"/>
      <c r="E112" s="386"/>
      <c r="F112" s="386"/>
      <c r="G112" s="386"/>
      <c r="H112" s="386"/>
      <c r="DA112" s="385"/>
      <c r="DB112" s="385"/>
      <c r="DC112" s="385"/>
      <c r="DD112" s="385"/>
      <c r="DE112" s="385"/>
      <c r="DF112" s="385"/>
      <c r="DG112" s="385"/>
      <c r="DH112" s="385"/>
      <c r="DI112" s="385"/>
      <c r="DJ112" s="385"/>
    </row>
    <row r="113" spans="1:130" ht="31.5" customHeight="1" x14ac:dyDescent="0.25">
      <c r="A113" s="1204" t="s">
        <v>361</v>
      </c>
      <c r="B113" s="1205"/>
      <c r="C113" s="1205"/>
      <c r="D113" s="1205"/>
      <c r="E113" s="1205"/>
      <c r="F113" s="1205"/>
      <c r="G113" s="1205"/>
      <c r="H113" s="458"/>
      <c r="J113" s="458"/>
      <c r="DA113" s="385"/>
      <c r="DB113" s="385"/>
      <c r="DC113" s="385"/>
      <c r="DD113" s="385"/>
      <c r="DE113" s="385"/>
      <c r="DF113" s="385"/>
      <c r="DG113" s="385"/>
      <c r="DH113" s="385"/>
      <c r="DI113" s="385"/>
      <c r="DJ113" s="385"/>
    </row>
    <row r="114" spans="1:130" ht="12.75" customHeight="1" x14ac:dyDescent="0.25">
      <c r="A114" s="1858" t="s">
        <v>116</v>
      </c>
      <c r="B114" s="1859"/>
      <c r="C114" s="1856" t="s">
        <v>13</v>
      </c>
      <c r="H114" s="112"/>
      <c r="DA114" s="385"/>
      <c r="DB114" s="385"/>
      <c r="DC114" s="385"/>
      <c r="DD114" s="385"/>
      <c r="DE114" s="385"/>
      <c r="DF114" s="385"/>
      <c r="DG114" s="385"/>
      <c r="DH114" s="385"/>
      <c r="DI114" s="385"/>
      <c r="DJ114" s="385"/>
    </row>
    <row r="115" spans="1:130" ht="12.75" customHeight="1" x14ac:dyDescent="0.25">
      <c r="A115" s="1860"/>
      <c r="B115" s="1861"/>
      <c r="C115" s="1857"/>
      <c r="H115" s="111"/>
      <c r="DA115" s="385"/>
      <c r="DB115" s="385"/>
      <c r="DC115" s="385"/>
      <c r="DD115" s="385"/>
      <c r="DE115" s="385"/>
      <c r="DF115" s="385"/>
      <c r="DG115" s="385"/>
      <c r="DH115" s="385"/>
      <c r="DI115" s="385"/>
      <c r="DJ115" s="385"/>
    </row>
    <row r="116" spans="1:130" ht="24" customHeight="1" x14ac:dyDescent="0.25">
      <c r="A116" s="1852" t="s">
        <v>818</v>
      </c>
      <c r="B116" s="1853"/>
      <c r="C116" s="712"/>
      <c r="DA116" s="385"/>
      <c r="DB116" s="385"/>
      <c r="DC116" s="385"/>
      <c r="DD116" s="385"/>
      <c r="DE116" s="385"/>
      <c r="DF116" s="385"/>
      <c r="DG116" s="385"/>
      <c r="DH116" s="385"/>
      <c r="DI116" s="385"/>
      <c r="DJ116" s="385"/>
    </row>
    <row r="117" spans="1:130" ht="24" customHeight="1" x14ac:dyDescent="0.25">
      <c r="A117" s="1879" t="s">
        <v>819</v>
      </c>
      <c r="B117" s="1880"/>
      <c r="C117" s="1203"/>
      <c r="DA117" s="385"/>
      <c r="DB117" s="385"/>
      <c r="DC117" s="385"/>
      <c r="DD117" s="385"/>
      <c r="DE117" s="385"/>
      <c r="DF117" s="385"/>
      <c r="DG117" s="385"/>
      <c r="DH117" s="385"/>
      <c r="DI117" s="385"/>
      <c r="DJ117" s="385"/>
    </row>
    <row r="118" spans="1:130" ht="24" customHeight="1" x14ac:dyDescent="0.25">
      <c r="A118" s="1854" t="s">
        <v>816</v>
      </c>
      <c r="B118" s="1855"/>
      <c r="C118" s="1203"/>
      <c r="DA118" s="385"/>
      <c r="DB118" s="385"/>
      <c r="DC118" s="385"/>
      <c r="DD118" s="385"/>
      <c r="DE118" s="385"/>
      <c r="DF118" s="385"/>
      <c r="DG118" s="385"/>
      <c r="DH118" s="385"/>
      <c r="DI118" s="385"/>
      <c r="DJ118" s="385"/>
    </row>
    <row r="119" spans="1:130" ht="24" customHeight="1" x14ac:dyDescent="0.25">
      <c r="A119" s="1854" t="s">
        <v>817</v>
      </c>
      <c r="B119" s="1855"/>
      <c r="C119" s="1203"/>
      <c r="DA119" s="385"/>
      <c r="DB119" s="385"/>
      <c r="DC119" s="385"/>
      <c r="DD119" s="385"/>
      <c r="DE119" s="385"/>
      <c r="DF119" s="385"/>
      <c r="DG119" s="385"/>
      <c r="DH119" s="385"/>
      <c r="DI119" s="385"/>
      <c r="DJ119" s="385"/>
    </row>
    <row r="120" spans="1:130" ht="24" customHeight="1" x14ac:dyDescent="0.25">
      <c r="A120" s="1854" t="s">
        <v>820</v>
      </c>
      <c r="B120" s="1855"/>
      <c r="C120" s="1349"/>
      <c r="DA120" s="385"/>
      <c r="DB120" s="385"/>
      <c r="DC120" s="385"/>
      <c r="DD120" s="385"/>
      <c r="DE120" s="385"/>
      <c r="DF120" s="385"/>
      <c r="DG120" s="385"/>
      <c r="DH120" s="385"/>
      <c r="DI120" s="385"/>
      <c r="DJ120" s="385"/>
    </row>
    <row r="121" spans="1:130" ht="24" customHeight="1" x14ac:dyDescent="0.25">
      <c r="A121" s="1874" t="s">
        <v>13</v>
      </c>
      <c r="B121" s="1875"/>
      <c r="C121" s="1350">
        <f>SUM(C116:C120)</f>
        <v>0</v>
      </c>
      <c r="DA121" s="385"/>
      <c r="DB121" s="385"/>
      <c r="DC121" s="385"/>
      <c r="DD121" s="385"/>
      <c r="DE121" s="385"/>
      <c r="DF121" s="385"/>
      <c r="DG121" s="385"/>
      <c r="DH121" s="385"/>
      <c r="DI121" s="385"/>
      <c r="DJ121" s="385"/>
    </row>
    <row r="122" spans="1:130" ht="33" customHeight="1" x14ac:dyDescent="0.25">
      <c r="A122" s="471" t="s">
        <v>458</v>
      </c>
      <c r="B122" s="465"/>
      <c r="C122" s="465"/>
      <c r="D122" s="465"/>
      <c r="E122" s="465"/>
      <c r="F122" s="465"/>
      <c r="DA122" s="385"/>
      <c r="DB122" s="385"/>
      <c r="DC122" s="385"/>
      <c r="DD122" s="385"/>
      <c r="DE122" s="385"/>
      <c r="DF122" s="385"/>
      <c r="DG122" s="385"/>
      <c r="DH122" s="385"/>
      <c r="DI122" s="385"/>
      <c r="DJ122" s="385"/>
    </row>
    <row r="123" spans="1:130" ht="21" customHeight="1" x14ac:dyDescent="0.25">
      <c r="A123" s="1815" t="s">
        <v>117</v>
      </c>
      <c r="B123" s="1802"/>
      <c r="C123" s="1864" t="s">
        <v>496</v>
      </c>
      <c r="D123" s="1865"/>
      <c r="E123" s="1866"/>
      <c r="F123" s="1869" t="s">
        <v>118</v>
      </c>
      <c r="G123" s="1953"/>
      <c r="H123" s="1953"/>
      <c r="I123" s="1953"/>
      <c r="J123" s="1953"/>
      <c r="K123" s="1954"/>
      <c r="L123" s="1955" t="s">
        <v>622</v>
      </c>
      <c r="AW123" s="183"/>
      <c r="AX123" s="183"/>
      <c r="AY123" s="183"/>
      <c r="AZ123" s="183"/>
      <c r="BA123" s="183"/>
      <c r="BR123" s="1050"/>
      <c r="BS123" s="1050"/>
      <c r="BT123" s="1050"/>
      <c r="BU123" s="1050"/>
      <c r="BV123" s="1050"/>
      <c r="DA123" s="385"/>
      <c r="DB123" s="385"/>
      <c r="DC123" s="385"/>
      <c r="DD123" s="385"/>
      <c r="DE123" s="385"/>
      <c r="DF123" s="385"/>
      <c r="DG123" s="385"/>
      <c r="DH123" s="385"/>
      <c r="DI123" s="385"/>
      <c r="DJ123" s="385"/>
      <c r="DV123" s="180"/>
      <c r="DW123" s="180"/>
      <c r="DX123" s="180"/>
      <c r="DY123" s="180"/>
      <c r="DZ123" s="180"/>
    </row>
    <row r="124" spans="1:130" ht="27" customHeight="1" x14ac:dyDescent="0.25">
      <c r="A124" s="1878"/>
      <c r="B124" s="1803"/>
      <c r="C124" s="1867"/>
      <c r="D124" s="1868"/>
      <c r="E124" s="1804"/>
      <c r="F124" s="1908" t="s">
        <v>119</v>
      </c>
      <c r="G124" s="1843"/>
      <c r="H124" s="1950" t="s">
        <v>120</v>
      </c>
      <c r="I124" s="1843"/>
      <c r="J124" s="1950" t="s">
        <v>121</v>
      </c>
      <c r="K124" s="1951"/>
      <c r="L124" s="1811"/>
      <c r="AW124" s="183"/>
      <c r="AX124" s="183"/>
      <c r="AY124" s="183"/>
      <c r="AZ124" s="183"/>
      <c r="BA124" s="183"/>
      <c r="BR124" s="1050"/>
      <c r="BS124" s="1050"/>
      <c r="BT124" s="1050"/>
      <c r="BU124" s="1050"/>
      <c r="BV124" s="1050"/>
      <c r="DA124" s="385"/>
      <c r="DB124" s="385"/>
      <c r="DC124" s="385"/>
      <c r="DD124" s="385"/>
      <c r="DE124" s="385"/>
      <c r="DF124" s="385"/>
      <c r="DG124" s="385"/>
      <c r="DH124" s="385"/>
      <c r="DI124" s="385"/>
      <c r="DJ124" s="385"/>
      <c r="DV124" s="180"/>
      <c r="DW124" s="180"/>
      <c r="DX124" s="180"/>
      <c r="DY124" s="180"/>
      <c r="DZ124" s="180"/>
    </row>
    <row r="125" spans="1:130" ht="28.5" customHeight="1" x14ac:dyDescent="0.25">
      <c r="A125" s="1867"/>
      <c r="B125" s="1804"/>
      <c r="C125" s="94" t="s">
        <v>496</v>
      </c>
      <c r="D125" s="1047" t="s">
        <v>31</v>
      </c>
      <c r="E125" s="1219" t="s">
        <v>94</v>
      </c>
      <c r="F125" s="1132" t="s">
        <v>31</v>
      </c>
      <c r="G125" s="1132" t="s">
        <v>94</v>
      </c>
      <c r="H125" s="1132" t="s">
        <v>31</v>
      </c>
      <c r="I125" s="1132" t="s">
        <v>94</v>
      </c>
      <c r="J125" s="1225" t="s">
        <v>31</v>
      </c>
      <c r="K125" s="1218" t="s">
        <v>94</v>
      </c>
      <c r="L125" s="1812"/>
      <c r="AW125" s="183"/>
      <c r="AX125" s="183"/>
      <c r="AY125" s="183"/>
      <c r="AZ125" s="183"/>
      <c r="BA125" s="183"/>
      <c r="BR125" s="1050"/>
      <c r="BS125" s="1050"/>
      <c r="BT125" s="1050"/>
      <c r="BU125" s="1050"/>
      <c r="BV125" s="1050"/>
      <c r="DA125" s="385"/>
      <c r="DB125" s="385"/>
      <c r="DC125" s="385"/>
      <c r="DD125" s="385"/>
      <c r="DE125" s="385"/>
      <c r="DF125" s="385"/>
      <c r="DG125" s="385"/>
      <c r="DH125" s="385"/>
      <c r="DI125" s="385"/>
      <c r="DJ125" s="385"/>
      <c r="DV125" s="180"/>
      <c r="DW125" s="180"/>
      <c r="DX125" s="180"/>
      <c r="DY125" s="180"/>
      <c r="DZ125" s="180"/>
    </row>
    <row r="126" spans="1:130" ht="26.25" customHeight="1" x14ac:dyDescent="0.25">
      <c r="A126" s="1823" t="s">
        <v>122</v>
      </c>
      <c r="B126" s="1824"/>
      <c r="C126" s="1226">
        <f>SUM(D126:E126)</f>
        <v>0</v>
      </c>
      <c r="D126" s="1227">
        <f>+F126+H126+J126</f>
        <v>0</v>
      </c>
      <c r="E126" s="1675">
        <f>+G126+I126+K126</f>
        <v>0</v>
      </c>
      <c r="F126" s="633"/>
      <c r="G126" s="636"/>
      <c r="H126" s="636"/>
      <c r="I126" s="704"/>
      <c r="J126" s="704"/>
      <c r="K126" s="1228"/>
      <c r="L126" s="1228"/>
      <c r="M126" s="1687" t="str">
        <f>CI126&amp;CJ126&amp;CK126</f>
        <v/>
      </c>
      <c r="AW126" s="183"/>
      <c r="AX126" s="183"/>
      <c r="AY126" s="183"/>
      <c r="AZ126" s="183"/>
      <c r="BA126" s="183"/>
      <c r="BR126" s="1050"/>
      <c r="BS126" s="1050"/>
      <c r="BT126" s="1050"/>
      <c r="BU126" s="1050"/>
      <c r="BV126" s="1050"/>
      <c r="BX126" s="308"/>
      <c r="BY126" s="308"/>
      <c r="BZ126" s="308"/>
      <c r="CI126" s="381" t="str">
        <f>IF(SUM($F126:$G126)&lt;=SUM($AB$11:$AC$11),"","* Niños(as) de 36 a 47 ms clasificados debe ser menor o igual al Total de la población de niños bajo control de en sección A misma edad. ")</f>
        <v/>
      </c>
      <c r="CJ126" s="381" t="str">
        <f>IF(SUM($H126:$I126)&lt;=SUM($AD$11:$AE$11,$F$44:$G$44),"","* Niños(as) de 48 a 71 meses clasificados debe ser menor o igual al Total de la población de niños bajo control de en sección A y A1 de la misma edad. ")</f>
        <v/>
      </c>
      <c r="CK126" s="381" t="str">
        <f>IF(SUM($J126:$K126)&lt;=SUM($H$44:$O$44),"","* Niños(as) de 6 a 9 años clasificados debe ser menor o igual al Total de la población de niños bajo control de en sección A1 misma edad ")</f>
        <v/>
      </c>
      <c r="DA126" s="385"/>
      <c r="DB126" s="385"/>
      <c r="DC126" s="385"/>
      <c r="DD126" s="385"/>
      <c r="DE126" s="391">
        <f>IF(SUM($F126:$G126)&lt;=SUM($AB$11:$AC$11),0,1)</f>
        <v>0</v>
      </c>
      <c r="DF126" s="391">
        <f>IF(SUM($H126:$I126)&lt;=SUM($AD$11:$AE$11,$F$44:$G$44),0,1)</f>
        <v>0</v>
      </c>
      <c r="DG126" s="391">
        <f>IF(SUM($J126:$K126)&lt;=SUM($H$44:$O$44),0,1)</f>
        <v>0</v>
      </c>
      <c r="DH126" s="385"/>
      <c r="DI126" s="385"/>
      <c r="DJ126" s="385"/>
      <c r="DV126" s="180"/>
      <c r="DW126" s="180"/>
      <c r="DX126" s="180"/>
      <c r="DY126" s="180"/>
      <c r="DZ126" s="180"/>
    </row>
    <row r="127" spans="1:130" ht="26.25" customHeight="1" x14ac:dyDescent="0.25">
      <c r="A127" s="1848" t="s">
        <v>577</v>
      </c>
      <c r="B127" s="1849"/>
      <c r="C127" s="1229">
        <f t="shared" ref="C127:C129" si="88">SUM(D127:E127)</f>
        <v>0</v>
      </c>
      <c r="D127" s="1230">
        <f t="shared" ref="D127:D129" si="89">+F127+H127+J127</f>
        <v>0</v>
      </c>
      <c r="E127" s="1676">
        <f t="shared" ref="E127:E129" si="90">+G127+I127+K127</f>
        <v>0</v>
      </c>
      <c r="F127" s="679"/>
      <c r="G127" s="682"/>
      <c r="H127" s="682"/>
      <c r="I127" s="705"/>
      <c r="J127" s="705"/>
      <c r="K127" s="1231"/>
      <c r="L127" s="1231"/>
      <c r="M127" s="1687" t="str">
        <f t="shared" ref="M127:M129" si="91">CI127&amp;CJ127&amp;CK127</f>
        <v/>
      </c>
      <c r="AW127" s="183"/>
      <c r="AX127" s="183"/>
      <c r="AY127" s="183"/>
      <c r="AZ127" s="183"/>
      <c r="BA127" s="183"/>
      <c r="BR127" s="1050"/>
      <c r="BS127" s="1050"/>
      <c r="BT127" s="1050"/>
      <c r="BU127" s="1050"/>
      <c r="BV127" s="1050"/>
      <c r="BX127" s="308"/>
      <c r="BY127" s="308"/>
      <c r="BZ127" s="308"/>
      <c r="CI127" s="381" t="str">
        <f t="shared" ref="CI127:CI129" si="92">IF(SUM($F127:$G127)&lt;=SUM($AB$11:$AC$11),"","* Niños(as) de 36 a 47 ms clasificados debe ser menor o igual al Total de la población de niños bajo control de en sección A misma edad. ")</f>
        <v/>
      </c>
      <c r="CJ127" s="381" t="str">
        <f t="shared" ref="CJ127:CJ129" si="93">IF(SUM($H127:$I127)&lt;=SUM($AD$11:$AE$11,$F$44:$G$44),"","* Niños(as) de 48 a 71 meses clasificados debe ser menor o igual al Total de la población de niños bajo control de en sección A y A1 de la misma edad. ")</f>
        <v/>
      </c>
      <c r="CK127" s="381" t="str">
        <f t="shared" ref="CK127:CK129" si="94">IF(SUM($J127:$K127)&lt;=SUM($H$44:$O$44),"","* Niños(as) de 6 a 9 años clasificados debe ser menor o igual al Total de la población de niños bajo control de en sección A1 misma edad ")</f>
        <v/>
      </c>
      <c r="DA127" s="385"/>
      <c r="DB127" s="385"/>
      <c r="DC127" s="385"/>
      <c r="DD127" s="385"/>
      <c r="DE127" s="391">
        <f t="shared" ref="DE127:DE129" si="95">IF(SUM($F127:$G127)&lt;=SUM($AB$11:$AC$11),0,1)</f>
        <v>0</v>
      </c>
      <c r="DF127" s="391">
        <f t="shared" ref="DF127:DF129" si="96">IF(SUM($H127:$I127)&lt;=SUM($AD$11:$AE$11,$F$44:$G$44),0,1)</f>
        <v>0</v>
      </c>
      <c r="DG127" s="391">
        <f t="shared" ref="DG127:DG129" si="97">IF(SUM($J127:$K127)&lt;=SUM($H$44:$O$44),0,1)</f>
        <v>0</v>
      </c>
      <c r="DH127" s="385"/>
      <c r="DI127" s="385"/>
      <c r="DJ127" s="385"/>
      <c r="DV127" s="180"/>
      <c r="DW127" s="180"/>
      <c r="DX127" s="180"/>
      <c r="DY127" s="180"/>
      <c r="DZ127" s="180"/>
    </row>
    <row r="128" spans="1:130" ht="26.25" customHeight="1" x14ac:dyDescent="0.25">
      <c r="A128" s="1848" t="s">
        <v>615</v>
      </c>
      <c r="B128" s="1849"/>
      <c r="C128" s="1229">
        <f t="shared" si="88"/>
        <v>0</v>
      </c>
      <c r="D128" s="1230">
        <f>+F128+H128+J128</f>
        <v>0</v>
      </c>
      <c r="E128" s="1676">
        <f t="shared" si="90"/>
        <v>0</v>
      </c>
      <c r="F128" s="679"/>
      <c r="G128" s="682"/>
      <c r="H128" s="682"/>
      <c r="I128" s="705"/>
      <c r="J128" s="705"/>
      <c r="K128" s="1231"/>
      <c r="L128" s="1231"/>
      <c r="M128" s="1687" t="str">
        <f t="shared" si="91"/>
        <v/>
      </c>
      <c r="AW128" s="183"/>
      <c r="AX128" s="183"/>
      <c r="AY128" s="183"/>
      <c r="AZ128" s="183"/>
      <c r="BA128" s="183"/>
      <c r="BR128" s="1050"/>
      <c r="BS128" s="1050"/>
      <c r="BT128" s="1050"/>
      <c r="BU128" s="1050"/>
      <c r="BV128" s="1050"/>
      <c r="BX128" s="308"/>
      <c r="BY128" s="308"/>
      <c r="BZ128" s="308"/>
      <c r="CI128" s="381" t="str">
        <f t="shared" si="92"/>
        <v/>
      </c>
      <c r="CJ128" s="381" t="str">
        <f t="shared" si="93"/>
        <v/>
      </c>
      <c r="CK128" s="381" t="str">
        <f t="shared" si="94"/>
        <v/>
      </c>
      <c r="DA128" s="385"/>
      <c r="DB128" s="385"/>
      <c r="DC128" s="385"/>
      <c r="DD128" s="385"/>
      <c r="DE128" s="391">
        <f t="shared" si="95"/>
        <v>0</v>
      </c>
      <c r="DF128" s="391">
        <f t="shared" si="96"/>
        <v>0</v>
      </c>
      <c r="DG128" s="391">
        <f t="shared" si="97"/>
        <v>0</v>
      </c>
      <c r="DH128" s="385"/>
      <c r="DI128" s="385"/>
      <c r="DJ128" s="385"/>
      <c r="DV128" s="180"/>
      <c r="DW128" s="180"/>
      <c r="DX128" s="180"/>
      <c r="DY128" s="180"/>
      <c r="DZ128" s="180"/>
    </row>
    <row r="129" spans="1:130" ht="26.25" customHeight="1" x14ac:dyDescent="0.25">
      <c r="A129" s="1827" t="s">
        <v>616</v>
      </c>
      <c r="B129" s="1828"/>
      <c r="C129" s="1232">
        <f t="shared" si="88"/>
        <v>0</v>
      </c>
      <c r="D129" s="1233">
        <f t="shared" si="89"/>
        <v>0</v>
      </c>
      <c r="E129" s="1677">
        <f t="shared" si="90"/>
        <v>0</v>
      </c>
      <c r="F129" s="639"/>
      <c r="G129" s="642"/>
      <c r="H129" s="642"/>
      <c r="I129" s="708"/>
      <c r="J129" s="708"/>
      <c r="K129" s="1235"/>
      <c r="L129" s="1235"/>
      <c r="M129" s="1687" t="str">
        <f t="shared" si="91"/>
        <v/>
      </c>
      <c r="AW129" s="183"/>
      <c r="AX129" s="183"/>
      <c r="AY129" s="183"/>
      <c r="AZ129" s="183"/>
      <c r="BA129" s="183"/>
      <c r="BR129" s="1050"/>
      <c r="BS129" s="1050"/>
      <c r="BT129" s="1050"/>
      <c r="BU129" s="1050"/>
      <c r="BV129" s="1050"/>
      <c r="BX129" s="308"/>
      <c r="BY129" s="308"/>
      <c r="BZ129" s="308"/>
      <c r="CI129" s="381" t="str">
        <f t="shared" si="92"/>
        <v/>
      </c>
      <c r="CJ129" s="381" t="str">
        <f t="shared" si="93"/>
        <v/>
      </c>
      <c r="CK129" s="381" t="str">
        <f t="shared" si="94"/>
        <v/>
      </c>
      <c r="DA129" s="385"/>
      <c r="DB129" s="385"/>
      <c r="DC129" s="385"/>
      <c r="DD129" s="385"/>
      <c r="DE129" s="391">
        <f t="shared" si="95"/>
        <v>0</v>
      </c>
      <c r="DF129" s="391">
        <f t="shared" si="96"/>
        <v>0</v>
      </c>
      <c r="DG129" s="391">
        <f t="shared" si="97"/>
        <v>0</v>
      </c>
      <c r="DH129" s="385"/>
      <c r="DI129" s="385"/>
      <c r="DJ129" s="385"/>
      <c r="DV129" s="180"/>
      <c r="DW129" s="180"/>
      <c r="DX129" s="180"/>
      <c r="DY129" s="180"/>
      <c r="DZ129" s="180"/>
    </row>
    <row r="130" spans="1:130" ht="26.25" customHeight="1" x14ac:dyDescent="0.25">
      <c r="A130" s="1876" t="s">
        <v>13</v>
      </c>
      <c r="B130" s="1877"/>
      <c r="C130" s="1236">
        <f>SUM(D130:E130)</f>
        <v>0</v>
      </c>
      <c r="D130" s="1237">
        <f>+F130+H130+J130</f>
        <v>0</v>
      </c>
      <c r="E130" s="1217">
        <f>+G130+I130+K130</f>
        <v>0</v>
      </c>
      <c r="F130" s="646">
        <f>SUM(F126:F129)</f>
        <v>0</v>
      </c>
      <c r="G130" s="1131">
        <f>SUM(G126:G129)</f>
        <v>0</v>
      </c>
      <c r="H130" s="1131">
        <f t="shared" ref="H130:J130" si="98">SUM(H126:H129)</f>
        <v>0</v>
      </c>
      <c r="I130" s="710">
        <f t="shared" si="98"/>
        <v>0</v>
      </c>
      <c r="J130" s="710">
        <f t="shared" si="98"/>
        <v>0</v>
      </c>
      <c r="K130" s="1217">
        <f>SUM(K126:K129)</f>
        <v>0</v>
      </c>
      <c r="L130" s="1217">
        <f>SUM(L126:L129)</f>
        <v>0</v>
      </c>
      <c r="AW130" s="183"/>
      <c r="AX130" s="183"/>
      <c r="AY130" s="183"/>
      <c r="AZ130" s="183"/>
      <c r="BA130" s="183"/>
      <c r="BR130" s="1050"/>
      <c r="BS130" s="1050"/>
      <c r="BT130" s="1050"/>
      <c r="BU130" s="1050"/>
      <c r="BV130" s="1050"/>
      <c r="BX130" s="308"/>
      <c r="BY130" s="308"/>
      <c r="BZ130" s="308"/>
      <c r="CI130" s="325"/>
      <c r="CJ130" s="325"/>
      <c r="CK130" s="325"/>
      <c r="DA130" s="385"/>
      <c r="DB130" s="385"/>
      <c r="DC130" s="385"/>
      <c r="DD130" s="385"/>
      <c r="DE130" s="385"/>
      <c r="DF130" s="385"/>
      <c r="DG130" s="385"/>
      <c r="DH130" s="385"/>
      <c r="DI130" s="385"/>
      <c r="DJ130" s="385"/>
      <c r="DV130" s="180"/>
      <c r="DW130" s="180"/>
      <c r="DX130" s="180"/>
      <c r="DY130" s="180"/>
      <c r="DZ130" s="180"/>
    </row>
    <row r="131" spans="1:130" ht="29.25" customHeight="1" x14ac:dyDescent="0.25">
      <c r="A131" s="473" t="s">
        <v>457</v>
      </c>
      <c r="B131" s="469"/>
      <c r="C131" s="469"/>
      <c r="D131" s="469"/>
      <c r="E131" s="469"/>
      <c r="F131" s="469"/>
      <c r="G131" s="469"/>
      <c r="H131" s="469"/>
      <c r="I131" s="467"/>
      <c r="AW131" s="183"/>
      <c r="BR131" s="1050"/>
      <c r="BT131" s="308"/>
      <c r="BU131" s="308"/>
      <c r="BV131" s="308"/>
      <c r="DA131" s="385"/>
      <c r="DB131" s="385"/>
      <c r="DC131" s="385"/>
      <c r="DD131" s="385"/>
      <c r="DE131" s="385"/>
      <c r="DF131" s="385"/>
      <c r="DG131" s="385"/>
      <c r="DH131" s="385"/>
      <c r="DI131" s="385"/>
      <c r="DJ131" s="385"/>
      <c r="DZ131" s="180"/>
    </row>
    <row r="132" spans="1:130" ht="15" customHeight="1" x14ac:dyDescent="0.25">
      <c r="A132" s="1815" t="s">
        <v>110</v>
      </c>
      <c r="B132" s="1802"/>
      <c r="C132" s="1850" t="s">
        <v>13</v>
      </c>
      <c r="D132" s="1869" t="s">
        <v>118</v>
      </c>
      <c r="E132" s="1870"/>
      <c r="F132" s="1870"/>
      <c r="G132" s="1870"/>
      <c r="H132" s="1870"/>
      <c r="I132" s="1871"/>
      <c r="BS132" s="308"/>
      <c r="BT132" s="308"/>
      <c r="BU132" s="308"/>
      <c r="DA132" s="385"/>
      <c r="DB132" s="385"/>
      <c r="DC132" s="385"/>
      <c r="DD132" s="385"/>
      <c r="DE132" s="385"/>
      <c r="DF132" s="385"/>
      <c r="DG132" s="385"/>
      <c r="DH132" s="385"/>
      <c r="DI132" s="385"/>
      <c r="DJ132" s="385"/>
    </row>
    <row r="133" spans="1:130" ht="25.5" customHeight="1" x14ac:dyDescent="0.25">
      <c r="A133" s="1867"/>
      <c r="B133" s="1804"/>
      <c r="C133" s="1851"/>
      <c r="D133" s="357" t="s">
        <v>511</v>
      </c>
      <c r="E133" s="356" t="s">
        <v>106</v>
      </c>
      <c r="F133" s="356" t="s">
        <v>88</v>
      </c>
      <c r="G133" s="356" t="s">
        <v>119</v>
      </c>
      <c r="H133" s="356" t="s">
        <v>91</v>
      </c>
      <c r="I133" s="124" t="s">
        <v>92</v>
      </c>
      <c r="BS133" s="308"/>
      <c r="BT133" s="308"/>
      <c r="BU133" s="308"/>
      <c r="DA133" s="385"/>
      <c r="DB133" s="385"/>
      <c r="DC133" s="385"/>
      <c r="DD133" s="385"/>
      <c r="DE133" s="385"/>
      <c r="DF133" s="385"/>
      <c r="DG133" s="385"/>
      <c r="DH133" s="385"/>
      <c r="DI133" s="385"/>
      <c r="DJ133" s="385"/>
    </row>
    <row r="134" spans="1:130" ht="21.75" customHeight="1" x14ac:dyDescent="0.25">
      <c r="A134" s="1823" t="s">
        <v>123</v>
      </c>
      <c r="B134" s="1824"/>
      <c r="C134" s="632">
        <f>SUM(D134:I134)</f>
        <v>0</v>
      </c>
      <c r="D134" s="633"/>
      <c r="E134" s="704"/>
      <c r="F134" s="704"/>
      <c r="G134" s="704"/>
      <c r="H134" s="704"/>
      <c r="I134" s="634"/>
      <c r="J134" s="1687" t="str">
        <f xml:space="preserve"> CF134 &amp; CG134 &amp; CH134 &amp; CI134 &amp; CJ134 &amp; CK134</f>
        <v/>
      </c>
      <c r="BS134" s="308"/>
      <c r="BT134" s="308"/>
      <c r="BU134" s="308"/>
      <c r="CF134" s="381" t="str">
        <f>IF($D134&lt;=SUM($N$35:$U$35),"","* Niños(as) de 4 a 11 ms clasificados debe ser menor o igual al Total niños diagnostidos en NORMAL sección A misma edad. ")</f>
        <v/>
      </c>
      <c r="CG134" s="381" t="str">
        <f>IF($E134&lt;=SUM($V$35:$Y$35),"","* Niños(as) de 12 a 23 ms clasificados debe ser menor o igual al Total niños diagnosticados en NORMAL en sección A misma edad. ")</f>
        <v/>
      </c>
      <c r="CH134" s="381" t="str">
        <f>IF($F134&lt;=SUM($Z$35:$AA$35),"","* Niños(as) de 24 a 35 ms clasificados debe ser menor o igual al Total niños diagnosticados en NORMAL en sección A misma edad. ")</f>
        <v/>
      </c>
      <c r="CI134" s="381" t="str">
        <f>IF($G134&lt;=SUM($AB$35:$AC$35),"","* Niños(as) de 36 a 47 ms clasificados debe ser menor o igual al Total niños diagnosticos en NORMAL en sección A misma edad. ")</f>
        <v/>
      </c>
      <c r="CJ134" s="381" t="str">
        <f>IF($H134&lt;=SUM($AD$35:$AE$35),"","* Niños(as) de 48 a 59 ms clasificados debe ser menor o igual al Total niños diagnosticados en NORMAL en sección A misma edad. ")</f>
        <v/>
      </c>
      <c r="CK134" s="381" t="str">
        <f>IF($I134&lt;=SUM($F$69:$G$69),"","* Niños(as) de 60 a 71 ms clasificados debe ser menor o igual al Total niños diagnosticados en NORMAL en sección A1 misma edad. ")</f>
        <v/>
      </c>
      <c r="DA134" s="385"/>
      <c r="DB134" s="385"/>
      <c r="DC134" s="385"/>
      <c r="DD134" s="385"/>
      <c r="DE134" s="391">
        <f>IF($D134&lt;=SUM($N$35:$U$35),0,1)</f>
        <v>0</v>
      </c>
      <c r="DF134" s="391">
        <f>IF($E134&lt;=SUM($V$35:$Y$35),0,1)</f>
        <v>0</v>
      </c>
      <c r="DG134" s="391">
        <f>IF($F134&lt;=SUM($Z$35:$AA$35),0,1)</f>
        <v>0</v>
      </c>
      <c r="DH134" s="391">
        <f>IF($G134&lt;=SUM($AB$35:$AC$35),0,1)</f>
        <v>0</v>
      </c>
      <c r="DI134" s="391">
        <f>IF($H134&lt;=SUM($AD$35:$AE$35),0,1)</f>
        <v>0</v>
      </c>
      <c r="DJ134" s="391">
        <f>IF($I134&lt;=SUM($F$69:$G$69),0,1)</f>
        <v>0</v>
      </c>
    </row>
    <row r="135" spans="1:130" ht="21.75" customHeight="1" x14ac:dyDescent="0.25">
      <c r="A135" s="1827" t="s">
        <v>124</v>
      </c>
      <c r="B135" s="1828"/>
      <c r="C135" s="707">
        <f>SUM(D135:I135)</f>
        <v>0</v>
      </c>
      <c r="D135" s="639"/>
      <c r="E135" s="708"/>
      <c r="F135" s="708"/>
      <c r="G135" s="708"/>
      <c r="H135" s="708"/>
      <c r="I135" s="640"/>
      <c r="J135" s="1687" t="str">
        <f xml:space="preserve"> CF135 &amp; CG135 &amp; CH135 &amp; CI135 &amp; CJ135 &amp; CK135</f>
        <v/>
      </c>
      <c r="BS135" s="308"/>
      <c r="BT135" s="308"/>
      <c r="BU135" s="308"/>
      <c r="CF135" s="381" t="str">
        <f>IF($D135&lt;=SUM($N$35:$U$35),"","* Niños(as) de 4 a 11 ms clasificados debe ser menor o igual al Total niños diagnostidos en NORMAL sección A misma edad. ")</f>
        <v/>
      </c>
      <c r="CG135" s="381" t="str">
        <f>IF($E135&lt;=SUM($V$35:$Y$35),"","* Niños(as) de 12 a 23 ms clasificados debe ser menor o igual al Total niños diagnosticados en NORMAL en sección A misma edad. ")</f>
        <v/>
      </c>
      <c r="CH135" s="381" t="str">
        <f>IF($F135&lt;=SUM($Z$35:$AA$35),"","* Niños(as) de 24 a 35 ms clasificados debe ser menor o igual al Total niños diagnosticados en NORMAL en sección A misma edad. ")</f>
        <v/>
      </c>
      <c r="CI135" s="381" t="str">
        <f>IF($G135&lt;=SUM($AB$35:$AC$35),"","* Niños(as) de 36 a 47 ms clasificados debe ser menor o igual al Total niños diagnosticos en NORMAL en sección A misma edad. ")</f>
        <v/>
      </c>
      <c r="CJ135" s="381" t="str">
        <f>IF($H135&lt;=SUM($AD$35:$AE$35),"","* Niños(as) de 48 a 59 ms clasificados debe ser menor o igual al Total niños diagnosticados en NORMAL en sección A misma edad. ")</f>
        <v/>
      </c>
      <c r="CK135" s="381" t="str">
        <f>IF($I135&lt;=SUM($F$69:$G$69),"","* Niños(as) de 60 a 71 ms clasificados debe ser menor o igual al Total niños diagnosticados en NORMAL en sección A1 misma edad. ")</f>
        <v/>
      </c>
      <c r="DA135" s="385"/>
      <c r="DB135" s="385"/>
      <c r="DC135" s="385"/>
      <c r="DD135" s="385"/>
      <c r="DE135" s="391">
        <f t="shared" ref="DE135" si="99">IF($D135&lt;=SUM($N$35:$U$35),0,1)</f>
        <v>0</v>
      </c>
      <c r="DF135" s="391">
        <f>IF($E135&lt;=SUM($V$35:$Y$35),0,1)</f>
        <v>0</v>
      </c>
      <c r="DG135" s="391">
        <f>IF($F135&lt;=SUM($Z$35:$AA$35),0,1)</f>
        <v>0</v>
      </c>
      <c r="DH135" s="391">
        <f>IF($G135&lt;=SUM($AB$35:$AC$35),0,1)</f>
        <v>0</v>
      </c>
      <c r="DI135" s="391">
        <f>IF($H135&lt;=SUM($AD$35:$AE$35),0,1)</f>
        <v>0</v>
      </c>
      <c r="DJ135" s="391">
        <f>IF($I135&lt;=SUM($F$69:$G$69),0,1)</f>
        <v>0</v>
      </c>
    </row>
    <row r="136" spans="1:130" ht="21.75" customHeight="1" x14ac:dyDescent="0.25">
      <c r="A136" s="1876" t="s">
        <v>13</v>
      </c>
      <c r="B136" s="1877"/>
      <c r="C136" s="645">
        <f>SUM(D136:I136)</f>
        <v>0</v>
      </c>
      <c r="D136" s="646">
        <f t="shared" ref="D136:I136" si="100">SUM(D134:D135)</f>
        <v>0</v>
      </c>
      <c r="E136" s="710">
        <f t="shared" si="100"/>
        <v>0</v>
      </c>
      <c r="F136" s="710">
        <f t="shared" si="100"/>
        <v>0</v>
      </c>
      <c r="G136" s="649">
        <f t="shared" si="100"/>
        <v>0</v>
      </c>
      <c r="H136" s="710">
        <f t="shared" si="100"/>
        <v>0</v>
      </c>
      <c r="I136" s="647">
        <f t="shared" si="100"/>
        <v>0</v>
      </c>
      <c r="J136" s="183" t="str">
        <f xml:space="preserve"> CF136 &amp; CG136 &amp; CH136 &amp; CI136 &amp; CJ136 &amp; CK136</f>
        <v/>
      </c>
      <c r="BS136" s="308"/>
      <c r="BT136" s="308"/>
      <c r="BU136" s="308"/>
      <c r="CL136" s="387"/>
      <c r="DA136" s="385"/>
      <c r="DB136" s="385"/>
      <c r="DC136" s="385"/>
      <c r="DD136" s="385"/>
      <c r="DE136" s="385"/>
      <c r="DF136" s="385"/>
      <c r="DG136" s="385"/>
      <c r="DH136" s="385"/>
      <c r="DI136" s="385"/>
      <c r="DJ136" s="385"/>
    </row>
    <row r="137" spans="1:130" ht="27.75" customHeight="1" x14ac:dyDescent="0.25">
      <c r="A137" s="473" t="s">
        <v>729</v>
      </c>
      <c r="DA137" s="385"/>
      <c r="DB137" s="385"/>
      <c r="DC137" s="385"/>
      <c r="DD137" s="385"/>
      <c r="DE137" s="385"/>
      <c r="DF137" s="385"/>
      <c r="DG137" s="385"/>
      <c r="DH137" s="385"/>
      <c r="DI137" s="385"/>
      <c r="DJ137" s="385"/>
    </row>
    <row r="138" spans="1:130" ht="19.5" customHeight="1" x14ac:dyDescent="0.25">
      <c r="A138" s="1881" t="s">
        <v>823</v>
      </c>
      <c r="B138" s="1882"/>
      <c r="C138" s="1887" t="s">
        <v>13</v>
      </c>
      <c r="D138" s="1888"/>
      <c r="E138" s="1889"/>
      <c r="F138" s="1941" t="s">
        <v>77</v>
      </c>
      <c r="G138" s="1942"/>
      <c r="H138" s="1942"/>
      <c r="I138" s="1942"/>
      <c r="J138" s="1942"/>
      <c r="K138" s="1942"/>
      <c r="L138" s="1942"/>
      <c r="M138" s="1942"/>
      <c r="N138" s="1942"/>
      <c r="O138" s="1942"/>
      <c r="P138" s="1942"/>
      <c r="Q138" s="1942"/>
      <c r="R138" s="1942"/>
      <c r="S138" s="1942"/>
      <c r="T138" s="1942"/>
      <c r="U138" s="1942"/>
      <c r="V138" s="1942"/>
      <c r="W138" s="1942"/>
      <c r="X138" s="1942"/>
      <c r="Y138" s="1942"/>
      <c r="Z138" s="1942"/>
      <c r="AA138" s="1942"/>
      <c r="AB138" s="1942"/>
      <c r="AC138" s="1942"/>
      <c r="AD138" s="1942"/>
      <c r="AE138" s="1942"/>
      <c r="AF138" s="1942"/>
      <c r="AG138" s="1942"/>
      <c r="AH138" s="1942"/>
      <c r="AI138" s="1942"/>
      <c r="AJ138" s="1942"/>
      <c r="AK138" s="1942"/>
      <c r="AL138" s="1942"/>
      <c r="AM138" s="1942"/>
      <c r="AN138" s="1942"/>
      <c r="AO138" s="1942"/>
      <c r="AP138" s="1942"/>
      <c r="AQ138" s="1943"/>
      <c r="AR138" s="1944" t="s">
        <v>15</v>
      </c>
      <c r="AS138" s="1945"/>
      <c r="AT138" s="1935" t="s">
        <v>465</v>
      </c>
      <c r="AU138" s="1936"/>
      <c r="AW138" s="183"/>
      <c r="AX138" s="183"/>
      <c r="AY138" s="183"/>
      <c r="AZ138" s="183"/>
      <c r="BR138" s="1050"/>
      <c r="BS138" s="1050"/>
      <c r="BT138" s="1050"/>
      <c r="BU138" s="1050"/>
      <c r="DA138" s="385"/>
      <c r="DB138" s="385"/>
      <c r="DC138" s="385"/>
      <c r="DD138" s="385"/>
      <c r="DE138" s="385"/>
      <c r="DF138" s="385"/>
      <c r="DG138" s="385"/>
      <c r="DH138" s="385"/>
      <c r="DI138" s="385"/>
      <c r="DJ138" s="385"/>
      <c r="DW138" s="180"/>
      <c r="DX138" s="180"/>
      <c r="DY138" s="180"/>
      <c r="DZ138" s="180"/>
    </row>
    <row r="139" spans="1:130" ht="19.5" customHeight="1" x14ac:dyDescent="0.25">
      <c r="A139" s="1883"/>
      <c r="B139" s="1884"/>
      <c r="C139" s="1890"/>
      <c r="D139" s="1891"/>
      <c r="E139" s="1892"/>
      <c r="F139" s="1952" t="s">
        <v>78</v>
      </c>
      <c r="G139" s="1939"/>
      <c r="H139" s="1939" t="s">
        <v>79</v>
      </c>
      <c r="I139" s="1939"/>
      <c r="J139" s="1939" t="s">
        <v>80</v>
      </c>
      <c r="K139" s="1939"/>
      <c r="L139" s="1939" t="s">
        <v>81</v>
      </c>
      <c r="M139" s="1939"/>
      <c r="N139" s="1939" t="s">
        <v>82</v>
      </c>
      <c r="O139" s="1939"/>
      <c r="P139" s="1939" t="s">
        <v>83</v>
      </c>
      <c r="Q139" s="1939"/>
      <c r="R139" s="1939" t="s">
        <v>84</v>
      </c>
      <c r="S139" s="1939"/>
      <c r="T139" s="1939" t="s">
        <v>85</v>
      </c>
      <c r="U139" s="1939"/>
      <c r="V139" s="1939" t="s">
        <v>86</v>
      </c>
      <c r="W139" s="1939"/>
      <c r="X139" s="1939" t="s">
        <v>87</v>
      </c>
      <c r="Y139" s="1939"/>
      <c r="Z139" s="1939" t="s">
        <v>88</v>
      </c>
      <c r="AA139" s="1939"/>
      <c r="AB139" s="1939" t="s">
        <v>89</v>
      </c>
      <c r="AC139" s="1939"/>
      <c r="AD139" s="1939" t="s">
        <v>90</v>
      </c>
      <c r="AE139" s="1939"/>
      <c r="AF139" s="1939" t="s">
        <v>91</v>
      </c>
      <c r="AG139" s="1939"/>
      <c r="AH139" s="1939" t="s">
        <v>92</v>
      </c>
      <c r="AI139" s="1939"/>
      <c r="AJ139" s="1939" t="s">
        <v>575</v>
      </c>
      <c r="AK139" s="1939"/>
      <c r="AL139" s="1939" t="s">
        <v>576</v>
      </c>
      <c r="AM139" s="1939"/>
      <c r="AN139" s="1939" t="s">
        <v>128</v>
      </c>
      <c r="AO139" s="1939"/>
      <c r="AP139" s="1939" t="s">
        <v>17</v>
      </c>
      <c r="AQ139" s="1940"/>
      <c r="AR139" s="1946"/>
      <c r="AS139" s="1947"/>
      <c r="AT139" s="1937"/>
      <c r="AU139" s="1938"/>
      <c r="AW139" s="183"/>
      <c r="AX139" s="183"/>
      <c r="AY139" s="183"/>
      <c r="AZ139" s="183"/>
      <c r="BR139" s="1050"/>
      <c r="BS139" s="1050"/>
      <c r="BT139" s="1050"/>
      <c r="BU139" s="1050"/>
      <c r="DA139" s="385"/>
      <c r="DB139" s="385"/>
      <c r="DC139" s="385"/>
      <c r="DD139" s="385"/>
      <c r="DE139" s="385"/>
      <c r="DF139" s="385"/>
      <c r="DG139" s="385"/>
      <c r="DH139" s="385"/>
      <c r="DI139" s="385"/>
      <c r="DJ139" s="385"/>
      <c r="DW139" s="180"/>
      <c r="DX139" s="180"/>
      <c r="DY139" s="180"/>
      <c r="DZ139" s="180"/>
    </row>
    <row r="140" spans="1:130" ht="28.5" customHeight="1" x14ac:dyDescent="0.25">
      <c r="A140" s="1885"/>
      <c r="B140" s="1886"/>
      <c r="C140" s="1596" t="s">
        <v>369</v>
      </c>
      <c r="D140" s="1129" t="s">
        <v>31</v>
      </c>
      <c r="E140" s="105" t="s">
        <v>94</v>
      </c>
      <c r="F140" s="94" t="s">
        <v>31</v>
      </c>
      <c r="G140" s="1593" t="s">
        <v>94</v>
      </c>
      <c r="H140" s="1593" t="s">
        <v>31</v>
      </c>
      <c r="I140" s="1593" t="s">
        <v>94</v>
      </c>
      <c r="J140" s="1593" t="s">
        <v>31</v>
      </c>
      <c r="K140" s="1593" t="s">
        <v>94</v>
      </c>
      <c r="L140" s="1593" t="s">
        <v>31</v>
      </c>
      <c r="M140" s="1593" t="s">
        <v>94</v>
      </c>
      <c r="N140" s="1593" t="s">
        <v>31</v>
      </c>
      <c r="O140" s="1593" t="s">
        <v>94</v>
      </c>
      <c r="P140" s="1593" t="s">
        <v>31</v>
      </c>
      <c r="Q140" s="1593" t="s">
        <v>94</v>
      </c>
      <c r="R140" s="1593" t="s">
        <v>31</v>
      </c>
      <c r="S140" s="1593" t="s">
        <v>94</v>
      </c>
      <c r="T140" s="1593" t="s">
        <v>31</v>
      </c>
      <c r="U140" s="1593" t="s">
        <v>94</v>
      </c>
      <c r="V140" s="1593" t="s">
        <v>31</v>
      </c>
      <c r="W140" s="1593" t="s">
        <v>94</v>
      </c>
      <c r="X140" s="1593" t="s">
        <v>31</v>
      </c>
      <c r="Y140" s="1593" t="s">
        <v>94</v>
      </c>
      <c r="Z140" s="1593" t="s">
        <v>31</v>
      </c>
      <c r="AA140" s="1593" t="s">
        <v>94</v>
      </c>
      <c r="AB140" s="1593" t="s">
        <v>31</v>
      </c>
      <c r="AC140" s="1593" t="s">
        <v>94</v>
      </c>
      <c r="AD140" s="1593" t="s">
        <v>31</v>
      </c>
      <c r="AE140" s="1593" t="s">
        <v>94</v>
      </c>
      <c r="AF140" s="1593" t="s">
        <v>31</v>
      </c>
      <c r="AG140" s="1593" t="s">
        <v>94</v>
      </c>
      <c r="AH140" s="1593" t="s">
        <v>31</v>
      </c>
      <c r="AI140" s="1593" t="s">
        <v>94</v>
      </c>
      <c r="AJ140" s="1593" t="s">
        <v>31</v>
      </c>
      <c r="AK140" s="1593" t="s">
        <v>94</v>
      </c>
      <c r="AL140" s="1593" t="s">
        <v>31</v>
      </c>
      <c r="AM140" s="1593" t="s">
        <v>94</v>
      </c>
      <c r="AN140" s="1593" t="s">
        <v>31</v>
      </c>
      <c r="AO140" s="1593" t="s">
        <v>94</v>
      </c>
      <c r="AP140" s="1593" t="s">
        <v>31</v>
      </c>
      <c r="AQ140" s="1561" t="s">
        <v>94</v>
      </c>
      <c r="AR140" s="1594" t="s">
        <v>31</v>
      </c>
      <c r="AS140" s="1561" t="s">
        <v>94</v>
      </c>
      <c r="AT140" s="94" t="s">
        <v>31</v>
      </c>
      <c r="AU140" s="1595" t="s">
        <v>94</v>
      </c>
      <c r="AW140" s="183"/>
      <c r="AX140" s="183"/>
      <c r="AY140" s="183"/>
      <c r="AZ140" s="183"/>
      <c r="BR140" s="1050"/>
      <c r="BS140" s="1050"/>
      <c r="BT140" s="1050"/>
      <c r="BU140" s="1050"/>
      <c r="DA140" s="385"/>
      <c r="DB140" s="385"/>
      <c r="DC140" s="385"/>
      <c r="DD140" s="385"/>
      <c r="DE140" s="385"/>
      <c r="DF140" s="385"/>
      <c r="DG140" s="385"/>
      <c r="DH140" s="385"/>
      <c r="DI140" s="385"/>
      <c r="DJ140" s="385"/>
      <c r="DW140" s="180"/>
      <c r="DX140" s="180"/>
      <c r="DY140" s="180"/>
      <c r="DZ140" s="180"/>
    </row>
    <row r="141" spans="1:130" ht="21" customHeight="1" x14ac:dyDescent="0.25">
      <c r="A141" s="1893" t="s">
        <v>826</v>
      </c>
      <c r="B141" s="1894"/>
      <c r="C141" s="646">
        <f t="shared" ref="C141:C157" si="101">SUM(D141:E141)</f>
        <v>0</v>
      </c>
      <c r="D141" s="1695">
        <f t="shared" ref="D141:D157" si="102">+F141+H141+J141+L141+N141+P141+R141+T141+V141+X141+Z141+AB141+AD141+AF141+AH141+AN141+AP141+AJ141+AL141</f>
        <v>0</v>
      </c>
      <c r="E141" s="1696">
        <f t="shared" ref="E141:E157" si="103">+G141+I141+K141+M141+O141+Q141+S141+U141+W141+Y141+AA141+AC141+AE141+AG141+AI141+AO141+AQ141+AK141+AM141</f>
        <v>0</v>
      </c>
      <c r="F141" s="1131">
        <f>SUM(F142:F185)</f>
        <v>0</v>
      </c>
      <c r="G141" s="1131">
        <f t="shared" ref="G141:AQ141" si="104">SUM(G142:G185)</f>
        <v>0</v>
      </c>
      <c r="H141" s="1131">
        <f t="shared" si="104"/>
        <v>0</v>
      </c>
      <c r="I141" s="1131">
        <f t="shared" si="104"/>
        <v>0</v>
      </c>
      <c r="J141" s="1131">
        <f t="shared" si="104"/>
        <v>0</v>
      </c>
      <c r="K141" s="1131">
        <f t="shared" si="104"/>
        <v>0</v>
      </c>
      <c r="L141" s="1131">
        <f t="shared" si="104"/>
        <v>0</v>
      </c>
      <c r="M141" s="1131">
        <f t="shared" si="104"/>
        <v>0</v>
      </c>
      <c r="N141" s="1131">
        <f t="shared" si="104"/>
        <v>0</v>
      </c>
      <c r="O141" s="1131">
        <f t="shared" si="104"/>
        <v>0</v>
      </c>
      <c r="P141" s="1131">
        <f t="shared" si="104"/>
        <v>0</v>
      </c>
      <c r="Q141" s="1131">
        <f t="shared" si="104"/>
        <v>0</v>
      </c>
      <c r="R141" s="1131">
        <f t="shared" si="104"/>
        <v>0</v>
      </c>
      <c r="S141" s="1131">
        <f t="shared" si="104"/>
        <v>0</v>
      </c>
      <c r="T141" s="1131">
        <f t="shared" si="104"/>
        <v>0</v>
      </c>
      <c r="U141" s="1131">
        <f t="shared" si="104"/>
        <v>0</v>
      </c>
      <c r="V141" s="1131">
        <f t="shared" si="104"/>
        <v>0</v>
      </c>
      <c r="W141" s="1131">
        <f t="shared" si="104"/>
        <v>0</v>
      </c>
      <c r="X141" s="1131">
        <f t="shared" si="104"/>
        <v>0</v>
      </c>
      <c r="Y141" s="1131">
        <f t="shared" si="104"/>
        <v>0</v>
      </c>
      <c r="Z141" s="1131">
        <f t="shared" si="104"/>
        <v>0</v>
      </c>
      <c r="AA141" s="1131">
        <f t="shared" si="104"/>
        <v>0</v>
      </c>
      <c r="AB141" s="1131">
        <f t="shared" si="104"/>
        <v>0</v>
      </c>
      <c r="AC141" s="1131">
        <f t="shared" si="104"/>
        <v>0</v>
      </c>
      <c r="AD141" s="1131">
        <f t="shared" si="104"/>
        <v>0</v>
      </c>
      <c r="AE141" s="1131">
        <f t="shared" si="104"/>
        <v>0</v>
      </c>
      <c r="AF141" s="1131">
        <f t="shared" si="104"/>
        <v>0</v>
      </c>
      <c r="AG141" s="1131">
        <f t="shared" si="104"/>
        <v>0</v>
      </c>
      <c r="AH141" s="1131">
        <f t="shared" si="104"/>
        <v>0</v>
      </c>
      <c r="AI141" s="1131">
        <f t="shared" si="104"/>
        <v>0</v>
      </c>
      <c r="AJ141" s="1131">
        <f t="shared" si="104"/>
        <v>0</v>
      </c>
      <c r="AK141" s="1131">
        <f t="shared" si="104"/>
        <v>0</v>
      </c>
      <c r="AL141" s="1131">
        <f t="shared" si="104"/>
        <v>0</v>
      </c>
      <c r="AM141" s="1131">
        <f t="shared" si="104"/>
        <v>0</v>
      </c>
      <c r="AN141" s="1131">
        <f t="shared" si="104"/>
        <v>0</v>
      </c>
      <c r="AO141" s="1131">
        <f t="shared" si="104"/>
        <v>0</v>
      </c>
      <c r="AP141" s="1131">
        <f t="shared" si="104"/>
        <v>0</v>
      </c>
      <c r="AQ141" s="1698">
        <f t="shared" si="104"/>
        <v>0</v>
      </c>
      <c r="AR141" s="1131">
        <f t="shared" ref="AR141" si="105">SUM(AR142:AR185)</f>
        <v>0</v>
      </c>
      <c r="AS141" s="1699">
        <f t="shared" ref="AS141" si="106">SUM(AS142:AS185)</f>
        <v>0</v>
      </c>
      <c r="AT141" s="646">
        <f t="shared" ref="AT141" si="107">SUM(AT142:AT185)</f>
        <v>0</v>
      </c>
      <c r="AU141" s="1696">
        <f t="shared" ref="AU141" si="108">SUM(AU142:AU185)</f>
        <v>0</v>
      </c>
      <c r="AV141" s="1687" t="str">
        <f>CB141&amp;CC141&amp;CD141&amp;CE141</f>
        <v/>
      </c>
      <c r="BK141" s="308"/>
      <c r="BL141" s="308"/>
      <c r="BR141" s="1050"/>
      <c r="BS141" s="1050"/>
      <c r="BT141" s="1050"/>
      <c r="BU141" s="1050"/>
      <c r="CB141" s="381" t="str">
        <f>IF(DA141=1,"* No olvide escribir en las celdas de ""Pueblos Originarios"" (Digite Cero si no tiene).","")</f>
        <v/>
      </c>
      <c r="CC141" s="381" t="str">
        <f>IF(DB141=1,"* No olvide escribir en las celdas de ""Población Migrante"" (Digite Cero si no tiene).","")</f>
        <v/>
      </c>
      <c r="CD141" s="381" t="str">
        <f>IF(DC141=1,"* La suma de las celdas de ""Pueblos Originarios""no debe superar el Total.","")</f>
        <v/>
      </c>
      <c r="CE141" s="381" t="str">
        <f>IF(DD141=1,"* La suma de las celdas de ""Población Migrante"" no debe superar el Total.","")</f>
        <v/>
      </c>
      <c r="DA141" s="385">
        <f>IF(AND($C141&lt;&gt;0,OR(AR141="",AS141="")),1,0)</f>
        <v>0</v>
      </c>
      <c r="DB141" s="385">
        <f>IF(AND($C141&lt;&gt;0,OR(AT141="",AU141="")),1,0)</f>
        <v>0</v>
      </c>
      <c r="DC141" s="385">
        <f>IF((AR141+AS141)&gt;$C141,1,0)</f>
        <v>0</v>
      </c>
      <c r="DD141" s="385">
        <f>IF((AU141+AT141)&gt;$C141,1,0)</f>
        <v>0</v>
      </c>
      <c r="DE141" s="385"/>
      <c r="DF141" s="385"/>
      <c r="DG141" s="385"/>
      <c r="DH141" s="385"/>
      <c r="DI141" s="385"/>
      <c r="DJ141" s="385"/>
      <c r="DW141" s="180"/>
      <c r="DX141" s="180"/>
      <c r="DY141" s="180"/>
      <c r="DZ141" s="180"/>
    </row>
    <row r="142" spans="1:130" ht="16.5" customHeight="1" x14ac:dyDescent="0.25">
      <c r="A142" s="1948" t="s">
        <v>762</v>
      </c>
      <c r="B142" s="1949"/>
      <c r="C142" s="697">
        <f t="shared" si="101"/>
        <v>0</v>
      </c>
      <c r="D142" s="1337">
        <f t="shared" si="102"/>
        <v>0</v>
      </c>
      <c r="E142" s="1589">
        <f t="shared" si="103"/>
        <v>0</v>
      </c>
      <c r="F142" s="667"/>
      <c r="G142" s="1130"/>
      <c r="H142" s="1130"/>
      <c r="I142" s="1130"/>
      <c r="J142" s="1130"/>
      <c r="K142" s="1130"/>
      <c r="L142" s="1130"/>
      <c r="M142" s="1130"/>
      <c r="N142" s="1130"/>
      <c r="O142" s="1130"/>
      <c r="P142" s="1130"/>
      <c r="Q142" s="1130"/>
      <c r="R142" s="1130"/>
      <c r="S142" s="1130"/>
      <c r="T142" s="1130"/>
      <c r="U142" s="1130"/>
      <c r="V142" s="1130"/>
      <c r="W142" s="1130"/>
      <c r="X142" s="1130"/>
      <c r="Y142" s="1130"/>
      <c r="Z142" s="1130"/>
      <c r="AA142" s="1130"/>
      <c r="AB142" s="1130"/>
      <c r="AC142" s="1130"/>
      <c r="AD142" s="1130"/>
      <c r="AE142" s="1130"/>
      <c r="AF142" s="1130"/>
      <c r="AG142" s="1130"/>
      <c r="AH142" s="1130"/>
      <c r="AI142" s="1130"/>
      <c r="AJ142" s="1130"/>
      <c r="AK142" s="1130"/>
      <c r="AL142" s="1130"/>
      <c r="AM142" s="1130"/>
      <c r="AN142" s="1130"/>
      <c r="AO142" s="1130"/>
      <c r="AP142" s="1130"/>
      <c r="AQ142" s="668"/>
      <c r="AR142" s="671"/>
      <c r="AS142" s="668"/>
      <c r="AT142" s="666"/>
      <c r="AU142" s="669"/>
      <c r="AV142" s="1687" t="str">
        <f t="shared" ref="AV142:AV185" si="109">CB142&amp;CC142&amp;CD142&amp;CE142</f>
        <v/>
      </c>
      <c r="AW142" s="183"/>
      <c r="AX142" s="386"/>
      <c r="AY142" s="386"/>
      <c r="AZ142" s="386"/>
      <c r="BA142" s="386"/>
      <c r="BB142" s="386"/>
      <c r="BC142" s="183"/>
      <c r="BD142" s="183"/>
      <c r="BE142" s="183"/>
      <c r="BF142" s="183"/>
      <c r="BG142" s="183"/>
      <c r="BH142" s="183"/>
      <c r="BI142" s="183"/>
      <c r="BJ142" s="183"/>
      <c r="BK142" s="183"/>
      <c r="BL142" s="183"/>
      <c r="BR142" s="1050"/>
      <c r="BS142" s="1050"/>
      <c r="BT142" s="1050"/>
      <c r="BU142" s="1050"/>
      <c r="CB142" s="381" t="str">
        <f t="shared" ref="CB142:CB185" si="110">IF(DA142=1,"* No olvide escribir en las celdas de ""Pueblos Originarios"" (Digite Cero si no tiene).","")</f>
        <v/>
      </c>
      <c r="CC142" s="381" t="str">
        <f t="shared" ref="CC142:CC185" si="111">IF(DB142=1,"* No olvide escribir en las celdas de ""Población Migrante"" (Digite Cero si no tiene).","")</f>
        <v/>
      </c>
      <c r="CD142" s="381" t="str">
        <f t="shared" ref="CD142:CD185" si="112">IF(DC142=1,"* La suma de las celdas de ""Pueblos Originarios""no debe superar el Total.","")</f>
        <v/>
      </c>
      <c r="CE142" s="381" t="str">
        <f t="shared" ref="CE142:CE185" si="113">IF(DD142=1,"* La suma de las celdas de ""Población Migrante"" no debe superar el Total.","")</f>
        <v/>
      </c>
      <c r="DA142" s="385">
        <f t="shared" ref="DA142:DA185" si="114">IF(AND($C142&lt;&gt;0,OR(AR142="",AS142="")),1,0)</f>
        <v>0</v>
      </c>
      <c r="DB142" s="385">
        <f t="shared" ref="DB142:DB185" si="115">IF(AND($C142&lt;&gt;0,OR(AT142="",AU142="")),1,0)</f>
        <v>0</v>
      </c>
      <c r="DC142" s="385">
        <f t="shared" ref="DC142:DC185" si="116">IF((AR142+AS142)&gt;$C142,1,0)</f>
        <v>0</v>
      </c>
      <c r="DD142" s="385">
        <f t="shared" ref="DD142:DD185" si="117">IF((AU142+AT142)&gt;$C142,1,0)</f>
        <v>0</v>
      </c>
      <c r="DE142" s="385"/>
      <c r="DF142" s="385"/>
      <c r="DG142" s="385"/>
      <c r="DH142" s="385"/>
      <c r="DI142" s="385"/>
      <c r="DJ142" s="385"/>
      <c r="DW142" s="180"/>
      <c r="DX142" s="180"/>
      <c r="DY142" s="180"/>
      <c r="DZ142" s="180"/>
    </row>
    <row r="143" spans="1:130" ht="16.5" customHeight="1" x14ac:dyDescent="0.25">
      <c r="A143" s="1808" t="s">
        <v>788</v>
      </c>
      <c r="B143" s="1809" t="s">
        <v>788</v>
      </c>
      <c r="C143" s="693">
        <f t="shared" si="101"/>
        <v>0</v>
      </c>
      <c r="D143" s="1336">
        <f t="shared" si="102"/>
        <v>0</v>
      </c>
      <c r="E143" s="1590">
        <f t="shared" si="103"/>
        <v>0</v>
      </c>
      <c r="F143" s="682"/>
      <c r="G143" s="705"/>
      <c r="H143" s="705"/>
      <c r="I143" s="705"/>
      <c r="J143" s="705"/>
      <c r="K143" s="705"/>
      <c r="L143" s="705"/>
      <c r="M143" s="705"/>
      <c r="N143" s="705"/>
      <c r="O143" s="705"/>
      <c r="P143" s="705"/>
      <c r="Q143" s="705"/>
      <c r="R143" s="705"/>
      <c r="S143" s="705"/>
      <c r="T143" s="705"/>
      <c r="U143" s="705"/>
      <c r="V143" s="705"/>
      <c r="W143" s="705"/>
      <c r="X143" s="705"/>
      <c r="Y143" s="705"/>
      <c r="Z143" s="705"/>
      <c r="AA143" s="705"/>
      <c r="AB143" s="705"/>
      <c r="AC143" s="705"/>
      <c r="AD143" s="705"/>
      <c r="AE143" s="705"/>
      <c r="AF143" s="705"/>
      <c r="AG143" s="705"/>
      <c r="AH143" s="705"/>
      <c r="AI143" s="705"/>
      <c r="AJ143" s="705"/>
      <c r="AK143" s="705"/>
      <c r="AL143" s="705"/>
      <c r="AM143" s="705"/>
      <c r="AN143" s="705"/>
      <c r="AO143" s="705"/>
      <c r="AP143" s="705"/>
      <c r="AQ143" s="681"/>
      <c r="AR143" s="683"/>
      <c r="AS143" s="681"/>
      <c r="AT143" s="679"/>
      <c r="AU143" s="680"/>
      <c r="AV143" s="1687" t="str">
        <f t="shared" si="109"/>
        <v/>
      </c>
      <c r="AW143" s="183"/>
      <c r="AX143" s="183"/>
      <c r="AY143" s="183"/>
      <c r="AZ143" s="183"/>
      <c r="BR143" s="1050"/>
      <c r="BS143" s="1050"/>
      <c r="BT143" s="1050"/>
      <c r="BU143" s="1050"/>
      <c r="CB143" s="381" t="str">
        <f t="shared" si="110"/>
        <v/>
      </c>
      <c r="CC143" s="381" t="str">
        <f t="shared" si="111"/>
        <v/>
      </c>
      <c r="CD143" s="381" t="str">
        <f t="shared" si="112"/>
        <v/>
      </c>
      <c r="CE143" s="381" t="str">
        <f t="shared" si="113"/>
        <v/>
      </c>
      <c r="DA143" s="385">
        <f t="shared" si="114"/>
        <v>0</v>
      </c>
      <c r="DB143" s="385">
        <f t="shared" si="115"/>
        <v>0</v>
      </c>
      <c r="DC143" s="385">
        <f t="shared" si="116"/>
        <v>0</v>
      </c>
      <c r="DD143" s="385">
        <f t="shared" si="117"/>
        <v>0</v>
      </c>
      <c r="DE143" s="385"/>
      <c r="DF143" s="385"/>
      <c r="DG143" s="385"/>
      <c r="DH143" s="385"/>
      <c r="DI143" s="385"/>
      <c r="DJ143" s="385"/>
      <c r="DW143" s="180"/>
      <c r="DX143" s="180"/>
      <c r="DY143" s="180"/>
      <c r="DZ143" s="180"/>
    </row>
    <row r="144" spans="1:130" x14ac:dyDescent="0.25">
      <c r="A144" s="1808" t="s">
        <v>789</v>
      </c>
      <c r="B144" s="1809" t="s">
        <v>789</v>
      </c>
      <c r="C144" s="693">
        <f t="shared" si="101"/>
        <v>0</v>
      </c>
      <c r="D144" s="1336">
        <f t="shared" si="102"/>
        <v>0</v>
      </c>
      <c r="E144" s="1590">
        <f t="shared" si="103"/>
        <v>0</v>
      </c>
      <c r="F144" s="682"/>
      <c r="G144" s="705"/>
      <c r="H144" s="705"/>
      <c r="I144" s="705"/>
      <c r="J144" s="705"/>
      <c r="K144" s="705"/>
      <c r="L144" s="705"/>
      <c r="M144" s="705"/>
      <c r="N144" s="705"/>
      <c r="O144" s="705"/>
      <c r="P144" s="705"/>
      <c r="Q144" s="705"/>
      <c r="R144" s="705"/>
      <c r="S144" s="705"/>
      <c r="T144" s="705"/>
      <c r="U144" s="705"/>
      <c r="V144" s="705"/>
      <c r="W144" s="705"/>
      <c r="X144" s="705"/>
      <c r="Y144" s="705"/>
      <c r="Z144" s="705"/>
      <c r="AA144" s="705"/>
      <c r="AB144" s="705"/>
      <c r="AC144" s="705"/>
      <c r="AD144" s="705"/>
      <c r="AE144" s="705"/>
      <c r="AF144" s="705"/>
      <c r="AG144" s="705"/>
      <c r="AH144" s="705"/>
      <c r="AI144" s="705"/>
      <c r="AJ144" s="705"/>
      <c r="AK144" s="705"/>
      <c r="AL144" s="705"/>
      <c r="AM144" s="705"/>
      <c r="AN144" s="705"/>
      <c r="AO144" s="705"/>
      <c r="AP144" s="705"/>
      <c r="AQ144" s="681"/>
      <c r="AR144" s="683"/>
      <c r="AS144" s="681"/>
      <c r="AT144" s="679"/>
      <c r="AU144" s="680"/>
      <c r="AV144" s="1687" t="str">
        <f t="shared" si="109"/>
        <v/>
      </c>
      <c r="CB144" s="381" t="str">
        <f t="shared" si="110"/>
        <v/>
      </c>
      <c r="CC144" s="381" t="str">
        <f t="shared" si="111"/>
        <v/>
      </c>
      <c r="CD144" s="381" t="str">
        <f t="shared" si="112"/>
        <v/>
      </c>
      <c r="CE144" s="381" t="str">
        <f t="shared" si="113"/>
        <v/>
      </c>
      <c r="DA144" s="385">
        <f t="shared" si="114"/>
        <v>0</v>
      </c>
      <c r="DB144" s="385">
        <f t="shared" si="115"/>
        <v>0</v>
      </c>
      <c r="DC144" s="385">
        <f t="shared" si="116"/>
        <v>0</v>
      </c>
      <c r="DD144" s="385">
        <f t="shared" si="117"/>
        <v>0</v>
      </c>
    </row>
    <row r="145" spans="1:130" ht="16.5" customHeight="1" x14ac:dyDescent="0.25">
      <c r="A145" s="1808" t="s">
        <v>790</v>
      </c>
      <c r="B145" s="1809" t="s">
        <v>790</v>
      </c>
      <c r="C145" s="693">
        <f t="shared" si="101"/>
        <v>0</v>
      </c>
      <c r="D145" s="1336">
        <f t="shared" si="102"/>
        <v>0</v>
      </c>
      <c r="E145" s="1590">
        <f t="shared" si="103"/>
        <v>0</v>
      </c>
      <c r="F145" s="682"/>
      <c r="G145" s="705"/>
      <c r="H145" s="705"/>
      <c r="I145" s="705"/>
      <c r="J145" s="705"/>
      <c r="K145" s="705"/>
      <c r="L145" s="705"/>
      <c r="M145" s="705"/>
      <c r="N145" s="705"/>
      <c r="O145" s="705"/>
      <c r="P145" s="705"/>
      <c r="Q145" s="705"/>
      <c r="R145" s="705"/>
      <c r="S145" s="705"/>
      <c r="T145" s="705"/>
      <c r="U145" s="705"/>
      <c r="V145" s="705"/>
      <c r="W145" s="705"/>
      <c r="X145" s="705"/>
      <c r="Y145" s="705"/>
      <c r="Z145" s="705"/>
      <c r="AA145" s="705"/>
      <c r="AB145" s="705"/>
      <c r="AC145" s="705"/>
      <c r="AD145" s="705"/>
      <c r="AE145" s="705"/>
      <c r="AF145" s="705"/>
      <c r="AG145" s="705"/>
      <c r="AH145" s="705"/>
      <c r="AI145" s="705"/>
      <c r="AJ145" s="705"/>
      <c r="AK145" s="705"/>
      <c r="AL145" s="705"/>
      <c r="AM145" s="705"/>
      <c r="AN145" s="705"/>
      <c r="AO145" s="705"/>
      <c r="AP145" s="705"/>
      <c r="AQ145" s="681"/>
      <c r="AR145" s="683"/>
      <c r="AS145" s="681"/>
      <c r="AT145" s="679"/>
      <c r="AU145" s="680"/>
      <c r="AV145" s="1687" t="str">
        <f t="shared" si="109"/>
        <v/>
      </c>
      <c r="AW145" s="183"/>
      <c r="AX145" s="183"/>
      <c r="AY145" s="183"/>
      <c r="AZ145" s="183"/>
      <c r="BR145" s="1050"/>
      <c r="BS145" s="1050"/>
      <c r="BT145" s="1050"/>
      <c r="BU145" s="1050"/>
      <c r="CB145" s="381" t="str">
        <f t="shared" si="110"/>
        <v/>
      </c>
      <c r="CC145" s="381" t="str">
        <f t="shared" si="111"/>
        <v/>
      </c>
      <c r="CD145" s="381" t="str">
        <f t="shared" si="112"/>
        <v/>
      </c>
      <c r="CE145" s="381" t="str">
        <f t="shared" si="113"/>
        <v/>
      </c>
      <c r="DA145" s="385">
        <f t="shared" si="114"/>
        <v>0</v>
      </c>
      <c r="DB145" s="385">
        <f t="shared" si="115"/>
        <v>0</v>
      </c>
      <c r="DC145" s="385">
        <f t="shared" si="116"/>
        <v>0</v>
      </c>
      <c r="DD145" s="385">
        <f t="shared" si="117"/>
        <v>0</v>
      </c>
      <c r="DE145" s="385"/>
      <c r="DF145" s="385"/>
      <c r="DG145" s="385"/>
      <c r="DH145" s="385"/>
      <c r="DI145" s="385"/>
      <c r="DJ145" s="385"/>
      <c r="DW145" s="180"/>
      <c r="DX145" s="180"/>
      <c r="DY145" s="180"/>
      <c r="DZ145" s="180"/>
    </row>
    <row r="146" spans="1:130" ht="16.5" customHeight="1" x14ac:dyDescent="0.25">
      <c r="A146" s="1808" t="s">
        <v>791</v>
      </c>
      <c r="B146" s="1809" t="s">
        <v>791</v>
      </c>
      <c r="C146" s="693">
        <f t="shared" si="101"/>
        <v>0</v>
      </c>
      <c r="D146" s="1336">
        <f t="shared" si="102"/>
        <v>0</v>
      </c>
      <c r="E146" s="1590">
        <f t="shared" si="103"/>
        <v>0</v>
      </c>
      <c r="F146" s="682"/>
      <c r="G146" s="705"/>
      <c r="H146" s="705"/>
      <c r="I146" s="705"/>
      <c r="J146" s="705"/>
      <c r="K146" s="705"/>
      <c r="L146" s="705"/>
      <c r="M146" s="705"/>
      <c r="N146" s="705"/>
      <c r="O146" s="705"/>
      <c r="P146" s="705"/>
      <c r="Q146" s="705"/>
      <c r="R146" s="705"/>
      <c r="S146" s="705"/>
      <c r="T146" s="705"/>
      <c r="U146" s="705"/>
      <c r="V146" s="705"/>
      <c r="W146" s="705"/>
      <c r="X146" s="705"/>
      <c r="Y146" s="705"/>
      <c r="Z146" s="705"/>
      <c r="AA146" s="705"/>
      <c r="AB146" s="705"/>
      <c r="AC146" s="705"/>
      <c r="AD146" s="705"/>
      <c r="AE146" s="705"/>
      <c r="AF146" s="705"/>
      <c r="AG146" s="705"/>
      <c r="AH146" s="705"/>
      <c r="AI146" s="705"/>
      <c r="AJ146" s="705"/>
      <c r="AK146" s="705"/>
      <c r="AL146" s="705"/>
      <c r="AM146" s="705"/>
      <c r="AN146" s="705"/>
      <c r="AO146" s="705"/>
      <c r="AP146" s="705"/>
      <c r="AQ146" s="681"/>
      <c r="AR146" s="683"/>
      <c r="AS146" s="681"/>
      <c r="AT146" s="679"/>
      <c r="AU146" s="680"/>
      <c r="AV146" s="1687" t="str">
        <f t="shared" si="109"/>
        <v/>
      </c>
      <c r="AW146" s="183"/>
      <c r="AX146" s="183"/>
      <c r="AY146" s="183"/>
      <c r="AZ146" s="183"/>
      <c r="BR146" s="1050"/>
      <c r="BS146" s="1050"/>
      <c r="BT146" s="1050"/>
      <c r="BU146" s="1050"/>
      <c r="CB146" s="381" t="str">
        <f t="shared" si="110"/>
        <v/>
      </c>
      <c r="CC146" s="381" t="str">
        <f t="shared" si="111"/>
        <v/>
      </c>
      <c r="CD146" s="381" t="str">
        <f t="shared" si="112"/>
        <v/>
      </c>
      <c r="CE146" s="381" t="str">
        <f t="shared" si="113"/>
        <v/>
      </c>
      <c r="DA146" s="385">
        <f t="shared" si="114"/>
        <v>0</v>
      </c>
      <c r="DB146" s="385">
        <f t="shared" si="115"/>
        <v>0</v>
      </c>
      <c r="DC146" s="385">
        <f t="shared" si="116"/>
        <v>0</v>
      </c>
      <c r="DD146" s="385">
        <f t="shared" si="117"/>
        <v>0</v>
      </c>
      <c r="DE146" s="385"/>
      <c r="DF146" s="385"/>
      <c r="DG146" s="385"/>
      <c r="DH146" s="385"/>
      <c r="DI146" s="385"/>
      <c r="DJ146" s="385"/>
      <c r="DW146" s="180"/>
      <c r="DX146" s="180"/>
      <c r="DY146" s="180"/>
      <c r="DZ146" s="180"/>
    </row>
    <row r="147" spans="1:130" ht="15.75" customHeight="1" x14ac:dyDescent="0.25">
      <c r="A147" s="1808" t="s">
        <v>804</v>
      </c>
      <c r="B147" s="1809" t="s">
        <v>792</v>
      </c>
      <c r="C147" s="693">
        <f t="shared" si="101"/>
        <v>0</v>
      </c>
      <c r="D147" s="1336">
        <f t="shared" si="102"/>
        <v>0</v>
      </c>
      <c r="E147" s="1590">
        <f t="shared" si="103"/>
        <v>0</v>
      </c>
      <c r="F147" s="682"/>
      <c r="G147" s="705"/>
      <c r="H147" s="705"/>
      <c r="I147" s="705"/>
      <c r="J147" s="705"/>
      <c r="K147" s="705"/>
      <c r="L147" s="705"/>
      <c r="M147" s="705"/>
      <c r="N147" s="705"/>
      <c r="O147" s="705"/>
      <c r="P147" s="705"/>
      <c r="Q147" s="705"/>
      <c r="R147" s="705"/>
      <c r="S147" s="705"/>
      <c r="T147" s="705"/>
      <c r="U147" s="705"/>
      <c r="V147" s="705"/>
      <c r="W147" s="705"/>
      <c r="X147" s="705"/>
      <c r="Y147" s="705"/>
      <c r="Z147" s="705"/>
      <c r="AA147" s="705"/>
      <c r="AB147" s="705"/>
      <c r="AC147" s="705"/>
      <c r="AD147" s="705"/>
      <c r="AE147" s="705"/>
      <c r="AF147" s="705"/>
      <c r="AG147" s="705"/>
      <c r="AH147" s="705"/>
      <c r="AI147" s="705"/>
      <c r="AJ147" s="705"/>
      <c r="AK147" s="705"/>
      <c r="AL147" s="705"/>
      <c r="AM147" s="705"/>
      <c r="AN147" s="705"/>
      <c r="AO147" s="705"/>
      <c r="AP147" s="705"/>
      <c r="AQ147" s="681"/>
      <c r="AR147" s="683"/>
      <c r="AS147" s="681"/>
      <c r="AT147" s="679"/>
      <c r="AU147" s="680"/>
      <c r="AV147" s="1687" t="str">
        <f t="shared" si="109"/>
        <v/>
      </c>
      <c r="CB147" s="381" t="str">
        <f t="shared" si="110"/>
        <v/>
      </c>
      <c r="CC147" s="381" t="str">
        <f t="shared" si="111"/>
        <v/>
      </c>
      <c r="CD147" s="381" t="str">
        <f t="shared" si="112"/>
        <v/>
      </c>
      <c r="CE147" s="381" t="str">
        <f t="shared" si="113"/>
        <v/>
      </c>
      <c r="DA147" s="385">
        <f t="shared" si="114"/>
        <v>0</v>
      </c>
      <c r="DB147" s="385">
        <f t="shared" si="115"/>
        <v>0</v>
      </c>
      <c r="DC147" s="385">
        <f t="shared" si="116"/>
        <v>0</v>
      </c>
      <c r="DD147" s="385">
        <f t="shared" si="117"/>
        <v>0</v>
      </c>
    </row>
    <row r="148" spans="1:130" ht="16.5" customHeight="1" x14ac:dyDescent="0.25">
      <c r="A148" s="1808" t="s">
        <v>824</v>
      </c>
      <c r="B148" s="1809" t="s">
        <v>779</v>
      </c>
      <c r="C148" s="693">
        <f t="shared" si="101"/>
        <v>0</v>
      </c>
      <c r="D148" s="1336">
        <f t="shared" si="102"/>
        <v>0</v>
      </c>
      <c r="E148" s="1590">
        <f t="shared" si="103"/>
        <v>0</v>
      </c>
      <c r="F148" s="682"/>
      <c r="G148" s="705"/>
      <c r="H148" s="705"/>
      <c r="I148" s="705"/>
      <c r="J148" s="705"/>
      <c r="K148" s="705"/>
      <c r="L148" s="705"/>
      <c r="M148" s="705"/>
      <c r="N148" s="705"/>
      <c r="O148" s="705"/>
      <c r="P148" s="705"/>
      <c r="Q148" s="705"/>
      <c r="R148" s="705"/>
      <c r="S148" s="705"/>
      <c r="T148" s="705"/>
      <c r="U148" s="705"/>
      <c r="V148" s="705"/>
      <c r="W148" s="705"/>
      <c r="X148" s="705"/>
      <c r="Y148" s="705"/>
      <c r="Z148" s="705"/>
      <c r="AA148" s="705"/>
      <c r="AB148" s="705"/>
      <c r="AC148" s="705"/>
      <c r="AD148" s="705"/>
      <c r="AE148" s="705"/>
      <c r="AF148" s="705"/>
      <c r="AG148" s="705"/>
      <c r="AH148" s="705"/>
      <c r="AI148" s="705"/>
      <c r="AJ148" s="705"/>
      <c r="AK148" s="705"/>
      <c r="AL148" s="705"/>
      <c r="AM148" s="705"/>
      <c r="AN148" s="705"/>
      <c r="AO148" s="705"/>
      <c r="AP148" s="705"/>
      <c r="AQ148" s="681"/>
      <c r="AR148" s="683"/>
      <c r="AS148" s="681"/>
      <c r="AT148" s="679"/>
      <c r="AU148" s="680"/>
      <c r="AV148" s="1687" t="str">
        <f t="shared" si="109"/>
        <v/>
      </c>
      <c r="AW148" s="183"/>
      <c r="AX148" s="183"/>
      <c r="AY148" s="183"/>
      <c r="AZ148" s="183"/>
      <c r="BR148" s="1050"/>
      <c r="BS148" s="1050"/>
      <c r="BT148" s="1050"/>
      <c r="BU148" s="1050"/>
      <c r="CB148" s="381" t="str">
        <f t="shared" si="110"/>
        <v/>
      </c>
      <c r="CC148" s="381" t="str">
        <f t="shared" si="111"/>
        <v/>
      </c>
      <c r="CD148" s="381" t="str">
        <f t="shared" si="112"/>
        <v/>
      </c>
      <c r="CE148" s="381" t="str">
        <f t="shared" si="113"/>
        <v/>
      </c>
      <c r="DA148" s="385">
        <f t="shared" si="114"/>
        <v>0</v>
      </c>
      <c r="DB148" s="385">
        <f t="shared" si="115"/>
        <v>0</v>
      </c>
      <c r="DC148" s="385">
        <f t="shared" si="116"/>
        <v>0</v>
      </c>
      <c r="DD148" s="385">
        <f t="shared" si="117"/>
        <v>0</v>
      </c>
      <c r="DE148" s="385"/>
      <c r="DF148" s="385"/>
      <c r="DG148" s="385"/>
      <c r="DH148" s="385"/>
      <c r="DI148" s="385"/>
      <c r="DJ148" s="385"/>
      <c r="DW148" s="180"/>
      <c r="DX148" s="180"/>
      <c r="DY148" s="180"/>
      <c r="DZ148" s="180"/>
    </row>
    <row r="149" spans="1:130" s="477" customFormat="1" ht="16.5" customHeight="1" x14ac:dyDescent="0.15">
      <c r="A149" s="1808" t="s">
        <v>778</v>
      </c>
      <c r="B149" s="1809" t="s">
        <v>778</v>
      </c>
      <c r="C149" s="1229">
        <f t="shared" si="101"/>
        <v>0</v>
      </c>
      <c r="D149" s="1351">
        <f t="shared" si="102"/>
        <v>0</v>
      </c>
      <c r="E149" s="1591">
        <f t="shared" si="103"/>
        <v>0</v>
      </c>
      <c r="F149" s="1588"/>
      <c r="G149" s="1352"/>
      <c r="H149" s="1352"/>
      <c r="I149" s="1352"/>
      <c r="J149" s="1352"/>
      <c r="K149" s="1352"/>
      <c r="L149" s="1352"/>
      <c r="M149" s="1352"/>
      <c r="N149" s="1352"/>
      <c r="O149" s="1352"/>
      <c r="P149" s="1352"/>
      <c r="Q149" s="1352"/>
      <c r="R149" s="1352"/>
      <c r="S149" s="1352"/>
      <c r="T149" s="1352"/>
      <c r="U149" s="1352"/>
      <c r="V149" s="1352"/>
      <c r="W149" s="1352"/>
      <c r="X149" s="1352"/>
      <c r="Y149" s="1352"/>
      <c r="Z149" s="1352"/>
      <c r="AA149" s="1352"/>
      <c r="AB149" s="1352"/>
      <c r="AC149" s="1352"/>
      <c r="AD149" s="1352"/>
      <c r="AE149" s="1352"/>
      <c r="AF149" s="1352"/>
      <c r="AG149" s="1352"/>
      <c r="AH149" s="1352"/>
      <c r="AI149" s="1352"/>
      <c r="AJ149" s="1352"/>
      <c r="AK149" s="1352"/>
      <c r="AL149" s="1352"/>
      <c r="AM149" s="1352"/>
      <c r="AN149" s="1352"/>
      <c r="AO149" s="1352"/>
      <c r="AP149" s="1352"/>
      <c r="AQ149" s="1449"/>
      <c r="AR149" s="1353"/>
      <c r="AS149" s="1449"/>
      <c r="AT149" s="1697"/>
      <c r="AU149" s="1354"/>
      <c r="AV149" s="1687" t="str">
        <f t="shared" si="109"/>
        <v/>
      </c>
      <c r="AW149" s="1355"/>
      <c r="AX149" s="1355"/>
      <c r="AY149" s="1355"/>
      <c r="AZ149" s="1355"/>
      <c r="BA149" s="1450"/>
      <c r="BB149" s="1450"/>
      <c r="BC149" s="1450"/>
      <c r="BD149" s="1450"/>
      <c r="BE149" s="1450"/>
      <c r="BF149" s="1450"/>
      <c r="BG149" s="1450"/>
      <c r="BH149" s="1450"/>
      <c r="BI149" s="1450"/>
      <c r="BJ149" s="1450"/>
      <c r="BK149" s="1450"/>
      <c r="BL149" s="1450"/>
      <c r="BM149" s="1450"/>
      <c r="BN149" s="1450"/>
      <c r="BO149" s="1450"/>
      <c r="BP149" s="1450"/>
      <c r="BQ149" s="1450"/>
      <c r="BR149" s="1450"/>
      <c r="BS149" s="1450"/>
      <c r="BT149" s="1450"/>
      <c r="BU149" s="1450"/>
      <c r="CA149" s="971"/>
      <c r="CB149" s="381" t="str">
        <f t="shared" si="110"/>
        <v/>
      </c>
      <c r="CC149" s="381" t="str">
        <f t="shared" si="111"/>
        <v/>
      </c>
      <c r="CD149" s="381" t="str">
        <f t="shared" si="112"/>
        <v/>
      </c>
      <c r="CE149" s="381" t="str">
        <f t="shared" si="113"/>
        <v/>
      </c>
      <c r="CF149" s="971"/>
      <c r="CG149" s="971"/>
      <c r="CH149" s="971"/>
      <c r="CI149" s="971"/>
      <c r="CJ149" s="971"/>
      <c r="CK149" s="971"/>
      <c r="CL149" s="1356"/>
      <c r="CM149" s="1356"/>
      <c r="CN149" s="1356"/>
      <c r="CO149" s="1356"/>
      <c r="CP149" s="1356"/>
      <c r="CQ149" s="1356"/>
      <c r="CR149" s="1356"/>
      <c r="CS149" s="1356"/>
      <c r="CT149" s="1356"/>
      <c r="CU149" s="1356"/>
      <c r="CV149" s="1356"/>
      <c r="CW149" s="1356"/>
      <c r="CX149" s="1356"/>
      <c r="CY149" s="1356"/>
      <c r="CZ149" s="1356"/>
      <c r="DA149" s="385">
        <f t="shared" si="114"/>
        <v>0</v>
      </c>
      <c r="DB149" s="385">
        <f t="shared" si="115"/>
        <v>0</v>
      </c>
      <c r="DC149" s="385">
        <f t="shared" si="116"/>
        <v>0</v>
      </c>
      <c r="DD149" s="385">
        <f t="shared" si="117"/>
        <v>0</v>
      </c>
      <c r="DE149" s="972"/>
      <c r="DF149" s="972"/>
      <c r="DG149" s="972"/>
      <c r="DH149" s="972"/>
      <c r="DI149" s="972"/>
      <c r="DJ149" s="972"/>
      <c r="DK149" s="972"/>
      <c r="DL149" s="972"/>
      <c r="DM149" s="972"/>
      <c r="DN149" s="972"/>
      <c r="DO149" s="972"/>
      <c r="DP149" s="972"/>
      <c r="DQ149" s="972"/>
      <c r="DR149" s="972"/>
      <c r="DS149" s="972"/>
      <c r="DT149" s="972"/>
      <c r="DU149" s="972"/>
      <c r="DV149" s="972"/>
    </row>
    <row r="150" spans="1:130" ht="24.75" customHeight="1" x14ac:dyDescent="0.25">
      <c r="A150" s="1808" t="s">
        <v>781</v>
      </c>
      <c r="B150" s="1809" t="s">
        <v>781</v>
      </c>
      <c r="C150" s="693">
        <f t="shared" si="101"/>
        <v>0</v>
      </c>
      <c r="D150" s="1336">
        <f t="shared" si="102"/>
        <v>0</v>
      </c>
      <c r="E150" s="1590">
        <f t="shared" si="103"/>
        <v>0</v>
      </c>
      <c r="F150" s="682"/>
      <c r="G150" s="705"/>
      <c r="H150" s="705"/>
      <c r="I150" s="705"/>
      <c r="J150" s="705"/>
      <c r="K150" s="705"/>
      <c r="L150" s="705"/>
      <c r="M150" s="705"/>
      <c r="N150" s="705"/>
      <c r="O150" s="705"/>
      <c r="P150" s="705"/>
      <c r="Q150" s="705"/>
      <c r="R150" s="705"/>
      <c r="S150" s="705"/>
      <c r="T150" s="705"/>
      <c r="U150" s="705"/>
      <c r="V150" s="705"/>
      <c r="W150" s="705"/>
      <c r="X150" s="705"/>
      <c r="Y150" s="705"/>
      <c r="Z150" s="705"/>
      <c r="AA150" s="705"/>
      <c r="AB150" s="705"/>
      <c r="AC150" s="705"/>
      <c r="AD150" s="705"/>
      <c r="AE150" s="705"/>
      <c r="AF150" s="705"/>
      <c r="AG150" s="705"/>
      <c r="AH150" s="705"/>
      <c r="AI150" s="705"/>
      <c r="AJ150" s="705"/>
      <c r="AK150" s="705"/>
      <c r="AL150" s="705"/>
      <c r="AM150" s="705"/>
      <c r="AN150" s="705"/>
      <c r="AO150" s="705"/>
      <c r="AP150" s="705"/>
      <c r="AQ150" s="681"/>
      <c r="AR150" s="683"/>
      <c r="AS150" s="681"/>
      <c r="AT150" s="679"/>
      <c r="AU150" s="680"/>
      <c r="AV150" s="1687" t="str">
        <f t="shared" si="109"/>
        <v/>
      </c>
      <c r="AW150" s="183"/>
      <c r="AX150" s="183"/>
      <c r="AY150" s="183"/>
      <c r="AZ150" s="183"/>
      <c r="BR150" s="1050"/>
      <c r="BS150" s="1050"/>
      <c r="BT150" s="1050"/>
      <c r="BU150" s="1050"/>
      <c r="CB150" s="381" t="str">
        <f t="shared" si="110"/>
        <v/>
      </c>
      <c r="CC150" s="381" t="str">
        <f t="shared" si="111"/>
        <v/>
      </c>
      <c r="CD150" s="381" t="str">
        <f t="shared" si="112"/>
        <v/>
      </c>
      <c r="CE150" s="381" t="str">
        <f t="shared" si="113"/>
        <v/>
      </c>
      <c r="DA150" s="385">
        <f t="shared" si="114"/>
        <v>0</v>
      </c>
      <c r="DB150" s="385">
        <f t="shared" si="115"/>
        <v>0</v>
      </c>
      <c r="DC150" s="385">
        <f t="shared" si="116"/>
        <v>0</v>
      </c>
      <c r="DD150" s="385">
        <f t="shared" si="117"/>
        <v>0</v>
      </c>
      <c r="DE150" s="385"/>
      <c r="DF150" s="385"/>
      <c r="DG150" s="385"/>
      <c r="DH150" s="385"/>
      <c r="DI150" s="385"/>
      <c r="DJ150" s="385"/>
      <c r="DW150" s="180"/>
      <c r="DX150" s="180"/>
      <c r="DY150" s="180"/>
      <c r="DZ150" s="180"/>
    </row>
    <row r="151" spans="1:130" s="477" customFormat="1" ht="16.5" customHeight="1" x14ac:dyDescent="0.15">
      <c r="A151" s="1808" t="s">
        <v>825</v>
      </c>
      <c r="B151" s="1809" t="s">
        <v>865</v>
      </c>
      <c r="C151" s="1229">
        <f t="shared" si="101"/>
        <v>0</v>
      </c>
      <c r="D151" s="1351">
        <f t="shared" si="102"/>
        <v>0</v>
      </c>
      <c r="E151" s="1591">
        <f t="shared" si="103"/>
        <v>0</v>
      </c>
      <c r="F151" s="1588"/>
      <c r="G151" s="1352"/>
      <c r="H151" s="1352"/>
      <c r="I151" s="1352"/>
      <c r="J151" s="1352"/>
      <c r="K151" s="1352"/>
      <c r="L151" s="1352"/>
      <c r="M151" s="1352"/>
      <c r="N151" s="1352"/>
      <c r="O151" s="1352"/>
      <c r="P151" s="1352"/>
      <c r="Q151" s="1352"/>
      <c r="R151" s="1352"/>
      <c r="S151" s="1352"/>
      <c r="T151" s="1352"/>
      <c r="U151" s="1352"/>
      <c r="V151" s="1352"/>
      <c r="W151" s="1352"/>
      <c r="X151" s="1352"/>
      <c r="Y151" s="1352"/>
      <c r="Z151" s="1352"/>
      <c r="AA151" s="1352"/>
      <c r="AB151" s="1352"/>
      <c r="AC151" s="1352"/>
      <c r="AD151" s="1352"/>
      <c r="AE151" s="1352"/>
      <c r="AF151" s="1352"/>
      <c r="AG151" s="1352"/>
      <c r="AH151" s="1352"/>
      <c r="AI151" s="1352"/>
      <c r="AJ151" s="1352"/>
      <c r="AK151" s="1352"/>
      <c r="AL151" s="1352"/>
      <c r="AM151" s="1352"/>
      <c r="AN151" s="1352"/>
      <c r="AO151" s="1352"/>
      <c r="AP151" s="1352"/>
      <c r="AQ151" s="1449"/>
      <c r="AR151" s="1353"/>
      <c r="AS151" s="1449"/>
      <c r="AT151" s="1697"/>
      <c r="AU151" s="1354"/>
      <c r="AV151" s="1687" t="str">
        <f t="shared" si="109"/>
        <v/>
      </c>
      <c r="AW151" s="1355"/>
      <c r="AX151" s="1355"/>
      <c r="AY151" s="1355"/>
      <c r="AZ151" s="1355"/>
      <c r="BA151" s="1450"/>
      <c r="BB151" s="1450"/>
      <c r="BC151" s="1450"/>
      <c r="BD151" s="1450"/>
      <c r="BE151" s="1450"/>
      <c r="BF151" s="1450"/>
      <c r="BG151" s="1450"/>
      <c r="BH151" s="1450"/>
      <c r="BI151" s="1450"/>
      <c r="BJ151" s="1450"/>
      <c r="BK151" s="1450"/>
      <c r="BL151" s="1450"/>
      <c r="BM151" s="1450"/>
      <c r="BN151" s="1450"/>
      <c r="BO151" s="1450"/>
      <c r="BP151" s="1450"/>
      <c r="BQ151" s="1450"/>
      <c r="BR151" s="1450"/>
      <c r="BS151" s="1450"/>
      <c r="BT151" s="1450"/>
      <c r="BU151" s="1450"/>
      <c r="CA151" s="971"/>
      <c r="CB151" s="381" t="str">
        <f t="shared" si="110"/>
        <v/>
      </c>
      <c r="CC151" s="381" t="str">
        <f t="shared" si="111"/>
        <v/>
      </c>
      <c r="CD151" s="381" t="str">
        <f t="shared" si="112"/>
        <v/>
      </c>
      <c r="CE151" s="381" t="str">
        <f t="shared" si="113"/>
        <v/>
      </c>
      <c r="CF151" s="971"/>
      <c r="CG151" s="971"/>
      <c r="CH151" s="971"/>
      <c r="CI151" s="971"/>
      <c r="CJ151" s="971"/>
      <c r="CK151" s="971"/>
      <c r="CL151" s="1356"/>
      <c r="CM151" s="1356"/>
      <c r="CN151" s="1356"/>
      <c r="CO151" s="1356"/>
      <c r="CP151" s="1356"/>
      <c r="CQ151" s="1356"/>
      <c r="CR151" s="1356"/>
      <c r="CS151" s="1356"/>
      <c r="CT151" s="1356"/>
      <c r="CU151" s="1356"/>
      <c r="CV151" s="1356"/>
      <c r="CW151" s="1356"/>
      <c r="CX151" s="1356"/>
      <c r="CY151" s="1356"/>
      <c r="CZ151" s="1356"/>
      <c r="DA151" s="385">
        <f t="shared" si="114"/>
        <v>0</v>
      </c>
      <c r="DB151" s="385">
        <f t="shared" si="115"/>
        <v>0</v>
      </c>
      <c r="DC151" s="385">
        <f t="shared" si="116"/>
        <v>0</v>
      </c>
      <c r="DD151" s="385">
        <f t="shared" si="117"/>
        <v>0</v>
      </c>
      <c r="DE151" s="972"/>
      <c r="DF151" s="972"/>
      <c r="DG151" s="972"/>
      <c r="DH151" s="972"/>
      <c r="DI151" s="972"/>
      <c r="DJ151" s="972"/>
      <c r="DK151" s="972"/>
      <c r="DL151" s="972"/>
      <c r="DM151" s="972"/>
      <c r="DN151" s="972"/>
      <c r="DO151" s="972"/>
      <c r="DP151" s="972"/>
      <c r="DQ151" s="972"/>
      <c r="DR151" s="972"/>
      <c r="DS151" s="972"/>
      <c r="DT151" s="972"/>
      <c r="DU151" s="972"/>
      <c r="DV151" s="972"/>
    </row>
    <row r="152" spans="1:130" ht="26.25" customHeight="1" x14ac:dyDescent="0.25">
      <c r="A152" s="1808" t="s">
        <v>803</v>
      </c>
      <c r="B152" s="1809" t="s">
        <v>866</v>
      </c>
      <c r="C152" s="693">
        <f t="shared" si="101"/>
        <v>0</v>
      </c>
      <c r="D152" s="1336">
        <f t="shared" si="102"/>
        <v>0</v>
      </c>
      <c r="E152" s="1590">
        <f t="shared" si="103"/>
        <v>0</v>
      </c>
      <c r="F152" s="682"/>
      <c r="G152" s="705"/>
      <c r="H152" s="705"/>
      <c r="I152" s="705"/>
      <c r="J152" s="705"/>
      <c r="K152" s="705"/>
      <c r="L152" s="705"/>
      <c r="M152" s="705"/>
      <c r="N152" s="705"/>
      <c r="O152" s="705"/>
      <c r="P152" s="705"/>
      <c r="Q152" s="705"/>
      <c r="R152" s="705"/>
      <c r="S152" s="705"/>
      <c r="T152" s="705"/>
      <c r="U152" s="705"/>
      <c r="V152" s="705"/>
      <c r="W152" s="705"/>
      <c r="X152" s="705"/>
      <c r="Y152" s="705"/>
      <c r="Z152" s="705"/>
      <c r="AA152" s="705"/>
      <c r="AB152" s="705"/>
      <c r="AC152" s="705"/>
      <c r="AD152" s="705"/>
      <c r="AE152" s="705"/>
      <c r="AF152" s="705"/>
      <c r="AG152" s="705"/>
      <c r="AH152" s="705"/>
      <c r="AI152" s="705"/>
      <c r="AJ152" s="705"/>
      <c r="AK152" s="705"/>
      <c r="AL152" s="705"/>
      <c r="AM152" s="705"/>
      <c r="AN152" s="705"/>
      <c r="AO152" s="705"/>
      <c r="AP152" s="705"/>
      <c r="AQ152" s="681"/>
      <c r="AR152" s="683"/>
      <c r="AS152" s="681"/>
      <c r="AT152" s="679"/>
      <c r="AU152" s="680"/>
      <c r="AV152" s="1687" t="str">
        <f t="shared" si="109"/>
        <v/>
      </c>
      <c r="AW152" s="183"/>
      <c r="AX152" s="183"/>
      <c r="AY152" s="183"/>
      <c r="AZ152" s="183"/>
      <c r="BR152" s="1050"/>
      <c r="BS152" s="1050"/>
      <c r="BT152" s="1050"/>
      <c r="BU152" s="1050"/>
      <c r="CB152" s="381" t="str">
        <f t="shared" si="110"/>
        <v/>
      </c>
      <c r="CC152" s="381" t="str">
        <f t="shared" si="111"/>
        <v/>
      </c>
      <c r="CD152" s="381" t="str">
        <f t="shared" si="112"/>
        <v/>
      </c>
      <c r="CE152" s="381" t="str">
        <f t="shared" si="113"/>
        <v/>
      </c>
      <c r="DA152" s="385">
        <f t="shared" si="114"/>
        <v>0</v>
      </c>
      <c r="DB152" s="385">
        <f t="shared" si="115"/>
        <v>0</v>
      </c>
      <c r="DC152" s="385">
        <f t="shared" si="116"/>
        <v>0</v>
      </c>
      <c r="DD152" s="385">
        <f t="shared" si="117"/>
        <v>0</v>
      </c>
      <c r="DE152" s="385"/>
      <c r="DF152" s="385"/>
      <c r="DG152" s="385"/>
      <c r="DH152" s="385"/>
      <c r="DI152" s="385"/>
      <c r="DJ152" s="385"/>
      <c r="DW152" s="180"/>
      <c r="DX152" s="180"/>
      <c r="DY152" s="180"/>
      <c r="DZ152" s="180"/>
    </row>
    <row r="153" spans="1:130" ht="16.5" customHeight="1" x14ac:dyDescent="0.25">
      <c r="A153" s="1808" t="s">
        <v>785</v>
      </c>
      <c r="B153" s="1809" t="s">
        <v>785</v>
      </c>
      <c r="C153" s="693">
        <f t="shared" si="101"/>
        <v>0</v>
      </c>
      <c r="D153" s="1336">
        <f t="shared" si="102"/>
        <v>0</v>
      </c>
      <c r="E153" s="1590">
        <f t="shared" si="103"/>
        <v>0</v>
      </c>
      <c r="F153" s="682"/>
      <c r="G153" s="705"/>
      <c r="H153" s="705"/>
      <c r="I153" s="705"/>
      <c r="J153" s="705"/>
      <c r="K153" s="705"/>
      <c r="L153" s="705"/>
      <c r="M153" s="705"/>
      <c r="N153" s="705"/>
      <c r="O153" s="705"/>
      <c r="P153" s="705"/>
      <c r="Q153" s="705"/>
      <c r="R153" s="705"/>
      <c r="S153" s="705"/>
      <c r="T153" s="705"/>
      <c r="U153" s="705"/>
      <c r="V153" s="705"/>
      <c r="W153" s="705"/>
      <c r="X153" s="705"/>
      <c r="Y153" s="705"/>
      <c r="Z153" s="705"/>
      <c r="AA153" s="705"/>
      <c r="AB153" s="705"/>
      <c r="AC153" s="705"/>
      <c r="AD153" s="705"/>
      <c r="AE153" s="705"/>
      <c r="AF153" s="705"/>
      <c r="AG153" s="705"/>
      <c r="AH153" s="705"/>
      <c r="AI153" s="705"/>
      <c r="AJ153" s="705"/>
      <c r="AK153" s="705"/>
      <c r="AL153" s="705"/>
      <c r="AM153" s="705"/>
      <c r="AN153" s="705"/>
      <c r="AO153" s="705"/>
      <c r="AP153" s="705"/>
      <c r="AQ153" s="681"/>
      <c r="AR153" s="683"/>
      <c r="AS153" s="681"/>
      <c r="AT153" s="679"/>
      <c r="AU153" s="680"/>
      <c r="AV153" s="1687" t="str">
        <f t="shared" si="109"/>
        <v/>
      </c>
      <c r="AW153" s="183"/>
      <c r="AX153" s="183"/>
      <c r="AY153" s="183"/>
      <c r="AZ153" s="183"/>
      <c r="BR153" s="1050"/>
      <c r="BS153" s="1050"/>
      <c r="BT153" s="1050"/>
      <c r="BU153" s="1050"/>
      <c r="CB153" s="381" t="str">
        <f t="shared" si="110"/>
        <v/>
      </c>
      <c r="CC153" s="381" t="str">
        <f t="shared" si="111"/>
        <v/>
      </c>
      <c r="CD153" s="381" t="str">
        <f t="shared" si="112"/>
        <v/>
      </c>
      <c r="CE153" s="381" t="str">
        <f t="shared" si="113"/>
        <v/>
      </c>
      <c r="DA153" s="385">
        <f t="shared" si="114"/>
        <v>0</v>
      </c>
      <c r="DB153" s="385">
        <f t="shared" si="115"/>
        <v>0</v>
      </c>
      <c r="DC153" s="385">
        <f t="shared" si="116"/>
        <v>0</v>
      </c>
      <c r="DD153" s="385">
        <f t="shared" si="117"/>
        <v>0</v>
      </c>
      <c r="DE153" s="385"/>
      <c r="DF153" s="385"/>
      <c r="DG153" s="385"/>
      <c r="DH153" s="385"/>
      <c r="DI153" s="385"/>
      <c r="DJ153" s="385"/>
      <c r="DW153" s="180"/>
      <c r="DX153" s="180"/>
      <c r="DY153" s="180"/>
      <c r="DZ153" s="180"/>
    </row>
    <row r="154" spans="1:130" ht="15.75" customHeight="1" x14ac:dyDescent="0.25">
      <c r="A154" s="1808" t="s">
        <v>786</v>
      </c>
      <c r="B154" s="1809" t="s">
        <v>786</v>
      </c>
      <c r="C154" s="693">
        <f t="shared" si="101"/>
        <v>0</v>
      </c>
      <c r="D154" s="1336">
        <f t="shared" si="102"/>
        <v>0</v>
      </c>
      <c r="E154" s="1590">
        <f t="shared" si="103"/>
        <v>0</v>
      </c>
      <c r="F154" s="682"/>
      <c r="G154" s="705"/>
      <c r="H154" s="705"/>
      <c r="I154" s="705"/>
      <c r="J154" s="705"/>
      <c r="K154" s="705"/>
      <c r="L154" s="705"/>
      <c r="M154" s="705"/>
      <c r="N154" s="705"/>
      <c r="O154" s="705"/>
      <c r="P154" s="705"/>
      <c r="Q154" s="705"/>
      <c r="R154" s="705"/>
      <c r="S154" s="705"/>
      <c r="T154" s="705"/>
      <c r="U154" s="705"/>
      <c r="V154" s="705"/>
      <c r="W154" s="705"/>
      <c r="X154" s="705"/>
      <c r="Y154" s="705"/>
      <c r="Z154" s="705"/>
      <c r="AA154" s="705"/>
      <c r="AB154" s="705"/>
      <c r="AC154" s="705"/>
      <c r="AD154" s="705"/>
      <c r="AE154" s="705"/>
      <c r="AF154" s="705"/>
      <c r="AG154" s="705"/>
      <c r="AH154" s="705"/>
      <c r="AI154" s="705"/>
      <c r="AJ154" s="705"/>
      <c r="AK154" s="705"/>
      <c r="AL154" s="705"/>
      <c r="AM154" s="705"/>
      <c r="AN154" s="705"/>
      <c r="AO154" s="705"/>
      <c r="AP154" s="705"/>
      <c r="AQ154" s="681"/>
      <c r="AR154" s="683"/>
      <c r="AS154" s="681"/>
      <c r="AT154" s="679"/>
      <c r="AU154" s="680"/>
      <c r="AV154" s="1687" t="str">
        <f t="shared" si="109"/>
        <v/>
      </c>
      <c r="CB154" s="381" t="str">
        <f t="shared" si="110"/>
        <v/>
      </c>
      <c r="CC154" s="381" t="str">
        <f t="shared" si="111"/>
        <v/>
      </c>
      <c r="CD154" s="381" t="str">
        <f t="shared" si="112"/>
        <v/>
      </c>
      <c r="CE154" s="381" t="str">
        <f t="shared" si="113"/>
        <v/>
      </c>
      <c r="DA154" s="385">
        <f t="shared" si="114"/>
        <v>0</v>
      </c>
      <c r="DB154" s="385">
        <f t="shared" si="115"/>
        <v>0</v>
      </c>
      <c r="DC154" s="385">
        <f t="shared" si="116"/>
        <v>0</v>
      </c>
      <c r="DD154" s="385">
        <f t="shared" si="117"/>
        <v>0</v>
      </c>
    </row>
    <row r="155" spans="1:130" ht="16.5" customHeight="1" x14ac:dyDescent="0.25">
      <c r="A155" s="1808" t="s">
        <v>798</v>
      </c>
      <c r="B155" s="1809" t="s">
        <v>798</v>
      </c>
      <c r="C155" s="693">
        <f t="shared" si="101"/>
        <v>0</v>
      </c>
      <c r="D155" s="1336">
        <f t="shared" si="102"/>
        <v>0</v>
      </c>
      <c r="E155" s="1590">
        <f t="shared" si="103"/>
        <v>0</v>
      </c>
      <c r="F155" s="682"/>
      <c r="G155" s="705"/>
      <c r="H155" s="705"/>
      <c r="I155" s="705"/>
      <c r="J155" s="705"/>
      <c r="K155" s="705"/>
      <c r="L155" s="705"/>
      <c r="M155" s="705"/>
      <c r="N155" s="705"/>
      <c r="O155" s="705"/>
      <c r="P155" s="705"/>
      <c r="Q155" s="705"/>
      <c r="R155" s="705"/>
      <c r="S155" s="705"/>
      <c r="T155" s="705"/>
      <c r="U155" s="705"/>
      <c r="V155" s="705"/>
      <c r="W155" s="705"/>
      <c r="X155" s="705"/>
      <c r="Y155" s="705"/>
      <c r="Z155" s="705"/>
      <c r="AA155" s="705"/>
      <c r="AB155" s="705"/>
      <c r="AC155" s="705"/>
      <c r="AD155" s="705"/>
      <c r="AE155" s="705"/>
      <c r="AF155" s="705"/>
      <c r="AG155" s="705"/>
      <c r="AH155" s="705"/>
      <c r="AI155" s="705"/>
      <c r="AJ155" s="705"/>
      <c r="AK155" s="705"/>
      <c r="AL155" s="705"/>
      <c r="AM155" s="705"/>
      <c r="AN155" s="705"/>
      <c r="AO155" s="705"/>
      <c r="AP155" s="705"/>
      <c r="AQ155" s="681"/>
      <c r="AR155" s="683"/>
      <c r="AS155" s="681"/>
      <c r="AT155" s="679"/>
      <c r="AU155" s="680"/>
      <c r="AV155" s="1687" t="str">
        <f t="shared" si="109"/>
        <v/>
      </c>
      <c r="AW155" s="183"/>
      <c r="AX155" s="183"/>
      <c r="AY155" s="183"/>
      <c r="AZ155" s="183"/>
      <c r="BR155" s="1050"/>
      <c r="BS155" s="1050"/>
      <c r="BT155" s="1050"/>
      <c r="BU155" s="1050"/>
      <c r="CB155" s="381" t="str">
        <f t="shared" si="110"/>
        <v/>
      </c>
      <c r="CC155" s="381" t="str">
        <f t="shared" si="111"/>
        <v/>
      </c>
      <c r="CD155" s="381" t="str">
        <f t="shared" si="112"/>
        <v/>
      </c>
      <c r="CE155" s="381" t="str">
        <f t="shared" si="113"/>
        <v/>
      </c>
      <c r="DA155" s="385">
        <f t="shared" si="114"/>
        <v>0</v>
      </c>
      <c r="DB155" s="385">
        <f t="shared" si="115"/>
        <v>0</v>
      </c>
      <c r="DC155" s="385">
        <f t="shared" si="116"/>
        <v>0</v>
      </c>
      <c r="DD155" s="385">
        <f t="shared" si="117"/>
        <v>0</v>
      </c>
      <c r="DE155" s="385"/>
      <c r="DF155" s="385"/>
      <c r="DG155" s="385"/>
      <c r="DH155" s="385"/>
      <c r="DI155" s="385"/>
      <c r="DJ155" s="385"/>
      <c r="DW155" s="180"/>
      <c r="DX155" s="180"/>
      <c r="DY155" s="180"/>
      <c r="DZ155" s="180"/>
    </row>
    <row r="156" spans="1:130" ht="15.75" customHeight="1" x14ac:dyDescent="0.25">
      <c r="A156" s="1808" t="s">
        <v>794</v>
      </c>
      <c r="B156" s="1809" t="s">
        <v>794</v>
      </c>
      <c r="C156" s="693">
        <f t="shared" si="101"/>
        <v>0</v>
      </c>
      <c r="D156" s="1336">
        <f t="shared" si="102"/>
        <v>0</v>
      </c>
      <c r="E156" s="1590">
        <f t="shared" si="103"/>
        <v>0</v>
      </c>
      <c r="F156" s="682"/>
      <c r="G156" s="705"/>
      <c r="H156" s="705"/>
      <c r="I156" s="705"/>
      <c r="J156" s="705"/>
      <c r="K156" s="705"/>
      <c r="L156" s="705"/>
      <c r="M156" s="705"/>
      <c r="N156" s="705"/>
      <c r="O156" s="705"/>
      <c r="P156" s="705"/>
      <c r="Q156" s="705"/>
      <c r="R156" s="705"/>
      <c r="S156" s="705"/>
      <c r="T156" s="705"/>
      <c r="U156" s="705"/>
      <c r="V156" s="705"/>
      <c r="W156" s="705"/>
      <c r="X156" s="705"/>
      <c r="Y156" s="705"/>
      <c r="Z156" s="705"/>
      <c r="AA156" s="705"/>
      <c r="AB156" s="705"/>
      <c r="AC156" s="705"/>
      <c r="AD156" s="705"/>
      <c r="AE156" s="705"/>
      <c r="AF156" s="705"/>
      <c r="AG156" s="705"/>
      <c r="AH156" s="705"/>
      <c r="AI156" s="705"/>
      <c r="AJ156" s="705"/>
      <c r="AK156" s="705"/>
      <c r="AL156" s="705"/>
      <c r="AM156" s="705"/>
      <c r="AN156" s="705"/>
      <c r="AO156" s="705"/>
      <c r="AP156" s="705"/>
      <c r="AQ156" s="681"/>
      <c r="AR156" s="683"/>
      <c r="AS156" s="681"/>
      <c r="AT156" s="679"/>
      <c r="AU156" s="680"/>
      <c r="AV156" s="1687" t="str">
        <f t="shared" si="109"/>
        <v/>
      </c>
      <c r="CB156" s="381" t="str">
        <f t="shared" si="110"/>
        <v/>
      </c>
      <c r="CC156" s="381" t="str">
        <f t="shared" si="111"/>
        <v/>
      </c>
      <c r="CD156" s="381" t="str">
        <f t="shared" si="112"/>
        <v/>
      </c>
      <c r="CE156" s="381" t="str">
        <f t="shared" si="113"/>
        <v/>
      </c>
      <c r="DA156" s="385">
        <f t="shared" si="114"/>
        <v>0</v>
      </c>
      <c r="DB156" s="385">
        <f t="shared" si="115"/>
        <v>0</v>
      </c>
      <c r="DC156" s="385">
        <f t="shared" si="116"/>
        <v>0</v>
      </c>
      <c r="DD156" s="385">
        <f t="shared" si="117"/>
        <v>0</v>
      </c>
    </row>
    <row r="157" spans="1:130" s="477" customFormat="1" ht="16.5" customHeight="1" x14ac:dyDescent="0.15">
      <c r="A157" s="1808" t="s">
        <v>770</v>
      </c>
      <c r="B157" s="1809" t="s">
        <v>770</v>
      </c>
      <c r="C157" s="1229">
        <f t="shared" si="101"/>
        <v>0</v>
      </c>
      <c r="D157" s="1351">
        <f t="shared" si="102"/>
        <v>0</v>
      </c>
      <c r="E157" s="1591">
        <f t="shared" si="103"/>
        <v>0</v>
      </c>
      <c r="F157" s="1588"/>
      <c r="G157" s="1352"/>
      <c r="H157" s="1352"/>
      <c r="I157" s="1352"/>
      <c r="J157" s="1352"/>
      <c r="K157" s="1352"/>
      <c r="L157" s="1352"/>
      <c r="M157" s="1352"/>
      <c r="N157" s="1352"/>
      <c r="O157" s="1352"/>
      <c r="P157" s="1352"/>
      <c r="Q157" s="1352"/>
      <c r="R157" s="1352"/>
      <c r="S157" s="1352"/>
      <c r="T157" s="1352"/>
      <c r="U157" s="1352"/>
      <c r="V157" s="1352"/>
      <c r="W157" s="1352"/>
      <c r="X157" s="1352"/>
      <c r="Y157" s="1352"/>
      <c r="Z157" s="1352"/>
      <c r="AA157" s="1352"/>
      <c r="AB157" s="1352"/>
      <c r="AC157" s="1352"/>
      <c r="AD157" s="1352"/>
      <c r="AE157" s="1352"/>
      <c r="AF157" s="1352"/>
      <c r="AG157" s="1352"/>
      <c r="AH157" s="1352"/>
      <c r="AI157" s="1352"/>
      <c r="AJ157" s="1352"/>
      <c r="AK157" s="1352"/>
      <c r="AL157" s="1352"/>
      <c r="AM157" s="1352"/>
      <c r="AN157" s="1352"/>
      <c r="AO157" s="1352"/>
      <c r="AP157" s="1352"/>
      <c r="AQ157" s="1449"/>
      <c r="AR157" s="1353"/>
      <c r="AS157" s="1449"/>
      <c r="AT157" s="1697"/>
      <c r="AU157" s="1354"/>
      <c r="AV157" s="1687" t="str">
        <f t="shared" si="109"/>
        <v/>
      </c>
      <c r="AW157" s="1355"/>
      <c r="AX157" s="1355"/>
      <c r="AY157" s="1355"/>
      <c r="AZ157" s="1355"/>
      <c r="BA157" s="1450"/>
      <c r="BB157" s="1450"/>
      <c r="BC157" s="1450"/>
      <c r="BD157" s="1450"/>
      <c r="BE157" s="1450"/>
      <c r="BF157" s="1450"/>
      <c r="BG157" s="1450"/>
      <c r="BH157" s="1450"/>
      <c r="BI157" s="1450"/>
      <c r="BJ157" s="1450"/>
      <c r="BK157" s="1450"/>
      <c r="BL157" s="1450"/>
      <c r="BM157" s="1450"/>
      <c r="BN157" s="1450"/>
      <c r="BO157" s="1450"/>
      <c r="BP157" s="1450"/>
      <c r="BQ157" s="1450"/>
      <c r="BR157" s="1450"/>
      <c r="BS157" s="1450"/>
      <c r="BT157" s="1450"/>
      <c r="BU157" s="1450"/>
      <c r="CA157" s="971"/>
      <c r="CB157" s="381" t="str">
        <f t="shared" si="110"/>
        <v/>
      </c>
      <c r="CC157" s="381" t="str">
        <f t="shared" si="111"/>
        <v/>
      </c>
      <c r="CD157" s="381" t="str">
        <f t="shared" si="112"/>
        <v/>
      </c>
      <c r="CE157" s="381" t="str">
        <f t="shared" si="113"/>
        <v/>
      </c>
      <c r="CF157" s="971"/>
      <c r="CG157" s="971"/>
      <c r="CH157" s="971"/>
      <c r="CI157" s="971"/>
      <c r="CJ157" s="971"/>
      <c r="CK157" s="971"/>
      <c r="CL157" s="1356"/>
      <c r="CM157" s="1356"/>
      <c r="CN157" s="1356"/>
      <c r="CO157" s="1356"/>
      <c r="CP157" s="1356"/>
      <c r="CQ157" s="1356"/>
      <c r="CR157" s="1356"/>
      <c r="CS157" s="1356"/>
      <c r="CT157" s="1356"/>
      <c r="CU157" s="1356"/>
      <c r="CV157" s="1356"/>
      <c r="CW157" s="1356"/>
      <c r="CX157" s="1356"/>
      <c r="CY157" s="1356"/>
      <c r="CZ157" s="1356"/>
      <c r="DA157" s="385">
        <f t="shared" si="114"/>
        <v>0</v>
      </c>
      <c r="DB157" s="385">
        <f t="shared" si="115"/>
        <v>0</v>
      </c>
      <c r="DC157" s="385">
        <f t="shared" si="116"/>
        <v>0</v>
      </c>
      <c r="DD157" s="385">
        <f t="shared" si="117"/>
        <v>0</v>
      </c>
      <c r="DE157" s="972"/>
      <c r="DF157" s="972"/>
      <c r="DG157" s="972"/>
      <c r="DH157" s="972"/>
      <c r="DI157" s="972"/>
      <c r="DJ157" s="972"/>
      <c r="DK157" s="972"/>
      <c r="DL157" s="972"/>
      <c r="DM157" s="972"/>
      <c r="DN157" s="972"/>
      <c r="DO157" s="972"/>
      <c r="DP157" s="972"/>
      <c r="DQ157" s="972"/>
      <c r="DR157" s="972"/>
      <c r="DS157" s="972"/>
      <c r="DT157" s="972"/>
      <c r="DU157" s="972"/>
      <c r="DV157" s="972"/>
    </row>
    <row r="158" spans="1:130" ht="16.5" customHeight="1" x14ac:dyDescent="0.25">
      <c r="A158" s="1808" t="s">
        <v>763</v>
      </c>
      <c r="B158" s="1809"/>
      <c r="C158" s="693">
        <f t="shared" ref="C158:C185" si="118">SUM(D158:E158)</f>
        <v>0</v>
      </c>
      <c r="D158" s="1336">
        <f t="shared" ref="D158:D185" si="119">+F158+H158+J158+L158+N158+P158+R158+T158+V158+X158+Z158+AB158+AD158+AF158+AH158+AN158+AP158+AJ158+AL158</f>
        <v>0</v>
      </c>
      <c r="E158" s="1590">
        <f t="shared" ref="E158:E183" si="120">+G158+I158+K158+M158+O158+Q158+S158+U158+W158+Y158+AA158+AC158+AE158+AG158+AI158+AO158+AQ158+AK158+AM158</f>
        <v>0</v>
      </c>
      <c r="F158" s="682"/>
      <c r="G158" s="705"/>
      <c r="H158" s="705"/>
      <c r="I158" s="705"/>
      <c r="J158" s="705"/>
      <c r="K158" s="705"/>
      <c r="L158" s="705"/>
      <c r="M158" s="705"/>
      <c r="N158" s="705"/>
      <c r="O158" s="705"/>
      <c r="P158" s="705"/>
      <c r="Q158" s="705"/>
      <c r="R158" s="705"/>
      <c r="S158" s="705"/>
      <c r="T158" s="705"/>
      <c r="U158" s="705"/>
      <c r="V158" s="705"/>
      <c r="W158" s="705"/>
      <c r="X158" s="705"/>
      <c r="Y158" s="705"/>
      <c r="Z158" s="705"/>
      <c r="AA158" s="705"/>
      <c r="AB158" s="705"/>
      <c r="AC158" s="705"/>
      <c r="AD158" s="705"/>
      <c r="AE158" s="705"/>
      <c r="AF158" s="705"/>
      <c r="AG158" s="705"/>
      <c r="AH158" s="705"/>
      <c r="AI158" s="705"/>
      <c r="AJ158" s="705"/>
      <c r="AK158" s="705"/>
      <c r="AL158" s="705"/>
      <c r="AM158" s="705"/>
      <c r="AN158" s="705"/>
      <c r="AO158" s="705"/>
      <c r="AP158" s="705"/>
      <c r="AQ158" s="681"/>
      <c r="AR158" s="683"/>
      <c r="AS158" s="681"/>
      <c r="AT158" s="679"/>
      <c r="AU158" s="680"/>
      <c r="AV158" s="1687" t="str">
        <f t="shared" si="109"/>
        <v/>
      </c>
      <c r="AW158" s="183"/>
      <c r="AX158" s="183"/>
      <c r="AY158" s="183"/>
      <c r="AZ158" s="183"/>
      <c r="BR158" s="1050"/>
      <c r="BS158" s="1050"/>
      <c r="BT158" s="1050"/>
      <c r="BU158" s="1050"/>
      <c r="CB158" s="381" t="str">
        <f t="shared" si="110"/>
        <v/>
      </c>
      <c r="CC158" s="381" t="str">
        <f t="shared" si="111"/>
        <v/>
      </c>
      <c r="CD158" s="381" t="str">
        <f t="shared" si="112"/>
        <v/>
      </c>
      <c r="CE158" s="381" t="str">
        <f t="shared" si="113"/>
        <v/>
      </c>
      <c r="DA158" s="385">
        <f t="shared" si="114"/>
        <v>0</v>
      </c>
      <c r="DB158" s="385">
        <f t="shared" si="115"/>
        <v>0</v>
      </c>
      <c r="DC158" s="385">
        <f t="shared" si="116"/>
        <v>0</v>
      </c>
      <c r="DD158" s="385">
        <f t="shared" si="117"/>
        <v>0</v>
      </c>
      <c r="DE158" s="385"/>
      <c r="DF158" s="385"/>
      <c r="DG158" s="385"/>
      <c r="DH158" s="385"/>
      <c r="DI158" s="385"/>
      <c r="DJ158" s="385"/>
      <c r="DW158" s="180"/>
      <c r="DX158" s="180"/>
      <c r="DY158" s="180"/>
      <c r="DZ158" s="180"/>
    </row>
    <row r="159" spans="1:130" s="477" customFormat="1" ht="16.5" customHeight="1" x14ac:dyDescent="0.15">
      <c r="A159" s="1808" t="s">
        <v>787</v>
      </c>
      <c r="B159" s="1809" t="s">
        <v>787</v>
      </c>
      <c r="C159" s="1229">
        <f>SUM(D159:E159)</f>
        <v>0</v>
      </c>
      <c r="D159" s="1351">
        <f t="shared" ref="D159:E163" si="121">+F159+H159+J159+L159+N159+P159+R159+T159+V159+X159+Z159+AB159+AD159+AF159+AH159+AN159+AP159+AJ159+AL159</f>
        <v>0</v>
      </c>
      <c r="E159" s="1591">
        <f t="shared" si="121"/>
        <v>0</v>
      </c>
      <c r="F159" s="1588"/>
      <c r="G159" s="1352"/>
      <c r="H159" s="1352"/>
      <c r="I159" s="1352"/>
      <c r="J159" s="1352"/>
      <c r="K159" s="1352"/>
      <c r="L159" s="1352"/>
      <c r="M159" s="1352"/>
      <c r="N159" s="1352"/>
      <c r="O159" s="1352"/>
      <c r="P159" s="1352"/>
      <c r="Q159" s="1352"/>
      <c r="R159" s="1352"/>
      <c r="S159" s="1352"/>
      <c r="T159" s="1352"/>
      <c r="U159" s="1352"/>
      <c r="V159" s="1352"/>
      <c r="W159" s="1352"/>
      <c r="X159" s="1352"/>
      <c r="Y159" s="1352"/>
      <c r="Z159" s="1352"/>
      <c r="AA159" s="1352"/>
      <c r="AB159" s="1352"/>
      <c r="AC159" s="1352"/>
      <c r="AD159" s="1352"/>
      <c r="AE159" s="1352"/>
      <c r="AF159" s="1352"/>
      <c r="AG159" s="1352"/>
      <c r="AH159" s="1352"/>
      <c r="AI159" s="1352"/>
      <c r="AJ159" s="1352"/>
      <c r="AK159" s="1352"/>
      <c r="AL159" s="1352"/>
      <c r="AM159" s="1352"/>
      <c r="AN159" s="1352"/>
      <c r="AO159" s="1352"/>
      <c r="AP159" s="1352"/>
      <c r="AQ159" s="1449"/>
      <c r="AR159" s="1353"/>
      <c r="AS159" s="1449"/>
      <c r="AT159" s="1697"/>
      <c r="AU159" s="1354"/>
      <c r="AV159" s="1687" t="str">
        <f t="shared" si="109"/>
        <v/>
      </c>
      <c r="AW159" s="1355"/>
      <c r="AX159" s="1355"/>
      <c r="AY159" s="1355"/>
      <c r="AZ159" s="1355"/>
      <c r="BA159" s="1450"/>
      <c r="BB159" s="1450"/>
      <c r="BC159" s="1450"/>
      <c r="BD159" s="1450"/>
      <c r="BE159" s="1450"/>
      <c r="BF159" s="1450"/>
      <c r="BG159" s="1450"/>
      <c r="BH159" s="1450"/>
      <c r="BI159" s="1450"/>
      <c r="BJ159" s="1450"/>
      <c r="BK159" s="1450"/>
      <c r="BL159" s="1450"/>
      <c r="BM159" s="1450"/>
      <c r="BN159" s="1450"/>
      <c r="BO159" s="1450"/>
      <c r="BP159" s="1450"/>
      <c r="BQ159" s="1450"/>
      <c r="BR159" s="1450"/>
      <c r="BS159" s="1450"/>
      <c r="BT159" s="1450"/>
      <c r="BU159" s="1450"/>
      <c r="CA159" s="971"/>
      <c r="CB159" s="381" t="str">
        <f t="shared" si="110"/>
        <v/>
      </c>
      <c r="CC159" s="381" t="str">
        <f t="shared" si="111"/>
        <v/>
      </c>
      <c r="CD159" s="381" t="str">
        <f t="shared" si="112"/>
        <v/>
      </c>
      <c r="CE159" s="381" t="str">
        <f t="shared" si="113"/>
        <v/>
      </c>
      <c r="CF159" s="971"/>
      <c r="CG159" s="971"/>
      <c r="CH159" s="971"/>
      <c r="CI159" s="971"/>
      <c r="CJ159" s="971"/>
      <c r="CK159" s="971"/>
      <c r="CL159" s="1356"/>
      <c r="CM159" s="1356"/>
      <c r="CN159" s="1356"/>
      <c r="CO159" s="1356"/>
      <c r="CP159" s="1356"/>
      <c r="CQ159" s="1356"/>
      <c r="CR159" s="1356"/>
      <c r="CS159" s="1356"/>
      <c r="CT159" s="1356"/>
      <c r="CU159" s="1356"/>
      <c r="CV159" s="1356"/>
      <c r="CW159" s="1356"/>
      <c r="CX159" s="1356"/>
      <c r="CY159" s="1356"/>
      <c r="CZ159" s="1356"/>
      <c r="DA159" s="385">
        <f t="shared" si="114"/>
        <v>0</v>
      </c>
      <c r="DB159" s="385">
        <f t="shared" si="115"/>
        <v>0</v>
      </c>
      <c r="DC159" s="385">
        <f t="shared" si="116"/>
        <v>0</v>
      </c>
      <c r="DD159" s="385">
        <f t="shared" si="117"/>
        <v>0</v>
      </c>
      <c r="DE159" s="972"/>
      <c r="DF159" s="972"/>
      <c r="DG159" s="972"/>
      <c r="DH159" s="972"/>
      <c r="DI159" s="972"/>
      <c r="DJ159" s="972"/>
      <c r="DK159" s="972"/>
      <c r="DL159" s="972"/>
      <c r="DM159" s="972"/>
      <c r="DN159" s="972"/>
      <c r="DO159" s="972"/>
      <c r="DP159" s="972"/>
      <c r="DQ159" s="972"/>
      <c r="DR159" s="972"/>
      <c r="DS159" s="972"/>
      <c r="DT159" s="972"/>
      <c r="DU159" s="972"/>
      <c r="DV159" s="972"/>
    </row>
    <row r="160" spans="1:130" ht="15" customHeight="1" x14ac:dyDescent="0.25">
      <c r="A160" s="1808" t="s">
        <v>797</v>
      </c>
      <c r="B160" s="1809" t="s">
        <v>797</v>
      </c>
      <c r="C160" s="693">
        <f>SUM(D160:E160)</f>
        <v>0</v>
      </c>
      <c r="D160" s="1336">
        <f t="shared" si="121"/>
        <v>0</v>
      </c>
      <c r="E160" s="1590">
        <f t="shared" si="121"/>
        <v>0</v>
      </c>
      <c r="F160" s="682"/>
      <c r="G160" s="705"/>
      <c r="H160" s="705"/>
      <c r="I160" s="705"/>
      <c r="J160" s="705"/>
      <c r="K160" s="705"/>
      <c r="L160" s="705"/>
      <c r="M160" s="705"/>
      <c r="N160" s="705"/>
      <c r="O160" s="705"/>
      <c r="P160" s="705"/>
      <c r="Q160" s="705"/>
      <c r="R160" s="705"/>
      <c r="S160" s="705"/>
      <c r="T160" s="705"/>
      <c r="U160" s="705"/>
      <c r="V160" s="705"/>
      <c r="W160" s="705"/>
      <c r="X160" s="705"/>
      <c r="Y160" s="705"/>
      <c r="Z160" s="705"/>
      <c r="AA160" s="705"/>
      <c r="AB160" s="705"/>
      <c r="AC160" s="705"/>
      <c r="AD160" s="705"/>
      <c r="AE160" s="705"/>
      <c r="AF160" s="705"/>
      <c r="AG160" s="705"/>
      <c r="AH160" s="705"/>
      <c r="AI160" s="705"/>
      <c r="AJ160" s="705"/>
      <c r="AK160" s="705"/>
      <c r="AL160" s="705"/>
      <c r="AM160" s="705"/>
      <c r="AN160" s="705"/>
      <c r="AO160" s="705"/>
      <c r="AP160" s="705"/>
      <c r="AQ160" s="681"/>
      <c r="AR160" s="683"/>
      <c r="AS160" s="681"/>
      <c r="AT160" s="679"/>
      <c r="AU160" s="680"/>
      <c r="AV160" s="1687" t="str">
        <f t="shared" si="109"/>
        <v/>
      </c>
      <c r="CB160" s="381" t="str">
        <f t="shared" si="110"/>
        <v/>
      </c>
      <c r="CC160" s="381" t="str">
        <f t="shared" si="111"/>
        <v/>
      </c>
      <c r="CD160" s="381" t="str">
        <f t="shared" si="112"/>
        <v/>
      </c>
      <c r="CE160" s="381" t="str">
        <f t="shared" si="113"/>
        <v/>
      </c>
      <c r="DA160" s="385">
        <f t="shared" si="114"/>
        <v>0</v>
      </c>
      <c r="DB160" s="385">
        <f t="shared" si="115"/>
        <v>0</v>
      </c>
      <c r="DC160" s="385">
        <f t="shared" si="116"/>
        <v>0</v>
      </c>
      <c r="DD160" s="385">
        <f t="shared" si="117"/>
        <v>0</v>
      </c>
    </row>
    <row r="161" spans="1:130" ht="16.5" customHeight="1" x14ac:dyDescent="0.25">
      <c r="A161" s="1808" t="s">
        <v>772</v>
      </c>
      <c r="B161" s="1809" t="s">
        <v>772</v>
      </c>
      <c r="C161" s="693">
        <f>SUM(D161:E161)</f>
        <v>0</v>
      </c>
      <c r="D161" s="1336">
        <f t="shared" si="121"/>
        <v>0</v>
      </c>
      <c r="E161" s="1590">
        <f t="shared" si="121"/>
        <v>0</v>
      </c>
      <c r="F161" s="682"/>
      <c r="G161" s="705"/>
      <c r="H161" s="705"/>
      <c r="I161" s="705"/>
      <c r="J161" s="705"/>
      <c r="K161" s="705"/>
      <c r="L161" s="705"/>
      <c r="M161" s="705"/>
      <c r="N161" s="705"/>
      <c r="O161" s="705"/>
      <c r="P161" s="705"/>
      <c r="Q161" s="705"/>
      <c r="R161" s="705"/>
      <c r="S161" s="705"/>
      <c r="T161" s="705"/>
      <c r="U161" s="705"/>
      <c r="V161" s="705"/>
      <c r="W161" s="705"/>
      <c r="X161" s="705"/>
      <c r="Y161" s="705"/>
      <c r="Z161" s="705"/>
      <c r="AA161" s="705"/>
      <c r="AB161" s="705"/>
      <c r="AC161" s="705"/>
      <c r="AD161" s="705"/>
      <c r="AE161" s="705"/>
      <c r="AF161" s="705"/>
      <c r="AG161" s="705"/>
      <c r="AH161" s="705"/>
      <c r="AI161" s="705"/>
      <c r="AJ161" s="705"/>
      <c r="AK161" s="705"/>
      <c r="AL161" s="705"/>
      <c r="AM161" s="705"/>
      <c r="AN161" s="705"/>
      <c r="AO161" s="705"/>
      <c r="AP161" s="705"/>
      <c r="AQ161" s="681"/>
      <c r="AR161" s="683"/>
      <c r="AS161" s="681"/>
      <c r="AT161" s="679"/>
      <c r="AU161" s="680"/>
      <c r="AV161" s="1687" t="str">
        <f t="shared" si="109"/>
        <v/>
      </c>
      <c r="AW161" s="183"/>
      <c r="AX161" s="183"/>
      <c r="AY161" s="183"/>
      <c r="AZ161" s="183"/>
      <c r="BR161" s="1050"/>
      <c r="BS161" s="1050"/>
      <c r="BT161" s="1050"/>
      <c r="BU161" s="1050"/>
      <c r="CB161" s="381" t="str">
        <f t="shared" si="110"/>
        <v/>
      </c>
      <c r="CC161" s="381" t="str">
        <f t="shared" si="111"/>
        <v/>
      </c>
      <c r="CD161" s="381" t="str">
        <f t="shared" si="112"/>
        <v/>
      </c>
      <c r="CE161" s="381" t="str">
        <f t="shared" si="113"/>
        <v/>
      </c>
      <c r="DA161" s="385">
        <f t="shared" si="114"/>
        <v>0</v>
      </c>
      <c r="DB161" s="385">
        <f t="shared" si="115"/>
        <v>0</v>
      </c>
      <c r="DC161" s="385">
        <f t="shared" si="116"/>
        <v>0</v>
      </c>
      <c r="DD161" s="385">
        <f t="shared" si="117"/>
        <v>0</v>
      </c>
      <c r="DE161" s="385"/>
      <c r="DF161" s="385"/>
      <c r="DG161" s="385"/>
      <c r="DH161" s="385"/>
      <c r="DI161" s="385"/>
      <c r="DJ161" s="385"/>
      <c r="DW161" s="180"/>
      <c r="DX161" s="180"/>
      <c r="DY161" s="180"/>
      <c r="DZ161" s="180"/>
    </row>
    <row r="162" spans="1:130" s="477" customFormat="1" ht="16.5" customHeight="1" x14ac:dyDescent="0.15">
      <c r="A162" s="1808" t="s">
        <v>771</v>
      </c>
      <c r="B162" s="1809" t="s">
        <v>771</v>
      </c>
      <c r="C162" s="1229">
        <f>SUM(D162:E162)</f>
        <v>0</v>
      </c>
      <c r="D162" s="1351">
        <f t="shared" si="121"/>
        <v>0</v>
      </c>
      <c r="E162" s="1591">
        <f t="shared" si="121"/>
        <v>0</v>
      </c>
      <c r="F162" s="1588"/>
      <c r="G162" s="1352"/>
      <c r="H162" s="1352"/>
      <c r="I162" s="1352"/>
      <c r="J162" s="1352"/>
      <c r="K162" s="1352"/>
      <c r="L162" s="1352"/>
      <c r="M162" s="1352"/>
      <c r="N162" s="1352"/>
      <c r="O162" s="1352"/>
      <c r="P162" s="1352"/>
      <c r="Q162" s="1352"/>
      <c r="R162" s="1352"/>
      <c r="S162" s="1352"/>
      <c r="T162" s="1352"/>
      <c r="U162" s="1352"/>
      <c r="V162" s="1352"/>
      <c r="W162" s="1352"/>
      <c r="X162" s="1352"/>
      <c r="Y162" s="1352"/>
      <c r="Z162" s="1352"/>
      <c r="AA162" s="1352"/>
      <c r="AB162" s="1352"/>
      <c r="AC162" s="1352"/>
      <c r="AD162" s="1352"/>
      <c r="AE162" s="1352"/>
      <c r="AF162" s="1352"/>
      <c r="AG162" s="1352"/>
      <c r="AH162" s="1352"/>
      <c r="AI162" s="1352"/>
      <c r="AJ162" s="1352"/>
      <c r="AK162" s="1352"/>
      <c r="AL162" s="1352"/>
      <c r="AM162" s="1352"/>
      <c r="AN162" s="1352"/>
      <c r="AO162" s="1352"/>
      <c r="AP162" s="1352"/>
      <c r="AQ162" s="1449"/>
      <c r="AR162" s="1353"/>
      <c r="AS162" s="1449"/>
      <c r="AT162" s="1697"/>
      <c r="AU162" s="1354"/>
      <c r="AV162" s="1687" t="str">
        <f t="shared" si="109"/>
        <v/>
      </c>
      <c r="AW162" s="1355"/>
      <c r="AX162" s="1355"/>
      <c r="AY162" s="1355"/>
      <c r="AZ162" s="1355"/>
      <c r="BA162" s="1450"/>
      <c r="BB162" s="1450"/>
      <c r="BC162" s="1450"/>
      <c r="BD162" s="1450"/>
      <c r="BE162" s="1450"/>
      <c r="BF162" s="1450"/>
      <c r="BG162" s="1450"/>
      <c r="BH162" s="1450"/>
      <c r="BI162" s="1450"/>
      <c r="BJ162" s="1450"/>
      <c r="BK162" s="1450"/>
      <c r="BL162" s="1450"/>
      <c r="BM162" s="1450"/>
      <c r="BN162" s="1450"/>
      <c r="BO162" s="1450"/>
      <c r="BP162" s="1450"/>
      <c r="BQ162" s="1450"/>
      <c r="BR162" s="1450"/>
      <c r="BS162" s="1450"/>
      <c r="BT162" s="1450"/>
      <c r="BU162" s="1450"/>
      <c r="CA162" s="971"/>
      <c r="CB162" s="381" t="str">
        <f t="shared" si="110"/>
        <v/>
      </c>
      <c r="CC162" s="381" t="str">
        <f t="shared" si="111"/>
        <v/>
      </c>
      <c r="CD162" s="381" t="str">
        <f t="shared" si="112"/>
        <v/>
      </c>
      <c r="CE162" s="381" t="str">
        <f t="shared" si="113"/>
        <v/>
      </c>
      <c r="CF162" s="971"/>
      <c r="CG162" s="971"/>
      <c r="CH162" s="971"/>
      <c r="CI162" s="971"/>
      <c r="CJ162" s="971"/>
      <c r="CK162" s="971"/>
      <c r="CL162" s="1356"/>
      <c r="CM162" s="1356"/>
      <c r="CN162" s="1356"/>
      <c r="CO162" s="1356"/>
      <c r="CP162" s="1356"/>
      <c r="CQ162" s="1356"/>
      <c r="CR162" s="1356"/>
      <c r="CS162" s="1356"/>
      <c r="CT162" s="1356"/>
      <c r="CU162" s="1356"/>
      <c r="CV162" s="1356"/>
      <c r="CW162" s="1356"/>
      <c r="CX162" s="1356"/>
      <c r="CY162" s="1356"/>
      <c r="CZ162" s="1356"/>
      <c r="DA162" s="385">
        <f t="shared" si="114"/>
        <v>0</v>
      </c>
      <c r="DB162" s="385">
        <f t="shared" si="115"/>
        <v>0</v>
      </c>
      <c r="DC162" s="385">
        <f t="shared" si="116"/>
        <v>0</v>
      </c>
      <c r="DD162" s="385">
        <f t="shared" si="117"/>
        <v>0</v>
      </c>
      <c r="DE162" s="972"/>
      <c r="DF162" s="972"/>
      <c r="DG162" s="972"/>
      <c r="DH162" s="972"/>
      <c r="DI162" s="972"/>
      <c r="DJ162" s="972"/>
      <c r="DK162" s="972"/>
      <c r="DL162" s="972"/>
      <c r="DM162" s="972"/>
      <c r="DN162" s="972"/>
      <c r="DO162" s="972"/>
      <c r="DP162" s="972"/>
      <c r="DQ162" s="972"/>
      <c r="DR162" s="972"/>
      <c r="DS162" s="972"/>
      <c r="DT162" s="972"/>
      <c r="DU162" s="972"/>
      <c r="DV162" s="972"/>
    </row>
    <row r="163" spans="1:130" s="477" customFormat="1" ht="16.5" customHeight="1" x14ac:dyDescent="0.15">
      <c r="A163" s="1808" t="s">
        <v>767</v>
      </c>
      <c r="B163" s="1809" t="s">
        <v>767</v>
      </c>
      <c r="C163" s="1229">
        <f>SUM(D163:E163)</f>
        <v>0</v>
      </c>
      <c r="D163" s="1351">
        <f t="shared" si="121"/>
        <v>0</v>
      </c>
      <c r="E163" s="1591">
        <f t="shared" si="121"/>
        <v>0</v>
      </c>
      <c r="F163" s="1588"/>
      <c r="G163" s="1352"/>
      <c r="H163" s="1352"/>
      <c r="I163" s="1352"/>
      <c r="J163" s="1352"/>
      <c r="K163" s="1352"/>
      <c r="L163" s="1352"/>
      <c r="M163" s="1352"/>
      <c r="N163" s="1352"/>
      <c r="O163" s="1352"/>
      <c r="P163" s="1352"/>
      <c r="Q163" s="1352"/>
      <c r="R163" s="1352"/>
      <c r="S163" s="1352"/>
      <c r="T163" s="1352"/>
      <c r="U163" s="1352"/>
      <c r="V163" s="1352"/>
      <c r="W163" s="1352"/>
      <c r="X163" s="1352"/>
      <c r="Y163" s="1352"/>
      <c r="Z163" s="1352"/>
      <c r="AA163" s="1352"/>
      <c r="AB163" s="1352"/>
      <c r="AC163" s="1352"/>
      <c r="AD163" s="1352"/>
      <c r="AE163" s="1352"/>
      <c r="AF163" s="1352"/>
      <c r="AG163" s="1352"/>
      <c r="AH163" s="1352"/>
      <c r="AI163" s="1352"/>
      <c r="AJ163" s="1352"/>
      <c r="AK163" s="1352"/>
      <c r="AL163" s="1352"/>
      <c r="AM163" s="1352"/>
      <c r="AN163" s="1352"/>
      <c r="AO163" s="1352"/>
      <c r="AP163" s="1352"/>
      <c r="AQ163" s="1449"/>
      <c r="AR163" s="1353"/>
      <c r="AS163" s="1449"/>
      <c r="AT163" s="1697"/>
      <c r="AU163" s="1354"/>
      <c r="AV163" s="1687" t="str">
        <f t="shared" si="109"/>
        <v/>
      </c>
      <c r="AW163" s="1355"/>
      <c r="AX163" s="1355"/>
      <c r="AY163" s="1355"/>
      <c r="AZ163" s="1355"/>
      <c r="BA163" s="1450"/>
      <c r="BB163" s="1450"/>
      <c r="BC163" s="1450"/>
      <c r="BD163" s="1450"/>
      <c r="BE163" s="1450"/>
      <c r="BF163" s="1450"/>
      <c r="BG163" s="1450"/>
      <c r="BH163" s="1450"/>
      <c r="BI163" s="1450"/>
      <c r="BJ163" s="1450"/>
      <c r="BK163" s="1450"/>
      <c r="BL163" s="1450"/>
      <c r="BM163" s="1450"/>
      <c r="BN163" s="1450"/>
      <c r="BO163" s="1450"/>
      <c r="BP163" s="1450"/>
      <c r="BQ163" s="1450"/>
      <c r="BR163" s="1450"/>
      <c r="BS163" s="1450"/>
      <c r="BT163" s="1450"/>
      <c r="BU163" s="1450"/>
      <c r="CA163" s="971"/>
      <c r="CB163" s="381" t="str">
        <f t="shared" si="110"/>
        <v/>
      </c>
      <c r="CC163" s="381" t="str">
        <f t="shared" si="111"/>
        <v/>
      </c>
      <c r="CD163" s="381" t="str">
        <f t="shared" si="112"/>
        <v/>
      </c>
      <c r="CE163" s="381" t="str">
        <f t="shared" si="113"/>
        <v/>
      </c>
      <c r="CF163" s="971"/>
      <c r="CG163" s="971"/>
      <c r="CH163" s="971"/>
      <c r="CI163" s="971"/>
      <c r="CJ163" s="971"/>
      <c r="CK163" s="971"/>
      <c r="CL163" s="1356"/>
      <c r="CM163" s="1356"/>
      <c r="CN163" s="1356"/>
      <c r="CO163" s="1356"/>
      <c r="CP163" s="1356"/>
      <c r="CQ163" s="1356"/>
      <c r="CR163" s="1356"/>
      <c r="CS163" s="1356"/>
      <c r="CT163" s="1356"/>
      <c r="CU163" s="1356"/>
      <c r="CV163" s="1356"/>
      <c r="CW163" s="1356"/>
      <c r="CX163" s="1356"/>
      <c r="CY163" s="1356"/>
      <c r="CZ163" s="1356"/>
      <c r="DA163" s="385">
        <f t="shared" si="114"/>
        <v>0</v>
      </c>
      <c r="DB163" s="385">
        <f t="shared" si="115"/>
        <v>0</v>
      </c>
      <c r="DC163" s="385">
        <f t="shared" si="116"/>
        <v>0</v>
      </c>
      <c r="DD163" s="385">
        <f t="shared" si="117"/>
        <v>0</v>
      </c>
      <c r="DE163" s="972"/>
      <c r="DF163" s="972"/>
      <c r="DG163" s="972"/>
      <c r="DH163" s="972"/>
      <c r="DI163" s="972"/>
      <c r="DJ163" s="972"/>
      <c r="DK163" s="972"/>
      <c r="DL163" s="972"/>
      <c r="DM163" s="972"/>
      <c r="DN163" s="972"/>
      <c r="DO163" s="972"/>
      <c r="DP163" s="972"/>
      <c r="DQ163" s="972"/>
      <c r="DR163" s="972"/>
      <c r="DS163" s="972"/>
      <c r="DT163" s="972"/>
      <c r="DU163" s="972"/>
      <c r="DV163" s="972"/>
    </row>
    <row r="164" spans="1:130" ht="16.5" customHeight="1" x14ac:dyDescent="0.25">
      <c r="A164" s="1808" t="s">
        <v>764</v>
      </c>
      <c r="B164" s="1809" t="s">
        <v>764</v>
      </c>
      <c r="C164" s="693">
        <f t="shared" si="118"/>
        <v>0</v>
      </c>
      <c r="D164" s="1336">
        <f t="shared" si="119"/>
        <v>0</v>
      </c>
      <c r="E164" s="1590">
        <f t="shared" si="120"/>
        <v>0</v>
      </c>
      <c r="F164" s="682"/>
      <c r="G164" s="705"/>
      <c r="H164" s="705"/>
      <c r="I164" s="705"/>
      <c r="J164" s="705"/>
      <c r="K164" s="705"/>
      <c r="L164" s="705"/>
      <c r="M164" s="705"/>
      <c r="N164" s="705"/>
      <c r="O164" s="705"/>
      <c r="P164" s="705"/>
      <c r="Q164" s="705"/>
      <c r="R164" s="705"/>
      <c r="S164" s="705"/>
      <c r="T164" s="705"/>
      <c r="U164" s="705"/>
      <c r="V164" s="705"/>
      <c r="W164" s="705"/>
      <c r="X164" s="705"/>
      <c r="Y164" s="705"/>
      <c r="Z164" s="705"/>
      <c r="AA164" s="705"/>
      <c r="AB164" s="705"/>
      <c r="AC164" s="705"/>
      <c r="AD164" s="705"/>
      <c r="AE164" s="705"/>
      <c r="AF164" s="705"/>
      <c r="AG164" s="705"/>
      <c r="AH164" s="705"/>
      <c r="AI164" s="705"/>
      <c r="AJ164" s="705"/>
      <c r="AK164" s="705"/>
      <c r="AL164" s="705"/>
      <c r="AM164" s="705"/>
      <c r="AN164" s="705"/>
      <c r="AO164" s="705"/>
      <c r="AP164" s="705"/>
      <c r="AQ164" s="681"/>
      <c r="AR164" s="683"/>
      <c r="AS164" s="681"/>
      <c r="AT164" s="679"/>
      <c r="AU164" s="680"/>
      <c r="AV164" s="1687" t="str">
        <f t="shared" si="109"/>
        <v/>
      </c>
      <c r="AW164" s="183"/>
      <c r="AX164" s="183"/>
      <c r="AY164" s="183"/>
      <c r="AZ164" s="183"/>
      <c r="BR164" s="1050"/>
      <c r="BS164" s="1050"/>
      <c r="BT164" s="1050"/>
      <c r="BU164" s="1050"/>
      <c r="CB164" s="381" t="str">
        <f t="shared" si="110"/>
        <v/>
      </c>
      <c r="CC164" s="381" t="str">
        <f t="shared" si="111"/>
        <v/>
      </c>
      <c r="CD164" s="381" t="str">
        <f t="shared" si="112"/>
        <v/>
      </c>
      <c r="CE164" s="381" t="str">
        <f t="shared" si="113"/>
        <v/>
      </c>
      <c r="DA164" s="385">
        <f t="shared" si="114"/>
        <v>0</v>
      </c>
      <c r="DB164" s="385">
        <f t="shared" si="115"/>
        <v>0</v>
      </c>
      <c r="DC164" s="385">
        <f t="shared" si="116"/>
        <v>0</v>
      </c>
      <c r="DD164" s="385">
        <f t="shared" si="117"/>
        <v>0</v>
      </c>
      <c r="DE164" s="385"/>
      <c r="DF164" s="385"/>
      <c r="DG164" s="385"/>
      <c r="DH164" s="385"/>
      <c r="DI164" s="385"/>
      <c r="DJ164" s="385"/>
      <c r="DW164" s="180"/>
      <c r="DX164" s="180"/>
      <c r="DY164" s="180"/>
      <c r="DZ164" s="180"/>
    </row>
    <row r="165" spans="1:130" ht="16.5" customHeight="1" x14ac:dyDescent="0.25">
      <c r="A165" s="1808" t="s">
        <v>765</v>
      </c>
      <c r="B165" s="1809" t="s">
        <v>765</v>
      </c>
      <c r="C165" s="693">
        <f t="shared" si="118"/>
        <v>0</v>
      </c>
      <c r="D165" s="1336">
        <f t="shared" si="119"/>
        <v>0</v>
      </c>
      <c r="E165" s="1590">
        <f t="shared" si="120"/>
        <v>0</v>
      </c>
      <c r="F165" s="682"/>
      <c r="G165" s="705"/>
      <c r="H165" s="705"/>
      <c r="I165" s="705"/>
      <c r="J165" s="705"/>
      <c r="K165" s="705"/>
      <c r="L165" s="705"/>
      <c r="M165" s="705"/>
      <c r="N165" s="705"/>
      <c r="O165" s="705"/>
      <c r="P165" s="705"/>
      <c r="Q165" s="705"/>
      <c r="R165" s="705"/>
      <c r="S165" s="705"/>
      <c r="T165" s="705"/>
      <c r="U165" s="705"/>
      <c r="V165" s="705"/>
      <c r="W165" s="705"/>
      <c r="X165" s="705"/>
      <c r="Y165" s="705"/>
      <c r="Z165" s="705"/>
      <c r="AA165" s="705"/>
      <c r="AB165" s="705"/>
      <c r="AC165" s="705"/>
      <c r="AD165" s="705"/>
      <c r="AE165" s="705"/>
      <c r="AF165" s="705"/>
      <c r="AG165" s="705"/>
      <c r="AH165" s="705"/>
      <c r="AI165" s="705"/>
      <c r="AJ165" s="705"/>
      <c r="AK165" s="705"/>
      <c r="AL165" s="705"/>
      <c r="AM165" s="705"/>
      <c r="AN165" s="705"/>
      <c r="AO165" s="705"/>
      <c r="AP165" s="705"/>
      <c r="AQ165" s="681"/>
      <c r="AR165" s="683"/>
      <c r="AS165" s="681"/>
      <c r="AT165" s="679"/>
      <c r="AU165" s="680"/>
      <c r="AV165" s="1687" t="str">
        <f t="shared" si="109"/>
        <v/>
      </c>
      <c r="AW165" s="183"/>
      <c r="AX165" s="183"/>
      <c r="AY165" s="183"/>
      <c r="AZ165" s="183"/>
      <c r="BR165" s="1050"/>
      <c r="BS165" s="1050"/>
      <c r="BT165" s="1050"/>
      <c r="BU165" s="1050"/>
      <c r="CB165" s="381" t="str">
        <f t="shared" si="110"/>
        <v/>
      </c>
      <c r="CC165" s="381" t="str">
        <f t="shared" si="111"/>
        <v/>
      </c>
      <c r="CD165" s="381" t="str">
        <f t="shared" si="112"/>
        <v/>
      </c>
      <c r="CE165" s="381" t="str">
        <f t="shared" si="113"/>
        <v/>
      </c>
      <c r="DA165" s="385">
        <f t="shared" si="114"/>
        <v>0</v>
      </c>
      <c r="DB165" s="385">
        <f t="shared" si="115"/>
        <v>0</v>
      </c>
      <c r="DC165" s="385">
        <f t="shared" si="116"/>
        <v>0</v>
      </c>
      <c r="DD165" s="385">
        <f t="shared" si="117"/>
        <v>0</v>
      </c>
      <c r="DE165" s="385"/>
      <c r="DF165" s="385"/>
      <c r="DG165" s="385"/>
      <c r="DH165" s="385"/>
      <c r="DI165" s="385"/>
      <c r="DJ165" s="385"/>
      <c r="DW165" s="180"/>
      <c r="DX165" s="180"/>
      <c r="DY165" s="180"/>
      <c r="DZ165" s="180"/>
    </row>
    <row r="166" spans="1:130" ht="16.5" customHeight="1" x14ac:dyDescent="0.25">
      <c r="A166" s="1808" t="s">
        <v>766</v>
      </c>
      <c r="B166" s="1809" t="s">
        <v>766</v>
      </c>
      <c r="C166" s="693">
        <f t="shared" si="118"/>
        <v>0</v>
      </c>
      <c r="D166" s="1336">
        <f t="shared" si="119"/>
        <v>0</v>
      </c>
      <c r="E166" s="1590">
        <f t="shared" si="120"/>
        <v>0</v>
      </c>
      <c r="F166" s="682"/>
      <c r="G166" s="705"/>
      <c r="H166" s="705"/>
      <c r="I166" s="705"/>
      <c r="J166" s="705"/>
      <c r="K166" s="705"/>
      <c r="L166" s="705"/>
      <c r="M166" s="705"/>
      <c r="N166" s="705"/>
      <c r="O166" s="705"/>
      <c r="P166" s="705"/>
      <c r="Q166" s="705"/>
      <c r="R166" s="705"/>
      <c r="S166" s="705"/>
      <c r="T166" s="705"/>
      <c r="U166" s="705"/>
      <c r="V166" s="705"/>
      <c r="W166" s="705"/>
      <c r="X166" s="705"/>
      <c r="Y166" s="705"/>
      <c r="Z166" s="705"/>
      <c r="AA166" s="705"/>
      <c r="AB166" s="705"/>
      <c r="AC166" s="705"/>
      <c r="AD166" s="705"/>
      <c r="AE166" s="705"/>
      <c r="AF166" s="705"/>
      <c r="AG166" s="705"/>
      <c r="AH166" s="705"/>
      <c r="AI166" s="705"/>
      <c r="AJ166" s="705"/>
      <c r="AK166" s="705"/>
      <c r="AL166" s="705"/>
      <c r="AM166" s="705"/>
      <c r="AN166" s="705"/>
      <c r="AO166" s="705"/>
      <c r="AP166" s="705"/>
      <c r="AQ166" s="681"/>
      <c r="AR166" s="683"/>
      <c r="AS166" s="681"/>
      <c r="AT166" s="679"/>
      <c r="AU166" s="680"/>
      <c r="AV166" s="1687" t="str">
        <f t="shared" si="109"/>
        <v/>
      </c>
      <c r="AW166" s="183"/>
      <c r="AX166" s="183"/>
      <c r="AY166" s="183"/>
      <c r="AZ166" s="183"/>
      <c r="BR166" s="1050"/>
      <c r="BS166" s="1050"/>
      <c r="BT166" s="1050"/>
      <c r="BU166" s="1050"/>
      <c r="CB166" s="381" t="str">
        <f t="shared" si="110"/>
        <v/>
      </c>
      <c r="CC166" s="381" t="str">
        <f t="shared" si="111"/>
        <v/>
      </c>
      <c r="CD166" s="381" t="str">
        <f t="shared" si="112"/>
        <v/>
      </c>
      <c r="CE166" s="381" t="str">
        <f t="shared" si="113"/>
        <v/>
      </c>
      <c r="DA166" s="385">
        <f t="shared" si="114"/>
        <v>0</v>
      </c>
      <c r="DB166" s="385">
        <f t="shared" si="115"/>
        <v>0</v>
      </c>
      <c r="DC166" s="385">
        <f t="shared" si="116"/>
        <v>0</v>
      </c>
      <c r="DD166" s="385">
        <f t="shared" si="117"/>
        <v>0</v>
      </c>
      <c r="DE166" s="385"/>
      <c r="DF166" s="385"/>
      <c r="DG166" s="385"/>
      <c r="DH166" s="385"/>
      <c r="DI166" s="385"/>
      <c r="DJ166" s="385"/>
      <c r="DW166" s="180"/>
      <c r="DX166" s="180"/>
      <c r="DY166" s="180"/>
      <c r="DZ166" s="180"/>
    </row>
    <row r="167" spans="1:130" ht="16.5" customHeight="1" x14ac:dyDescent="0.25">
      <c r="A167" s="1808" t="s">
        <v>769</v>
      </c>
      <c r="B167" s="1809" t="s">
        <v>769</v>
      </c>
      <c r="C167" s="693">
        <f t="shared" ref="C167:C173" si="122">SUM(D167:E167)</f>
        <v>0</v>
      </c>
      <c r="D167" s="1336">
        <f t="shared" ref="D167:E173" si="123">+F167+H167+J167+L167+N167+P167+R167+T167+V167+X167+Z167+AB167+AD167+AF167+AH167+AN167+AP167+AJ167+AL167</f>
        <v>0</v>
      </c>
      <c r="E167" s="1590">
        <f t="shared" si="123"/>
        <v>0</v>
      </c>
      <c r="F167" s="682"/>
      <c r="G167" s="705"/>
      <c r="H167" s="705"/>
      <c r="I167" s="705"/>
      <c r="J167" s="705"/>
      <c r="K167" s="705"/>
      <c r="L167" s="705"/>
      <c r="M167" s="705"/>
      <c r="N167" s="705"/>
      <c r="O167" s="705"/>
      <c r="P167" s="705"/>
      <c r="Q167" s="705"/>
      <c r="R167" s="705"/>
      <c r="S167" s="705"/>
      <c r="T167" s="705"/>
      <c r="U167" s="705"/>
      <c r="V167" s="705"/>
      <c r="W167" s="705"/>
      <c r="X167" s="705"/>
      <c r="Y167" s="705"/>
      <c r="Z167" s="705"/>
      <c r="AA167" s="705"/>
      <c r="AB167" s="705"/>
      <c r="AC167" s="705"/>
      <c r="AD167" s="705"/>
      <c r="AE167" s="705"/>
      <c r="AF167" s="705"/>
      <c r="AG167" s="705"/>
      <c r="AH167" s="705"/>
      <c r="AI167" s="705"/>
      <c r="AJ167" s="705"/>
      <c r="AK167" s="705"/>
      <c r="AL167" s="705"/>
      <c r="AM167" s="705"/>
      <c r="AN167" s="705"/>
      <c r="AO167" s="705"/>
      <c r="AP167" s="705"/>
      <c r="AQ167" s="681"/>
      <c r="AR167" s="683"/>
      <c r="AS167" s="681"/>
      <c r="AT167" s="679"/>
      <c r="AU167" s="680"/>
      <c r="AV167" s="1687" t="str">
        <f t="shared" si="109"/>
        <v/>
      </c>
      <c r="AW167" s="183"/>
      <c r="AX167" s="183"/>
      <c r="AY167" s="183"/>
      <c r="AZ167" s="183"/>
      <c r="BR167" s="1050"/>
      <c r="BS167" s="1050"/>
      <c r="BT167" s="1050"/>
      <c r="BU167" s="1050"/>
      <c r="CB167" s="381" t="str">
        <f t="shared" si="110"/>
        <v/>
      </c>
      <c r="CC167" s="381" t="str">
        <f t="shared" si="111"/>
        <v/>
      </c>
      <c r="CD167" s="381" t="str">
        <f t="shared" si="112"/>
        <v/>
      </c>
      <c r="CE167" s="381" t="str">
        <f t="shared" si="113"/>
        <v/>
      </c>
      <c r="DA167" s="385">
        <f t="shared" si="114"/>
        <v>0</v>
      </c>
      <c r="DB167" s="385">
        <f t="shared" si="115"/>
        <v>0</v>
      </c>
      <c r="DC167" s="385">
        <f t="shared" si="116"/>
        <v>0</v>
      </c>
      <c r="DD167" s="385">
        <f t="shared" si="117"/>
        <v>0</v>
      </c>
      <c r="DE167" s="385"/>
      <c r="DF167" s="385"/>
      <c r="DG167" s="385"/>
      <c r="DH167" s="385"/>
      <c r="DI167" s="385"/>
      <c r="DJ167" s="385"/>
      <c r="DW167" s="180"/>
      <c r="DX167" s="180"/>
      <c r="DY167" s="180"/>
      <c r="DZ167" s="180"/>
    </row>
    <row r="168" spans="1:130" ht="16.5" customHeight="1" x14ac:dyDescent="0.25">
      <c r="A168" s="1808" t="s">
        <v>775</v>
      </c>
      <c r="B168" s="1809" t="s">
        <v>775</v>
      </c>
      <c r="C168" s="693">
        <f t="shared" si="122"/>
        <v>0</v>
      </c>
      <c r="D168" s="1336">
        <f t="shared" si="123"/>
        <v>0</v>
      </c>
      <c r="E168" s="1590">
        <f t="shared" si="123"/>
        <v>0</v>
      </c>
      <c r="F168" s="682"/>
      <c r="G168" s="705"/>
      <c r="H168" s="705"/>
      <c r="I168" s="705"/>
      <c r="J168" s="705"/>
      <c r="K168" s="705"/>
      <c r="L168" s="705"/>
      <c r="M168" s="705"/>
      <c r="N168" s="705"/>
      <c r="O168" s="705"/>
      <c r="P168" s="705"/>
      <c r="Q168" s="705"/>
      <c r="R168" s="705"/>
      <c r="S168" s="705"/>
      <c r="T168" s="705"/>
      <c r="U168" s="705"/>
      <c r="V168" s="705"/>
      <c r="W168" s="705"/>
      <c r="X168" s="705"/>
      <c r="Y168" s="705"/>
      <c r="Z168" s="705"/>
      <c r="AA168" s="705"/>
      <c r="AB168" s="705"/>
      <c r="AC168" s="705"/>
      <c r="AD168" s="705"/>
      <c r="AE168" s="705"/>
      <c r="AF168" s="705"/>
      <c r="AG168" s="705"/>
      <c r="AH168" s="705"/>
      <c r="AI168" s="705"/>
      <c r="AJ168" s="705"/>
      <c r="AK168" s="705"/>
      <c r="AL168" s="705"/>
      <c r="AM168" s="705"/>
      <c r="AN168" s="705"/>
      <c r="AO168" s="705"/>
      <c r="AP168" s="705"/>
      <c r="AQ168" s="681"/>
      <c r="AR168" s="683"/>
      <c r="AS168" s="681"/>
      <c r="AT168" s="679"/>
      <c r="AU168" s="680"/>
      <c r="AV168" s="1687" t="str">
        <f t="shared" si="109"/>
        <v/>
      </c>
      <c r="AW168" s="183"/>
      <c r="AX168" s="183"/>
      <c r="AY168" s="183"/>
      <c r="AZ168" s="183"/>
      <c r="BR168" s="1050"/>
      <c r="BS168" s="1050"/>
      <c r="BT168" s="1050"/>
      <c r="BU168" s="1050"/>
      <c r="CB168" s="381" t="str">
        <f t="shared" si="110"/>
        <v/>
      </c>
      <c r="CC168" s="381" t="str">
        <f t="shared" si="111"/>
        <v/>
      </c>
      <c r="CD168" s="381" t="str">
        <f t="shared" si="112"/>
        <v/>
      </c>
      <c r="CE168" s="381" t="str">
        <f t="shared" si="113"/>
        <v/>
      </c>
      <c r="DA168" s="385">
        <f t="shared" si="114"/>
        <v>0</v>
      </c>
      <c r="DB168" s="385">
        <f t="shared" si="115"/>
        <v>0</v>
      </c>
      <c r="DC168" s="385">
        <f t="shared" si="116"/>
        <v>0</v>
      </c>
      <c r="DD168" s="385">
        <f t="shared" si="117"/>
        <v>0</v>
      </c>
      <c r="DE168" s="385"/>
      <c r="DF168" s="385"/>
      <c r="DG168" s="385"/>
      <c r="DH168" s="385"/>
      <c r="DI168" s="385"/>
      <c r="DJ168" s="385"/>
      <c r="DW168" s="180"/>
      <c r="DX168" s="180"/>
      <c r="DY168" s="180"/>
      <c r="DZ168" s="180"/>
    </row>
    <row r="169" spans="1:130" ht="16.5" customHeight="1" x14ac:dyDescent="0.25">
      <c r="A169" s="1808" t="s">
        <v>773</v>
      </c>
      <c r="B169" s="1809" t="s">
        <v>773</v>
      </c>
      <c r="C169" s="693">
        <f t="shared" si="122"/>
        <v>0</v>
      </c>
      <c r="D169" s="1336">
        <f t="shared" si="123"/>
        <v>0</v>
      </c>
      <c r="E169" s="1590">
        <f t="shared" si="123"/>
        <v>0</v>
      </c>
      <c r="F169" s="682"/>
      <c r="G169" s="705"/>
      <c r="H169" s="705"/>
      <c r="I169" s="705"/>
      <c r="J169" s="705"/>
      <c r="K169" s="705"/>
      <c r="L169" s="705"/>
      <c r="M169" s="705"/>
      <c r="N169" s="705"/>
      <c r="O169" s="705"/>
      <c r="P169" s="705"/>
      <c r="Q169" s="705"/>
      <c r="R169" s="705"/>
      <c r="S169" s="705"/>
      <c r="T169" s="705"/>
      <c r="U169" s="705"/>
      <c r="V169" s="705"/>
      <c r="W169" s="705"/>
      <c r="X169" s="705"/>
      <c r="Y169" s="705"/>
      <c r="Z169" s="705"/>
      <c r="AA169" s="705"/>
      <c r="AB169" s="705"/>
      <c r="AC169" s="705"/>
      <c r="AD169" s="705"/>
      <c r="AE169" s="705"/>
      <c r="AF169" s="705"/>
      <c r="AG169" s="705"/>
      <c r="AH169" s="705"/>
      <c r="AI169" s="705"/>
      <c r="AJ169" s="705"/>
      <c r="AK169" s="705"/>
      <c r="AL169" s="705"/>
      <c r="AM169" s="705"/>
      <c r="AN169" s="705"/>
      <c r="AO169" s="705"/>
      <c r="AP169" s="705"/>
      <c r="AQ169" s="681"/>
      <c r="AR169" s="683"/>
      <c r="AS169" s="681"/>
      <c r="AT169" s="679"/>
      <c r="AU169" s="680"/>
      <c r="AV169" s="1687" t="str">
        <f t="shared" si="109"/>
        <v/>
      </c>
      <c r="AW169" s="183"/>
      <c r="AX169" s="183"/>
      <c r="AY169" s="183"/>
      <c r="AZ169" s="183"/>
      <c r="BR169" s="1050"/>
      <c r="BS169" s="1050"/>
      <c r="BT169" s="1050"/>
      <c r="BU169" s="1050"/>
      <c r="CB169" s="381" t="str">
        <f t="shared" si="110"/>
        <v/>
      </c>
      <c r="CC169" s="381" t="str">
        <f t="shared" si="111"/>
        <v/>
      </c>
      <c r="CD169" s="381" t="str">
        <f t="shared" si="112"/>
        <v/>
      </c>
      <c r="CE169" s="381" t="str">
        <f t="shared" si="113"/>
        <v/>
      </c>
      <c r="DA169" s="385">
        <f t="shared" si="114"/>
        <v>0</v>
      </c>
      <c r="DB169" s="385">
        <f t="shared" si="115"/>
        <v>0</v>
      </c>
      <c r="DC169" s="385">
        <f t="shared" si="116"/>
        <v>0</v>
      </c>
      <c r="DD169" s="385">
        <f t="shared" si="117"/>
        <v>0</v>
      </c>
      <c r="DE169" s="385"/>
      <c r="DF169" s="385"/>
      <c r="DG169" s="385"/>
      <c r="DH169" s="385"/>
      <c r="DI169" s="385"/>
      <c r="DJ169" s="385"/>
      <c r="DW169" s="180"/>
      <c r="DX169" s="180"/>
      <c r="DY169" s="180"/>
      <c r="DZ169" s="180"/>
    </row>
    <row r="170" spans="1:130" ht="16.5" customHeight="1" x14ac:dyDescent="0.25">
      <c r="A170" s="1808" t="s">
        <v>802</v>
      </c>
      <c r="B170" s="1809" t="s">
        <v>802</v>
      </c>
      <c r="C170" s="693">
        <f t="shared" si="122"/>
        <v>0</v>
      </c>
      <c r="D170" s="1336">
        <f t="shared" si="123"/>
        <v>0</v>
      </c>
      <c r="E170" s="1590">
        <f t="shared" si="123"/>
        <v>0</v>
      </c>
      <c r="F170" s="682"/>
      <c r="G170" s="705"/>
      <c r="H170" s="705"/>
      <c r="I170" s="705"/>
      <c r="J170" s="705"/>
      <c r="K170" s="705"/>
      <c r="L170" s="705"/>
      <c r="M170" s="705"/>
      <c r="N170" s="705"/>
      <c r="O170" s="705"/>
      <c r="P170" s="705"/>
      <c r="Q170" s="705"/>
      <c r="R170" s="705"/>
      <c r="S170" s="705"/>
      <c r="T170" s="705"/>
      <c r="U170" s="705"/>
      <c r="V170" s="705"/>
      <c r="W170" s="705"/>
      <c r="X170" s="705"/>
      <c r="Y170" s="705"/>
      <c r="Z170" s="705"/>
      <c r="AA170" s="705"/>
      <c r="AB170" s="705"/>
      <c r="AC170" s="705"/>
      <c r="AD170" s="705"/>
      <c r="AE170" s="705"/>
      <c r="AF170" s="705"/>
      <c r="AG170" s="705"/>
      <c r="AH170" s="705"/>
      <c r="AI170" s="705"/>
      <c r="AJ170" s="705"/>
      <c r="AK170" s="705"/>
      <c r="AL170" s="705"/>
      <c r="AM170" s="705"/>
      <c r="AN170" s="705"/>
      <c r="AO170" s="705"/>
      <c r="AP170" s="705"/>
      <c r="AQ170" s="681"/>
      <c r="AR170" s="683"/>
      <c r="AS170" s="681"/>
      <c r="AT170" s="679"/>
      <c r="AU170" s="680"/>
      <c r="AV170" s="1687" t="str">
        <f t="shared" si="109"/>
        <v/>
      </c>
      <c r="AW170" s="183"/>
      <c r="AX170" s="183"/>
      <c r="AY170" s="183"/>
      <c r="AZ170" s="183"/>
      <c r="BR170" s="1050"/>
      <c r="BS170" s="1050"/>
      <c r="BT170" s="1050"/>
      <c r="BU170" s="1050"/>
      <c r="CB170" s="381" t="str">
        <f t="shared" si="110"/>
        <v/>
      </c>
      <c r="CC170" s="381" t="str">
        <f t="shared" si="111"/>
        <v/>
      </c>
      <c r="CD170" s="381" t="str">
        <f t="shared" si="112"/>
        <v/>
      </c>
      <c r="CE170" s="381" t="str">
        <f t="shared" si="113"/>
        <v/>
      </c>
      <c r="DA170" s="385">
        <f t="shared" si="114"/>
        <v>0</v>
      </c>
      <c r="DB170" s="385">
        <f t="shared" si="115"/>
        <v>0</v>
      </c>
      <c r="DC170" s="385">
        <f t="shared" si="116"/>
        <v>0</v>
      </c>
      <c r="DD170" s="385">
        <f t="shared" si="117"/>
        <v>0</v>
      </c>
      <c r="DE170" s="385"/>
      <c r="DF170" s="385"/>
      <c r="DG170" s="385"/>
      <c r="DH170" s="385"/>
      <c r="DI170" s="385"/>
      <c r="DJ170" s="385"/>
      <c r="DW170" s="180"/>
      <c r="DX170" s="180"/>
      <c r="DY170" s="180"/>
      <c r="DZ170" s="180"/>
    </row>
    <row r="171" spans="1:130" x14ac:dyDescent="0.25">
      <c r="A171" s="1808" t="s">
        <v>800</v>
      </c>
      <c r="B171" s="1809"/>
      <c r="C171" s="697">
        <f t="shared" si="122"/>
        <v>0</v>
      </c>
      <c r="D171" s="1337">
        <f t="shared" si="123"/>
        <v>0</v>
      </c>
      <c r="E171" s="1589">
        <f t="shared" si="123"/>
        <v>0</v>
      </c>
      <c r="F171" s="667"/>
      <c r="G171" s="1130"/>
      <c r="H171" s="1130"/>
      <c r="I171" s="1130"/>
      <c r="J171" s="1130"/>
      <c r="K171" s="1130"/>
      <c r="L171" s="1130"/>
      <c r="M171" s="1130"/>
      <c r="N171" s="1130"/>
      <c r="O171" s="1130"/>
      <c r="P171" s="1130"/>
      <c r="Q171" s="1130"/>
      <c r="R171" s="1130"/>
      <c r="S171" s="1130"/>
      <c r="T171" s="1130"/>
      <c r="U171" s="1130"/>
      <c r="V171" s="1130"/>
      <c r="W171" s="1130"/>
      <c r="X171" s="1130"/>
      <c r="Y171" s="1130"/>
      <c r="Z171" s="1130"/>
      <c r="AA171" s="1130"/>
      <c r="AB171" s="1130"/>
      <c r="AC171" s="1130"/>
      <c r="AD171" s="1130"/>
      <c r="AE171" s="1130"/>
      <c r="AF171" s="1130"/>
      <c r="AG171" s="1130"/>
      <c r="AH171" s="1130"/>
      <c r="AI171" s="1130"/>
      <c r="AJ171" s="1130"/>
      <c r="AK171" s="1130"/>
      <c r="AL171" s="1130"/>
      <c r="AM171" s="1130"/>
      <c r="AN171" s="1130"/>
      <c r="AO171" s="1130"/>
      <c r="AP171" s="1130"/>
      <c r="AQ171" s="668"/>
      <c r="AR171" s="671"/>
      <c r="AS171" s="668"/>
      <c r="AT171" s="666"/>
      <c r="AU171" s="669"/>
      <c r="AV171" s="1687" t="str">
        <f t="shared" si="109"/>
        <v/>
      </c>
      <c r="CB171" s="381" t="str">
        <f t="shared" si="110"/>
        <v/>
      </c>
      <c r="CC171" s="381" t="str">
        <f t="shared" si="111"/>
        <v/>
      </c>
      <c r="CD171" s="381" t="str">
        <f t="shared" si="112"/>
        <v/>
      </c>
      <c r="CE171" s="381" t="str">
        <f t="shared" si="113"/>
        <v/>
      </c>
      <c r="DA171" s="385">
        <f t="shared" si="114"/>
        <v>0</v>
      </c>
      <c r="DB171" s="385">
        <f t="shared" si="115"/>
        <v>0</v>
      </c>
      <c r="DC171" s="385">
        <f t="shared" si="116"/>
        <v>0</v>
      </c>
      <c r="DD171" s="385">
        <f t="shared" si="117"/>
        <v>0</v>
      </c>
    </row>
    <row r="172" spans="1:130" ht="16.5" customHeight="1" x14ac:dyDescent="0.25">
      <c r="A172" s="1808" t="s">
        <v>776</v>
      </c>
      <c r="B172" s="1809" t="s">
        <v>776</v>
      </c>
      <c r="C172" s="693">
        <f t="shared" si="122"/>
        <v>0</v>
      </c>
      <c r="D172" s="1336">
        <f t="shared" si="123"/>
        <v>0</v>
      </c>
      <c r="E172" s="1590">
        <f t="shared" si="123"/>
        <v>0</v>
      </c>
      <c r="F172" s="682"/>
      <c r="G172" s="705"/>
      <c r="H172" s="705"/>
      <c r="I172" s="705"/>
      <c r="J172" s="705"/>
      <c r="K172" s="705"/>
      <c r="L172" s="705"/>
      <c r="M172" s="705"/>
      <c r="N172" s="705"/>
      <c r="O172" s="705"/>
      <c r="P172" s="705"/>
      <c r="Q172" s="705"/>
      <c r="R172" s="705"/>
      <c r="S172" s="705"/>
      <c r="T172" s="705"/>
      <c r="U172" s="705"/>
      <c r="V172" s="705"/>
      <c r="W172" s="705"/>
      <c r="X172" s="705"/>
      <c r="Y172" s="705"/>
      <c r="Z172" s="705"/>
      <c r="AA172" s="705"/>
      <c r="AB172" s="705"/>
      <c r="AC172" s="705"/>
      <c r="AD172" s="705"/>
      <c r="AE172" s="705"/>
      <c r="AF172" s="705"/>
      <c r="AG172" s="705"/>
      <c r="AH172" s="705"/>
      <c r="AI172" s="705"/>
      <c r="AJ172" s="705"/>
      <c r="AK172" s="705"/>
      <c r="AL172" s="705"/>
      <c r="AM172" s="705"/>
      <c r="AN172" s="705"/>
      <c r="AO172" s="705"/>
      <c r="AP172" s="705"/>
      <c r="AQ172" s="681"/>
      <c r="AR172" s="683"/>
      <c r="AS172" s="681"/>
      <c r="AT172" s="679"/>
      <c r="AU172" s="680"/>
      <c r="AV172" s="1687" t="str">
        <f t="shared" si="109"/>
        <v/>
      </c>
      <c r="AW172" s="183"/>
      <c r="AX172" s="183"/>
      <c r="AY172" s="183"/>
      <c r="AZ172" s="183"/>
      <c r="BR172" s="1050"/>
      <c r="BS172" s="1050"/>
      <c r="BT172" s="1050"/>
      <c r="BU172" s="1050"/>
      <c r="CB172" s="381" t="str">
        <f t="shared" si="110"/>
        <v/>
      </c>
      <c r="CC172" s="381" t="str">
        <f t="shared" si="111"/>
        <v/>
      </c>
      <c r="CD172" s="381" t="str">
        <f t="shared" si="112"/>
        <v/>
      </c>
      <c r="CE172" s="381" t="str">
        <f t="shared" si="113"/>
        <v/>
      </c>
      <c r="DA172" s="385">
        <f t="shared" si="114"/>
        <v>0</v>
      </c>
      <c r="DB172" s="385">
        <f t="shared" si="115"/>
        <v>0</v>
      </c>
      <c r="DC172" s="385">
        <f t="shared" si="116"/>
        <v>0</v>
      </c>
      <c r="DD172" s="385">
        <f t="shared" si="117"/>
        <v>0</v>
      </c>
      <c r="DE172" s="385"/>
      <c r="DF172" s="385"/>
      <c r="DG172" s="385"/>
      <c r="DH172" s="385"/>
      <c r="DI172" s="385"/>
      <c r="DJ172" s="385"/>
      <c r="DW172" s="180"/>
      <c r="DX172" s="180"/>
      <c r="DY172" s="180"/>
      <c r="DZ172" s="180"/>
    </row>
    <row r="173" spans="1:130" ht="16.5" customHeight="1" x14ac:dyDescent="0.25">
      <c r="A173" s="1808" t="s">
        <v>777</v>
      </c>
      <c r="B173" s="1809" t="s">
        <v>777</v>
      </c>
      <c r="C173" s="693">
        <f t="shared" si="122"/>
        <v>0</v>
      </c>
      <c r="D173" s="1336">
        <f t="shared" si="123"/>
        <v>0</v>
      </c>
      <c r="E173" s="1590">
        <f t="shared" si="123"/>
        <v>0</v>
      </c>
      <c r="F173" s="682"/>
      <c r="G173" s="705"/>
      <c r="H173" s="705"/>
      <c r="I173" s="705"/>
      <c r="J173" s="705"/>
      <c r="K173" s="705"/>
      <c r="L173" s="705"/>
      <c r="M173" s="705"/>
      <c r="N173" s="705"/>
      <c r="O173" s="705"/>
      <c r="P173" s="705"/>
      <c r="Q173" s="705"/>
      <c r="R173" s="705"/>
      <c r="S173" s="705"/>
      <c r="T173" s="705"/>
      <c r="U173" s="705"/>
      <c r="V173" s="705"/>
      <c r="W173" s="705"/>
      <c r="X173" s="705"/>
      <c r="Y173" s="705"/>
      <c r="Z173" s="705"/>
      <c r="AA173" s="705"/>
      <c r="AB173" s="705"/>
      <c r="AC173" s="705"/>
      <c r="AD173" s="705"/>
      <c r="AE173" s="705"/>
      <c r="AF173" s="705"/>
      <c r="AG173" s="705"/>
      <c r="AH173" s="705"/>
      <c r="AI173" s="705"/>
      <c r="AJ173" s="705"/>
      <c r="AK173" s="705"/>
      <c r="AL173" s="705"/>
      <c r="AM173" s="705"/>
      <c r="AN173" s="705"/>
      <c r="AO173" s="705"/>
      <c r="AP173" s="705"/>
      <c r="AQ173" s="681"/>
      <c r="AR173" s="683"/>
      <c r="AS173" s="681"/>
      <c r="AT173" s="679"/>
      <c r="AU173" s="680"/>
      <c r="AV173" s="1687" t="str">
        <f t="shared" si="109"/>
        <v/>
      </c>
      <c r="AW173" s="183"/>
      <c r="AX173" s="183"/>
      <c r="AY173" s="183"/>
      <c r="AZ173" s="183"/>
      <c r="BR173" s="1050"/>
      <c r="BS173" s="1050"/>
      <c r="BT173" s="1050"/>
      <c r="BU173" s="1050"/>
      <c r="CB173" s="381" t="str">
        <f t="shared" si="110"/>
        <v/>
      </c>
      <c r="CC173" s="381" t="str">
        <f t="shared" si="111"/>
        <v/>
      </c>
      <c r="CD173" s="381" t="str">
        <f t="shared" si="112"/>
        <v/>
      </c>
      <c r="CE173" s="381" t="str">
        <f t="shared" si="113"/>
        <v/>
      </c>
      <c r="DA173" s="385">
        <f t="shared" si="114"/>
        <v>0</v>
      </c>
      <c r="DB173" s="385">
        <f t="shared" si="115"/>
        <v>0</v>
      </c>
      <c r="DC173" s="385">
        <f t="shared" si="116"/>
        <v>0</v>
      </c>
      <c r="DD173" s="385">
        <f t="shared" si="117"/>
        <v>0</v>
      </c>
      <c r="DE173" s="385"/>
      <c r="DF173" s="385"/>
      <c r="DG173" s="385"/>
      <c r="DH173" s="385"/>
      <c r="DI173" s="385"/>
      <c r="DJ173" s="385"/>
      <c r="DW173" s="180"/>
      <c r="DX173" s="180"/>
      <c r="DY173" s="180"/>
      <c r="DZ173" s="180"/>
    </row>
    <row r="174" spans="1:130" ht="20.25" customHeight="1" x14ac:dyDescent="0.25">
      <c r="A174" s="1808" t="s">
        <v>768</v>
      </c>
      <c r="B174" s="1809"/>
      <c r="C174" s="693">
        <f t="shared" si="118"/>
        <v>0</v>
      </c>
      <c r="D174" s="1336">
        <f t="shared" si="119"/>
        <v>0</v>
      </c>
      <c r="E174" s="1590">
        <f t="shared" si="120"/>
        <v>0</v>
      </c>
      <c r="F174" s="682"/>
      <c r="G174" s="705"/>
      <c r="H174" s="705"/>
      <c r="I174" s="705"/>
      <c r="J174" s="705"/>
      <c r="K174" s="705"/>
      <c r="L174" s="705"/>
      <c r="M174" s="705"/>
      <c r="N174" s="705"/>
      <c r="O174" s="705"/>
      <c r="P174" s="705"/>
      <c r="Q174" s="705"/>
      <c r="R174" s="705"/>
      <c r="S174" s="705"/>
      <c r="T174" s="705"/>
      <c r="U174" s="705"/>
      <c r="V174" s="705"/>
      <c r="W174" s="705"/>
      <c r="X174" s="705"/>
      <c r="Y174" s="705"/>
      <c r="Z174" s="705"/>
      <c r="AA174" s="705"/>
      <c r="AB174" s="705"/>
      <c r="AC174" s="705"/>
      <c r="AD174" s="705"/>
      <c r="AE174" s="705"/>
      <c r="AF174" s="705"/>
      <c r="AG174" s="705"/>
      <c r="AH174" s="705"/>
      <c r="AI174" s="705"/>
      <c r="AJ174" s="705"/>
      <c r="AK174" s="705"/>
      <c r="AL174" s="705"/>
      <c r="AM174" s="705"/>
      <c r="AN174" s="705"/>
      <c r="AO174" s="705"/>
      <c r="AP174" s="705"/>
      <c r="AQ174" s="681"/>
      <c r="AR174" s="683"/>
      <c r="AS174" s="681"/>
      <c r="AT174" s="679"/>
      <c r="AU174" s="680"/>
      <c r="AV174" s="1687" t="str">
        <f t="shared" si="109"/>
        <v/>
      </c>
      <c r="AW174" s="183"/>
      <c r="AX174" s="183"/>
      <c r="AY174" s="183"/>
      <c r="AZ174" s="183"/>
      <c r="BR174" s="1050"/>
      <c r="BS174" s="1050"/>
      <c r="BT174" s="1050"/>
      <c r="BU174" s="1050"/>
      <c r="CB174" s="381" t="str">
        <f t="shared" si="110"/>
        <v/>
      </c>
      <c r="CC174" s="381" t="str">
        <f t="shared" si="111"/>
        <v/>
      </c>
      <c r="CD174" s="381" t="str">
        <f t="shared" si="112"/>
        <v/>
      </c>
      <c r="CE174" s="381" t="str">
        <f t="shared" si="113"/>
        <v/>
      </c>
      <c r="DA174" s="385">
        <f t="shared" si="114"/>
        <v>0</v>
      </c>
      <c r="DB174" s="385">
        <f t="shared" si="115"/>
        <v>0</v>
      </c>
      <c r="DC174" s="385">
        <f t="shared" si="116"/>
        <v>0</v>
      </c>
      <c r="DD174" s="385">
        <f t="shared" si="117"/>
        <v>0</v>
      </c>
      <c r="DE174" s="385"/>
      <c r="DF174" s="385"/>
      <c r="DG174" s="385"/>
      <c r="DH174" s="385"/>
      <c r="DI174" s="385"/>
      <c r="DJ174" s="385"/>
      <c r="DW174" s="180"/>
      <c r="DX174" s="180"/>
      <c r="DY174" s="180"/>
      <c r="DZ174" s="180"/>
    </row>
    <row r="175" spans="1:130" ht="16.5" customHeight="1" x14ac:dyDescent="0.25">
      <c r="A175" s="1808" t="s">
        <v>774</v>
      </c>
      <c r="B175" s="1809" t="s">
        <v>774</v>
      </c>
      <c r="C175" s="693">
        <f t="shared" si="118"/>
        <v>0</v>
      </c>
      <c r="D175" s="1336">
        <f t="shared" si="119"/>
        <v>0</v>
      </c>
      <c r="E175" s="1590">
        <f t="shared" si="120"/>
        <v>0</v>
      </c>
      <c r="F175" s="682"/>
      <c r="G175" s="705"/>
      <c r="H175" s="705"/>
      <c r="I175" s="705"/>
      <c r="J175" s="705"/>
      <c r="K175" s="705"/>
      <c r="L175" s="705"/>
      <c r="M175" s="705"/>
      <c r="N175" s="705"/>
      <c r="O175" s="705"/>
      <c r="P175" s="705"/>
      <c r="Q175" s="705"/>
      <c r="R175" s="705"/>
      <c r="S175" s="705"/>
      <c r="T175" s="705"/>
      <c r="U175" s="705"/>
      <c r="V175" s="705"/>
      <c r="W175" s="705"/>
      <c r="X175" s="705"/>
      <c r="Y175" s="705"/>
      <c r="Z175" s="705"/>
      <c r="AA175" s="705"/>
      <c r="AB175" s="705"/>
      <c r="AC175" s="705"/>
      <c r="AD175" s="705"/>
      <c r="AE175" s="705"/>
      <c r="AF175" s="705"/>
      <c r="AG175" s="705"/>
      <c r="AH175" s="705"/>
      <c r="AI175" s="705"/>
      <c r="AJ175" s="705"/>
      <c r="AK175" s="705"/>
      <c r="AL175" s="705"/>
      <c r="AM175" s="705"/>
      <c r="AN175" s="705"/>
      <c r="AO175" s="705"/>
      <c r="AP175" s="705"/>
      <c r="AQ175" s="681"/>
      <c r="AR175" s="683"/>
      <c r="AS175" s="681"/>
      <c r="AT175" s="679"/>
      <c r="AU175" s="680"/>
      <c r="AV175" s="1687" t="str">
        <f t="shared" si="109"/>
        <v/>
      </c>
      <c r="AW175" s="183"/>
      <c r="AX175" s="183"/>
      <c r="AY175" s="183"/>
      <c r="AZ175" s="183"/>
      <c r="BR175" s="1050"/>
      <c r="BS175" s="1050"/>
      <c r="BT175" s="1050"/>
      <c r="BU175" s="1050"/>
      <c r="CB175" s="381" t="str">
        <f t="shared" si="110"/>
        <v/>
      </c>
      <c r="CC175" s="381" t="str">
        <f t="shared" si="111"/>
        <v/>
      </c>
      <c r="CD175" s="381" t="str">
        <f t="shared" si="112"/>
        <v/>
      </c>
      <c r="CE175" s="381" t="str">
        <f t="shared" si="113"/>
        <v/>
      </c>
      <c r="DA175" s="385">
        <f t="shared" si="114"/>
        <v>0</v>
      </c>
      <c r="DB175" s="385">
        <f t="shared" si="115"/>
        <v>0</v>
      </c>
      <c r="DC175" s="385">
        <f t="shared" si="116"/>
        <v>0</v>
      </c>
      <c r="DD175" s="385">
        <f t="shared" si="117"/>
        <v>0</v>
      </c>
      <c r="DE175" s="385"/>
      <c r="DF175" s="385"/>
      <c r="DG175" s="385"/>
      <c r="DH175" s="385"/>
      <c r="DI175" s="385"/>
      <c r="DJ175" s="385"/>
      <c r="DW175" s="180"/>
      <c r="DX175" s="180"/>
      <c r="DY175" s="180"/>
      <c r="DZ175" s="180"/>
    </row>
    <row r="176" spans="1:130" ht="16.5" customHeight="1" x14ac:dyDescent="0.25">
      <c r="A176" s="1808" t="s">
        <v>780</v>
      </c>
      <c r="B176" s="1809" t="s">
        <v>780</v>
      </c>
      <c r="C176" s="693">
        <f t="shared" si="118"/>
        <v>0</v>
      </c>
      <c r="D176" s="1336">
        <f t="shared" si="119"/>
        <v>0</v>
      </c>
      <c r="E176" s="1590">
        <f t="shared" si="120"/>
        <v>0</v>
      </c>
      <c r="F176" s="682"/>
      <c r="G176" s="705"/>
      <c r="H176" s="705"/>
      <c r="I176" s="705"/>
      <c r="J176" s="705"/>
      <c r="K176" s="705"/>
      <c r="L176" s="705"/>
      <c r="M176" s="705"/>
      <c r="N176" s="705"/>
      <c r="O176" s="705"/>
      <c r="P176" s="705"/>
      <c r="Q176" s="705"/>
      <c r="R176" s="705"/>
      <c r="S176" s="705"/>
      <c r="T176" s="705"/>
      <c r="U176" s="705"/>
      <c r="V176" s="705"/>
      <c r="W176" s="705"/>
      <c r="X176" s="705"/>
      <c r="Y176" s="705"/>
      <c r="Z176" s="705"/>
      <c r="AA176" s="705"/>
      <c r="AB176" s="705"/>
      <c r="AC176" s="705"/>
      <c r="AD176" s="705"/>
      <c r="AE176" s="705"/>
      <c r="AF176" s="705"/>
      <c r="AG176" s="705"/>
      <c r="AH176" s="705"/>
      <c r="AI176" s="705"/>
      <c r="AJ176" s="705"/>
      <c r="AK176" s="705"/>
      <c r="AL176" s="705"/>
      <c r="AM176" s="705"/>
      <c r="AN176" s="705"/>
      <c r="AO176" s="705"/>
      <c r="AP176" s="705"/>
      <c r="AQ176" s="681"/>
      <c r="AR176" s="683"/>
      <c r="AS176" s="681"/>
      <c r="AT176" s="679"/>
      <c r="AU176" s="680"/>
      <c r="AV176" s="1687" t="str">
        <f t="shared" si="109"/>
        <v/>
      </c>
      <c r="AW176" s="183"/>
      <c r="AX176" s="183"/>
      <c r="AY176" s="183"/>
      <c r="AZ176" s="183"/>
      <c r="BR176" s="1050"/>
      <c r="BS176" s="1050"/>
      <c r="BT176" s="1050"/>
      <c r="BU176" s="1050"/>
      <c r="CB176" s="381" t="str">
        <f t="shared" si="110"/>
        <v/>
      </c>
      <c r="CC176" s="381" t="str">
        <f t="shared" si="111"/>
        <v/>
      </c>
      <c r="CD176" s="381" t="str">
        <f t="shared" si="112"/>
        <v/>
      </c>
      <c r="CE176" s="381" t="str">
        <f t="shared" si="113"/>
        <v/>
      </c>
      <c r="DA176" s="385">
        <f t="shared" si="114"/>
        <v>0</v>
      </c>
      <c r="DB176" s="385">
        <f t="shared" si="115"/>
        <v>0</v>
      </c>
      <c r="DC176" s="385">
        <f t="shared" si="116"/>
        <v>0</v>
      </c>
      <c r="DD176" s="385">
        <f t="shared" si="117"/>
        <v>0</v>
      </c>
      <c r="DE176" s="385"/>
      <c r="DF176" s="385"/>
      <c r="DG176" s="385"/>
      <c r="DH176" s="385"/>
      <c r="DI176" s="385"/>
      <c r="DJ176" s="385"/>
      <c r="DW176" s="180"/>
      <c r="DX176" s="180"/>
      <c r="DY176" s="180"/>
      <c r="DZ176" s="180"/>
    </row>
    <row r="177" spans="1:130" ht="16.5" customHeight="1" x14ac:dyDescent="0.25">
      <c r="A177" s="1808" t="s">
        <v>782</v>
      </c>
      <c r="B177" s="1809" t="s">
        <v>782</v>
      </c>
      <c r="C177" s="693">
        <f t="shared" si="118"/>
        <v>0</v>
      </c>
      <c r="D177" s="1336">
        <f t="shared" si="119"/>
        <v>0</v>
      </c>
      <c r="E177" s="1590">
        <f t="shared" si="120"/>
        <v>0</v>
      </c>
      <c r="F177" s="682"/>
      <c r="G177" s="705"/>
      <c r="H177" s="705"/>
      <c r="I177" s="705"/>
      <c r="J177" s="705"/>
      <c r="K177" s="705"/>
      <c r="L177" s="705"/>
      <c r="M177" s="705"/>
      <c r="N177" s="705"/>
      <c r="O177" s="705"/>
      <c r="P177" s="705"/>
      <c r="Q177" s="705"/>
      <c r="R177" s="705"/>
      <c r="S177" s="705"/>
      <c r="T177" s="705"/>
      <c r="U177" s="705"/>
      <c r="V177" s="705"/>
      <c r="W177" s="705"/>
      <c r="X177" s="705"/>
      <c r="Y177" s="705"/>
      <c r="Z177" s="705"/>
      <c r="AA177" s="705"/>
      <c r="AB177" s="705"/>
      <c r="AC177" s="705"/>
      <c r="AD177" s="705"/>
      <c r="AE177" s="705"/>
      <c r="AF177" s="705"/>
      <c r="AG177" s="705"/>
      <c r="AH177" s="705"/>
      <c r="AI177" s="705"/>
      <c r="AJ177" s="705"/>
      <c r="AK177" s="705"/>
      <c r="AL177" s="705"/>
      <c r="AM177" s="705"/>
      <c r="AN177" s="705"/>
      <c r="AO177" s="705"/>
      <c r="AP177" s="705"/>
      <c r="AQ177" s="681"/>
      <c r="AR177" s="683"/>
      <c r="AS177" s="681"/>
      <c r="AT177" s="679"/>
      <c r="AU177" s="680"/>
      <c r="AV177" s="1687" t="str">
        <f t="shared" si="109"/>
        <v/>
      </c>
      <c r="AW177" s="183"/>
      <c r="AX177" s="183"/>
      <c r="AY177" s="183"/>
      <c r="AZ177" s="183"/>
      <c r="BR177" s="1050"/>
      <c r="BS177" s="1050"/>
      <c r="BT177" s="1050"/>
      <c r="BU177" s="1050"/>
      <c r="CB177" s="381" t="str">
        <f t="shared" si="110"/>
        <v/>
      </c>
      <c r="CC177" s="381" t="str">
        <f t="shared" si="111"/>
        <v/>
      </c>
      <c r="CD177" s="381" t="str">
        <f t="shared" si="112"/>
        <v/>
      </c>
      <c r="CE177" s="381" t="str">
        <f t="shared" si="113"/>
        <v/>
      </c>
      <c r="DA177" s="385">
        <f t="shared" si="114"/>
        <v>0</v>
      </c>
      <c r="DB177" s="385">
        <f t="shared" si="115"/>
        <v>0</v>
      </c>
      <c r="DC177" s="385">
        <f t="shared" si="116"/>
        <v>0</v>
      </c>
      <c r="DD177" s="385">
        <f t="shared" si="117"/>
        <v>0</v>
      </c>
      <c r="DE177" s="385"/>
      <c r="DF177" s="385"/>
      <c r="DG177" s="385"/>
      <c r="DH177" s="385"/>
      <c r="DI177" s="385"/>
      <c r="DJ177" s="385"/>
      <c r="DW177" s="180"/>
      <c r="DX177" s="180"/>
      <c r="DY177" s="180"/>
      <c r="DZ177" s="180"/>
    </row>
    <row r="178" spans="1:130" ht="16.5" customHeight="1" x14ac:dyDescent="0.25">
      <c r="A178" s="1808" t="s">
        <v>783</v>
      </c>
      <c r="B178" s="1809" t="s">
        <v>783</v>
      </c>
      <c r="C178" s="693">
        <f t="shared" si="118"/>
        <v>0</v>
      </c>
      <c r="D178" s="1336">
        <f t="shared" si="119"/>
        <v>0</v>
      </c>
      <c r="E178" s="1590">
        <f t="shared" si="120"/>
        <v>0</v>
      </c>
      <c r="F178" s="682"/>
      <c r="G178" s="705"/>
      <c r="H178" s="705"/>
      <c r="I178" s="705"/>
      <c r="J178" s="705"/>
      <c r="K178" s="705"/>
      <c r="L178" s="705"/>
      <c r="M178" s="705"/>
      <c r="N178" s="705"/>
      <c r="O178" s="705"/>
      <c r="P178" s="705"/>
      <c r="Q178" s="705"/>
      <c r="R178" s="705"/>
      <c r="S178" s="705"/>
      <c r="T178" s="705"/>
      <c r="U178" s="705"/>
      <c r="V178" s="705"/>
      <c r="W178" s="705"/>
      <c r="X178" s="705"/>
      <c r="Y178" s="705"/>
      <c r="Z178" s="705"/>
      <c r="AA178" s="705"/>
      <c r="AB178" s="705"/>
      <c r="AC178" s="705"/>
      <c r="AD178" s="705"/>
      <c r="AE178" s="705"/>
      <c r="AF178" s="705"/>
      <c r="AG178" s="705"/>
      <c r="AH178" s="705"/>
      <c r="AI178" s="705"/>
      <c r="AJ178" s="705"/>
      <c r="AK178" s="705"/>
      <c r="AL178" s="705"/>
      <c r="AM178" s="705"/>
      <c r="AN178" s="705"/>
      <c r="AO178" s="705"/>
      <c r="AP178" s="705"/>
      <c r="AQ178" s="681"/>
      <c r="AR178" s="683"/>
      <c r="AS178" s="681"/>
      <c r="AT178" s="679"/>
      <c r="AU178" s="680"/>
      <c r="AV178" s="1687" t="str">
        <f t="shared" si="109"/>
        <v/>
      </c>
      <c r="AW178" s="183"/>
      <c r="AX178" s="183"/>
      <c r="AY178" s="183"/>
      <c r="AZ178" s="183"/>
      <c r="BR178" s="1050"/>
      <c r="BS178" s="1050"/>
      <c r="BT178" s="1050"/>
      <c r="BU178" s="1050"/>
      <c r="CB178" s="381" t="str">
        <f t="shared" si="110"/>
        <v/>
      </c>
      <c r="CC178" s="381" t="str">
        <f t="shared" si="111"/>
        <v/>
      </c>
      <c r="CD178" s="381" t="str">
        <f t="shared" si="112"/>
        <v/>
      </c>
      <c r="CE178" s="381" t="str">
        <f t="shared" si="113"/>
        <v/>
      </c>
      <c r="DA178" s="385">
        <f t="shared" si="114"/>
        <v>0</v>
      </c>
      <c r="DB178" s="385">
        <f t="shared" si="115"/>
        <v>0</v>
      </c>
      <c r="DC178" s="385">
        <f t="shared" si="116"/>
        <v>0</v>
      </c>
      <c r="DD178" s="385">
        <f t="shared" si="117"/>
        <v>0</v>
      </c>
      <c r="DE178" s="385"/>
      <c r="DF178" s="385"/>
      <c r="DG178" s="385"/>
      <c r="DH178" s="385"/>
      <c r="DI178" s="385"/>
      <c r="DJ178" s="385"/>
      <c r="DW178" s="180"/>
      <c r="DX178" s="180"/>
      <c r="DY178" s="180"/>
      <c r="DZ178" s="180"/>
    </row>
    <row r="179" spans="1:130" ht="16.5" customHeight="1" x14ac:dyDescent="0.25">
      <c r="A179" s="1808" t="s">
        <v>784</v>
      </c>
      <c r="B179" s="1809" t="s">
        <v>784</v>
      </c>
      <c r="C179" s="693">
        <f t="shared" si="118"/>
        <v>0</v>
      </c>
      <c r="D179" s="1336">
        <f t="shared" si="119"/>
        <v>0</v>
      </c>
      <c r="E179" s="1590">
        <f t="shared" si="120"/>
        <v>0</v>
      </c>
      <c r="F179" s="682"/>
      <c r="G179" s="705"/>
      <c r="H179" s="705"/>
      <c r="I179" s="705"/>
      <c r="J179" s="705"/>
      <c r="K179" s="705"/>
      <c r="L179" s="705"/>
      <c r="M179" s="705"/>
      <c r="N179" s="705"/>
      <c r="O179" s="705"/>
      <c r="P179" s="705"/>
      <c r="Q179" s="705"/>
      <c r="R179" s="705"/>
      <c r="S179" s="705"/>
      <c r="T179" s="705"/>
      <c r="U179" s="705"/>
      <c r="V179" s="705"/>
      <c r="W179" s="705"/>
      <c r="X179" s="705"/>
      <c r="Y179" s="705"/>
      <c r="Z179" s="705"/>
      <c r="AA179" s="705"/>
      <c r="AB179" s="705"/>
      <c r="AC179" s="705"/>
      <c r="AD179" s="705"/>
      <c r="AE179" s="705"/>
      <c r="AF179" s="705"/>
      <c r="AG179" s="705"/>
      <c r="AH179" s="705"/>
      <c r="AI179" s="705"/>
      <c r="AJ179" s="705"/>
      <c r="AK179" s="705"/>
      <c r="AL179" s="705"/>
      <c r="AM179" s="705"/>
      <c r="AN179" s="705"/>
      <c r="AO179" s="705"/>
      <c r="AP179" s="705"/>
      <c r="AQ179" s="681"/>
      <c r="AR179" s="683"/>
      <c r="AS179" s="681"/>
      <c r="AT179" s="679"/>
      <c r="AU179" s="680"/>
      <c r="AV179" s="1687" t="str">
        <f t="shared" si="109"/>
        <v/>
      </c>
      <c r="AW179" s="183"/>
      <c r="AX179" s="183"/>
      <c r="AY179" s="183"/>
      <c r="AZ179" s="183"/>
      <c r="BR179" s="1050"/>
      <c r="BS179" s="1050"/>
      <c r="BT179" s="1050"/>
      <c r="BU179" s="1050"/>
      <c r="CB179" s="381" t="str">
        <f t="shared" si="110"/>
        <v/>
      </c>
      <c r="CC179" s="381" t="str">
        <f t="shared" si="111"/>
        <v/>
      </c>
      <c r="CD179" s="381" t="str">
        <f t="shared" si="112"/>
        <v/>
      </c>
      <c r="CE179" s="381" t="str">
        <f t="shared" si="113"/>
        <v/>
      </c>
      <c r="DA179" s="385">
        <f t="shared" si="114"/>
        <v>0</v>
      </c>
      <c r="DB179" s="385">
        <f t="shared" si="115"/>
        <v>0</v>
      </c>
      <c r="DC179" s="385">
        <f t="shared" si="116"/>
        <v>0</v>
      </c>
      <c r="DD179" s="385">
        <f t="shared" si="117"/>
        <v>0</v>
      </c>
      <c r="DE179" s="385"/>
      <c r="DF179" s="385"/>
      <c r="DG179" s="385"/>
      <c r="DH179" s="385"/>
      <c r="DI179" s="385"/>
      <c r="DJ179" s="385"/>
      <c r="DW179" s="180"/>
      <c r="DX179" s="180"/>
      <c r="DY179" s="180"/>
      <c r="DZ179" s="180"/>
    </row>
    <row r="180" spans="1:130" ht="25.5" customHeight="1" x14ac:dyDescent="0.25">
      <c r="A180" s="1808" t="s">
        <v>805</v>
      </c>
      <c r="B180" s="1809" t="s">
        <v>867</v>
      </c>
      <c r="C180" s="693">
        <f t="shared" ref="C180:C183" si="124">SUM(D180:E180)</f>
        <v>0</v>
      </c>
      <c r="D180" s="1336">
        <f t="shared" ref="D180:D183" si="125">+F180+H180+J180+L180+N180+P180+R180+T180+V180+X180+Z180+AB180+AD180+AF180+AH180+AN180+AP180+AJ180+AL180</f>
        <v>0</v>
      </c>
      <c r="E180" s="1590">
        <f t="shared" si="120"/>
        <v>0</v>
      </c>
      <c r="F180" s="682"/>
      <c r="G180" s="705"/>
      <c r="H180" s="705"/>
      <c r="I180" s="705"/>
      <c r="J180" s="705"/>
      <c r="K180" s="705"/>
      <c r="L180" s="705"/>
      <c r="M180" s="705"/>
      <c r="N180" s="705"/>
      <c r="O180" s="705"/>
      <c r="P180" s="705"/>
      <c r="Q180" s="705"/>
      <c r="R180" s="705"/>
      <c r="S180" s="705"/>
      <c r="T180" s="705"/>
      <c r="U180" s="705"/>
      <c r="V180" s="705"/>
      <c r="W180" s="705"/>
      <c r="X180" s="705"/>
      <c r="Y180" s="705"/>
      <c r="Z180" s="705"/>
      <c r="AA180" s="705"/>
      <c r="AB180" s="705"/>
      <c r="AC180" s="705"/>
      <c r="AD180" s="705"/>
      <c r="AE180" s="705"/>
      <c r="AF180" s="705"/>
      <c r="AG180" s="705"/>
      <c r="AH180" s="705"/>
      <c r="AI180" s="705"/>
      <c r="AJ180" s="705"/>
      <c r="AK180" s="705"/>
      <c r="AL180" s="705"/>
      <c r="AM180" s="705"/>
      <c r="AN180" s="705"/>
      <c r="AO180" s="705"/>
      <c r="AP180" s="705"/>
      <c r="AQ180" s="681"/>
      <c r="AR180" s="683"/>
      <c r="AS180" s="681"/>
      <c r="AT180" s="679"/>
      <c r="AU180" s="680"/>
      <c r="AV180" s="1687" t="str">
        <f t="shared" si="109"/>
        <v/>
      </c>
      <c r="AW180" s="183"/>
      <c r="AX180" s="183"/>
      <c r="AY180" s="183"/>
      <c r="AZ180" s="183"/>
      <c r="BR180" s="1050"/>
      <c r="BS180" s="1050"/>
      <c r="BT180" s="1050"/>
      <c r="BU180" s="1050"/>
      <c r="CB180" s="381" t="str">
        <f t="shared" si="110"/>
        <v/>
      </c>
      <c r="CC180" s="381" t="str">
        <f t="shared" si="111"/>
        <v/>
      </c>
      <c r="CD180" s="381" t="str">
        <f t="shared" si="112"/>
        <v/>
      </c>
      <c r="CE180" s="381" t="str">
        <f t="shared" si="113"/>
        <v/>
      </c>
      <c r="DA180" s="385">
        <f t="shared" si="114"/>
        <v>0</v>
      </c>
      <c r="DB180" s="385">
        <f t="shared" si="115"/>
        <v>0</v>
      </c>
      <c r="DC180" s="385">
        <f t="shared" si="116"/>
        <v>0</v>
      </c>
      <c r="DD180" s="385">
        <f t="shared" si="117"/>
        <v>0</v>
      </c>
      <c r="DE180" s="385"/>
      <c r="DF180" s="385"/>
      <c r="DG180" s="385"/>
      <c r="DH180" s="385"/>
      <c r="DI180" s="385"/>
      <c r="DJ180" s="385"/>
      <c r="DW180" s="180"/>
      <c r="DX180" s="180"/>
      <c r="DY180" s="180"/>
      <c r="DZ180" s="180"/>
    </row>
    <row r="181" spans="1:130" ht="16.5" customHeight="1" x14ac:dyDescent="0.25">
      <c r="A181" s="1808" t="s">
        <v>806</v>
      </c>
      <c r="B181" s="1809" t="s">
        <v>793</v>
      </c>
      <c r="C181" s="693">
        <f t="shared" si="124"/>
        <v>0</v>
      </c>
      <c r="D181" s="1336">
        <f t="shared" si="125"/>
        <v>0</v>
      </c>
      <c r="E181" s="1590">
        <f t="shared" si="120"/>
        <v>0</v>
      </c>
      <c r="F181" s="682"/>
      <c r="G181" s="705"/>
      <c r="H181" s="705"/>
      <c r="I181" s="705"/>
      <c r="J181" s="705"/>
      <c r="K181" s="705"/>
      <c r="L181" s="705"/>
      <c r="M181" s="705"/>
      <c r="N181" s="705"/>
      <c r="O181" s="705"/>
      <c r="P181" s="705"/>
      <c r="Q181" s="705"/>
      <c r="R181" s="705"/>
      <c r="S181" s="705"/>
      <c r="T181" s="705"/>
      <c r="U181" s="705"/>
      <c r="V181" s="705"/>
      <c r="W181" s="705"/>
      <c r="X181" s="705"/>
      <c r="Y181" s="705"/>
      <c r="Z181" s="705"/>
      <c r="AA181" s="705"/>
      <c r="AB181" s="705"/>
      <c r="AC181" s="705"/>
      <c r="AD181" s="705"/>
      <c r="AE181" s="705"/>
      <c r="AF181" s="705"/>
      <c r="AG181" s="705"/>
      <c r="AH181" s="705"/>
      <c r="AI181" s="705"/>
      <c r="AJ181" s="705"/>
      <c r="AK181" s="705"/>
      <c r="AL181" s="705"/>
      <c r="AM181" s="705"/>
      <c r="AN181" s="705"/>
      <c r="AO181" s="705"/>
      <c r="AP181" s="705"/>
      <c r="AQ181" s="681"/>
      <c r="AR181" s="683"/>
      <c r="AS181" s="681"/>
      <c r="AT181" s="679"/>
      <c r="AU181" s="680"/>
      <c r="AV181" s="1687" t="str">
        <f t="shared" si="109"/>
        <v/>
      </c>
      <c r="AW181" s="183"/>
      <c r="AX181" s="183"/>
      <c r="AY181" s="183"/>
      <c r="AZ181" s="183"/>
      <c r="BR181" s="1050"/>
      <c r="BS181" s="1050"/>
      <c r="BT181" s="1050"/>
      <c r="BU181" s="1050"/>
      <c r="CB181" s="381" t="str">
        <f t="shared" si="110"/>
        <v/>
      </c>
      <c r="CC181" s="381" t="str">
        <f t="shared" si="111"/>
        <v/>
      </c>
      <c r="CD181" s="381" t="str">
        <f t="shared" si="112"/>
        <v/>
      </c>
      <c r="CE181" s="381" t="str">
        <f t="shared" si="113"/>
        <v/>
      </c>
      <c r="DA181" s="385">
        <f t="shared" si="114"/>
        <v>0</v>
      </c>
      <c r="DB181" s="385">
        <f t="shared" si="115"/>
        <v>0</v>
      </c>
      <c r="DC181" s="385">
        <f t="shared" si="116"/>
        <v>0</v>
      </c>
      <c r="DD181" s="385">
        <f t="shared" si="117"/>
        <v>0</v>
      </c>
      <c r="DE181" s="385"/>
      <c r="DF181" s="385"/>
      <c r="DG181" s="385"/>
      <c r="DH181" s="385"/>
      <c r="DI181" s="385"/>
      <c r="DJ181" s="385"/>
      <c r="DW181" s="180"/>
      <c r="DX181" s="180"/>
      <c r="DY181" s="180"/>
      <c r="DZ181" s="180"/>
    </row>
    <row r="182" spans="1:130" ht="16.5" customHeight="1" x14ac:dyDescent="0.25">
      <c r="A182" s="1808" t="s">
        <v>795</v>
      </c>
      <c r="B182" s="1809" t="s">
        <v>795</v>
      </c>
      <c r="C182" s="693">
        <f t="shared" si="124"/>
        <v>0</v>
      </c>
      <c r="D182" s="1336">
        <f t="shared" si="125"/>
        <v>0</v>
      </c>
      <c r="E182" s="1590">
        <f t="shared" si="120"/>
        <v>0</v>
      </c>
      <c r="F182" s="682"/>
      <c r="G182" s="705"/>
      <c r="H182" s="705"/>
      <c r="I182" s="705"/>
      <c r="J182" s="705"/>
      <c r="K182" s="705"/>
      <c r="L182" s="705"/>
      <c r="M182" s="705"/>
      <c r="N182" s="705"/>
      <c r="O182" s="705"/>
      <c r="P182" s="705"/>
      <c r="Q182" s="705"/>
      <c r="R182" s="705"/>
      <c r="S182" s="705"/>
      <c r="T182" s="705"/>
      <c r="U182" s="705"/>
      <c r="V182" s="705"/>
      <c r="W182" s="705"/>
      <c r="X182" s="705"/>
      <c r="Y182" s="705"/>
      <c r="Z182" s="705"/>
      <c r="AA182" s="705"/>
      <c r="AB182" s="705"/>
      <c r="AC182" s="705"/>
      <c r="AD182" s="705"/>
      <c r="AE182" s="705"/>
      <c r="AF182" s="705"/>
      <c r="AG182" s="705"/>
      <c r="AH182" s="705"/>
      <c r="AI182" s="705"/>
      <c r="AJ182" s="705"/>
      <c r="AK182" s="705"/>
      <c r="AL182" s="705"/>
      <c r="AM182" s="705"/>
      <c r="AN182" s="705"/>
      <c r="AO182" s="705"/>
      <c r="AP182" s="705"/>
      <c r="AQ182" s="681"/>
      <c r="AR182" s="683"/>
      <c r="AS182" s="681"/>
      <c r="AT182" s="679"/>
      <c r="AU182" s="680"/>
      <c r="AV182" s="1687" t="str">
        <f t="shared" si="109"/>
        <v/>
      </c>
      <c r="AW182" s="183"/>
      <c r="AX182" s="183"/>
      <c r="AY182" s="183"/>
      <c r="AZ182" s="183"/>
      <c r="BR182" s="1050"/>
      <c r="BS182" s="1050"/>
      <c r="BT182" s="1050"/>
      <c r="BU182" s="1050"/>
      <c r="CB182" s="381" t="str">
        <f t="shared" si="110"/>
        <v/>
      </c>
      <c r="CC182" s="381" t="str">
        <f t="shared" si="111"/>
        <v/>
      </c>
      <c r="CD182" s="381" t="str">
        <f t="shared" si="112"/>
        <v/>
      </c>
      <c r="CE182" s="381" t="str">
        <f t="shared" si="113"/>
        <v/>
      </c>
      <c r="DA182" s="385">
        <f t="shared" si="114"/>
        <v>0</v>
      </c>
      <c r="DB182" s="385">
        <f t="shared" si="115"/>
        <v>0</v>
      </c>
      <c r="DC182" s="385">
        <f t="shared" si="116"/>
        <v>0</v>
      </c>
      <c r="DD182" s="385">
        <f t="shared" si="117"/>
        <v>0</v>
      </c>
      <c r="DE182" s="385"/>
      <c r="DF182" s="385"/>
      <c r="DG182" s="385"/>
      <c r="DH182" s="385"/>
      <c r="DI182" s="385"/>
      <c r="DJ182" s="385"/>
      <c r="DW182" s="180"/>
      <c r="DX182" s="180"/>
      <c r="DY182" s="180"/>
      <c r="DZ182" s="180"/>
    </row>
    <row r="183" spans="1:130" ht="16.5" customHeight="1" x14ac:dyDescent="0.25">
      <c r="A183" s="1808" t="s">
        <v>796</v>
      </c>
      <c r="B183" s="1809" t="s">
        <v>796</v>
      </c>
      <c r="C183" s="693">
        <f t="shared" si="124"/>
        <v>0</v>
      </c>
      <c r="D183" s="1336">
        <f t="shared" si="125"/>
        <v>0</v>
      </c>
      <c r="E183" s="1590">
        <f t="shared" si="120"/>
        <v>0</v>
      </c>
      <c r="F183" s="682"/>
      <c r="G183" s="705"/>
      <c r="H183" s="705"/>
      <c r="I183" s="705"/>
      <c r="J183" s="705"/>
      <c r="K183" s="705"/>
      <c r="L183" s="705"/>
      <c r="M183" s="705"/>
      <c r="N183" s="705"/>
      <c r="O183" s="705"/>
      <c r="P183" s="705"/>
      <c r="Q183" s="705"/>
      <c r="R183" s="705"/>
      <c r="S183" s="705"/>
      <c r="T183" s="705"/>
      <c r="U183" s="705"/>
      <c r="V183" s="705"/>
      <c r="W183" s="705"/>
      <c r="X183" s="705"/>
      <c r="Y183" s="705"/>
      <c r="Z183" s="705"/>
      <c r="AA183" s="705"/>
      <c r="AB183" s="705"/>
      <c r="AC183" s="705"/>
      <c r="AD183" s="705"/>
      <c r="AE183" s="705"/>
      <c r="AF183" s="705"/>
      <c r="AG183" s="705"/>
      <c r="AH183" s="705"/>
      <c r="AI183" s="705"/>
      <c r="AJ183" s="705"/>
      <c r="AK183" s="705"/>
      <c r="AL183" s="705"/>
      <c r="AM183" s="705"/>
      <c r="AN183" s="705"/>
      <c r="AO183" s="705"/>
      <c r="AP183" s="705"/>
      <c r="AQ183" s="681"/>
      <c r="AR183" s="683"/>
      <c r="AS183" s="681"/>
      <c r="AT183" s="679"/>
      <c r="AU183" s="680"/>
      <c r="AV183" s="1687" t="str">
        <f t="shared" si="109"/>
        <v/>
      </c>
      <c r="AW183" s="183"/>
      <c r="AX183" s="183"/>
      <c r="AY183" s="183"/>
      <c r="AZ183" s="183"/>
      <c r="BR183" s="1050"/>
      <c r="BS183" s="1050"/>
      <c r="BT183" s="1050"/>
      <c r="BU183" s="1050"/>
      <c r="CB183" s="381" t="str">
        <f t="shared" si="110"/>
        <v/>
      </c>
      <c r="CC183" s="381" t="str">
        <f t="shared" si="111"/>
        <v/>
      </c>
      <c r="CD183" s="381" t="str">
        <f t="shared" si="112"/>
        <v/>
      </c>
      <c r="CE183" s="381" t="str">
        <f t="shared" si="113"/>
        <v/>
      </c>
      <c r="DA183" s="385">
        <f t="shared" si="114"/>
        <v>0</v>
      </c>
      <c r="DB183" s="385">
        <f t="shared" si="115"/>
        <v>0</v>
      </c>
      <c r="DC183" s="385">
        <f t="shared" si="116"/>
        <v>0</v>
      </c>
      <c r="DD183" s="385">
        <f t="shared" si="117"/>
        <v>0</v>
      </c>
      <c r="DE183" s="385"/>
      <c r="DF183" s="385"/>
      <c r="DG183" s="385"/>
      <c r="DH183" s="385"/>
      <c r="DI183" s="385"/>
      <c r="DJ183" s="385"/>
      <c r="DW183" s="180"/>
      <c r="DX183" s="180"/>
      <c r="DY183" s="180"/>
      <c r="DZ183" s="180"/>
    </row>
    <row r="184" spans="1:130" ht="16.5" customHeight="1" x14ac:dyDescent="0.25">
      <c r="A184" s="1808" t="s">
        <v>799</v>
      </c>
      <c r="B184" s="1809" t="s">
        <v>799</v>
      </c>
      <c r="C184" s="693">
        <f t="shared" si="118"/>
        <v>0</v>
      </c>
      <c r="D184" s="1336">
        <f t="shared" si="119"/>
        <v>0</v>
      </c>
      <c r="E184" s="1590">
        <f t="shared" ref="E184:E185" si="126">+G184+I184+K184+M184+O184+Q184+S184+U184+W184+Y184+AA184+AC184+AE184+AG184+AI184+AO184+AQ184+AK184+AM184</f>
        <v>0</v>
      </c>
      <c r="F184" s="682"/>
      <c r="G184" s="705"/>
      <c r="H184" s="705"/>
      <c r="I184" s="705"/>
      <c r="J184" s="705"/>
      <c r="K184" s="705"/>
      <c r="L184" s="705"/>
      <c r="M184" s="705"/>
      <c r="N184" s="705"/>
      <c r="O184" s="705"/>
      <c r="P184" s="705"/>
      <c r="Q184" s="705"/>
      <c r="R184" s="705"/>
      <c r="S184" s="705"/>
      <c r="T184" s="705"/>
      <c r="U184" s="705"/>
      <c r="V184" s="705"/>
      <c r="W184" s="705"/>
      <c r="X184" s="705"/>
      <c r="Y184" s="705"/>
      <c r="Z184" s="705"/>
      <c r="AA184" s="705"/>
      <c r="AB184" s="705"/>
      <c r="AC184" s="705"/>
      <c r="AD184" s="705"/>
      <c r="AE184" s="705"/>
      <c r="AF184" s="705"/>
      <c r="AG184" s="705"/>
      <c r="AH184" s="705"/>
      <c r="AI184" s="705"/>
      <c r="AJ184" s="705"/>
      <c r="AK184" s="705"/>
      <c r="AL184" s="705"/>
      <c r="AM184" s="705"/>
      <c r="AN184" s="705"/>
      <c r="AO184" s="705"/>
      <c r="AP184" s="705"/>
      <c r="AQ184" s="681"/>
      <c r="AR184" s="683"/>
      <c r="AS184" s="681"/>
      <c r="AT184" s="679"/>
      <c r="AU184" s="680"/>
      <c r="AV184" s="1687" t="str">
        <f t="shared" si="109"/>
        <v/>
      </c>
      <c r="AW184" s="183"/>
      <c r="AX184" s="183"/>
      <c r="AY184" s="183"/>
      <c r="AZ184" s="183"/>
      <c r="BR184" s="1050"/>
      <c r="BS184" s="1050"/>
      <c r="BT184" s="1050"/>
      <c r="BU184" s="1050"/>
      <c r="CB184" s="381" t="str">
        <f t="shared" si="110"/>
        <v/>
      </c>
      <c r="CC184" s="381" t="str">
        <f t="shared" si="111"/>
        <v/>
      </c>
      <c r="CD184" s="381" t="str">
        <f t="shared" si="112"/>
        <v/>
      </c>
      <c r="CE184" s="381" t="str">
        <f t="shared" si="113"/>
        <v/>
      </c>
      <c r="DA184" s="385">
        <f t="shared" si="114"/>
        <v>0</v>
      </c>
      <c r="DB184" s="385">
        <f t="shared" si="115"/>
        <v>0</v>
      </c>
      <c r="DC184" s="385">
        <f t="shared" si="116"/>
        <v>0</v>
      </c>
      <c r="DD184" s="385">
        <f t="shared" si="117"/>
        <v>0</v>
      </c>
      <c r="DE184" s="385"/>
      <c r="DF184" s="385"/>
      <c r="DG184" s="385"/>
      <c r="DH184" s="385"/>
      <c r="DI184" s="385"/>
      <c r="DJ184" s="385"/>
      <c r="DW184" s="180"/>
      <c r="DX184" s="180"/>
      <c r="DY184" s="180"/>
      <c r="DZ184" s="180"/>
    </row>
    <row r="185" spans="1:130" ht="16.5" customHeight="1" x14ac:dyDescent="0.25">
      <c r="A185" s="1837" t="s">
        <v>801</v>
      </c>
      <c r="B185" s="1838" t="s">
        <v>801</v>
      </c>
      <c r="C185" s="1335">
        <f t="shared" si="118"/>
        <v>0</v>
      </c>
      <c r="D185" s="1370">
        <f t="shared" si="119"/>
        <v>0</v>
      </c>
      <c r="E185" s="1592">
        <f t="shared" si="126"/>
        <v>0</v>
      </c>
      <c r="F185" s="642"/>
      <c r="G185" s="708"/>
      <c r="H185" s="708"/>
      <c r="I185" s="708"/>
      <c r="J185" s="708"/>
      <c r="K185" s="708"/>
      <c r="L185" s="708"/>
      <c r="M185" s="708"/>
      <c r="N185" s="708"/>
      <c r="O185" s="708"/>
      <c r="P185" s="708"/>
      <c r="Q185" s="708"/>
      <c r="R185" s="708"/>
      <c r="S185" s="708"/>
      <c r="T185" s="708"/>
      <c r="U185" s="708"/>
      <c r="V185" s="708"/>
      <c r="W185" s="708"/>
      <c r="X185" s="708"/>
      <c r="Y185" s="708"/>
      <c r="Z185" s="708"/>
      <c r="AA185" s="708"/>
      <c r="AB185" s="708"/>
      <c r="AC185" s="708"/>
      <c r="AD185" s="708"/>
      <c r="AE185" s="708"/>
      <c r="AF185" s="708"/>
      <c r="AG185" s="708"/>
      <c r="AH185" s="708"/>
      <c r="AI185" s="708"/>
      <c r="AJ185" s="708"/>
      <c r="AK185" s="708"/>
      <c r="AL185" s="708"/>
      <c r="AM185" s="708"/>
      <c r="AN185" s="708"/>
      <c r="AO185" s="708"/>
      <c r="AP185" s="708"/>
      <c r="AQ185" s="641"/>
      <c r="AR185" s="643"/>
      <c r="AS185" s="641"/>
      <c r="AT185" s="639"/>
      <c r="AU185" s="640"/>
      <c r="AV185" s="1687" t="str">
        <f t="shared" si="109"/>
        <v/>
      </c>
      <c r="AW185" s="183"/>
      <c r="AX185" s="183"/>
      <c r="AY185" s="183"/>
      <c r="AZ185" s="183"/>
      <c r="BR185" s="1050"/>
      <c r="BS185" s="1050"/>
      <c r="BT185" s="1050"/>
      <c r="BU185" s="1050"/>
      <c r="CB185" s="381" t="str">
        <f t="shared" si="110"/>
        <v/>
      </c>
      <c r="CC185" s="381" t="str">
        <f t="shared" si="111"/>
        <v/>
      </c>
      <c r="CD185" s="381" t="str">
        <f t="shared" si="112"/>
        <v/>
      </c>
      <c r="CE185" s="381" t="str">
        <f t="shared" si="113"/>
        <v/>
      </c>
      <c r="DA185" s="385">
        <f t="shared" si="114"/>
        <v>0</v>
      </c>
      <c r="DB185" s="385">
        <f t="shared" si="115"/>
        <v>0</v>
      </c>
      <c r="DC185" s="385">
        <f t="shared" si="116"/>
        <v>0</v>
      </c>
      <c r="DD185" s="385">
        <f t="shared" si="117"/>
        <v>0</v>
      </c>
      <c r="DE185" s="385"/>
      <c r="DF185" s="385"/>
      <c r="DG185" s="385"/>
      <c r="DH185" s="385"/>
      <c r="DI185" s="385"/>
      <c r="DJ185" s="385"/>
      <c r="DW185" s="180"/>
      <c r="DX185" s="180"/>
      <c r="DY185" s="180"/>
      <c r="DZ185" s="180"/>
    </row>
    <row r="186" spans="1:130" ht="27" customHeight="1" x14ac:dyDescent="0.25">
      <c r="A186" s="473" t="s">
        <v>730</v>
      </c>
      <c r="AV186" s="1687"/>
      <c r="DA186" s="385"/>
      <c r="DB186" s="385"/>
      <c r="DC186" s="385"/>
      <c r="DD186" s="385"/>
      <c r="DE186" s="385"/>
      <c r="DF186" s="385"/>
      <c r="DG186" s="385"/>
      <c r="DH186" s="385"/>
      <c r="DI186" s="385"/>
      <c r="DJ186" s="385"/>
    </row>
    <row r="187" spans="1:130" ht="19.5" customHeight="1" x14ac:dyDescent="0.25">
      <c r="A187" s="1864" t="s">
        <v>726</v>
      </c>
      <c r="B187" s="1802"/>
      <c r="C187" s="1839" t="s">
        <v>13</v>
      </c>
      <c r="D187" s="1830"/>
      <c r="E187" s="1831"/>
      <c r="F187" s="1845" t="s">
        <v>77</v>
      </c>
      <c r="G187" s="1846"/>
      <c r="H187" s="1846"/>
      <c r="I187" s="1846"/>
      <c r="J187" s="1846"/>
      <c r="K187" s="1846"/>
      <c r="L187" s="1846"/>
      <c r="M187" s="1846"/>
      <c r="N187" s="1846"/>
      <c r="O187" s="1846"/>
      <c r="P187" s="1846"/>
      <c r="Q187" s="1846"/>
      <c r="R187" s="1846"/>
      <c r="S187" s="1846"/>
      <c r="T187" s="1846"/>
      <c r="U187" s="1846"/>
      <c r="V187" s="1846"/>
      <c r="W187" s="1846"/>
      <c r="X187" s="1846"/>
      <c r="Y187" s="1846"/>
      <c r="Z187" s="1846"/>
      <c r="AA187" s="1846"/>
      <c r="AB187" s="1846"/>
      <c r="AC187" s="1846"/>
      <c r="AD187" s="1846"/>
      <c r="AE187" s="1846"/>
      <c r="AF187" s="1846"/>
      <c r="AG187" s="1846"/>
      <c r="AH187" s="1846"/>
      <c r="AI187" s="1846"/>
      <c r="AJ187" s="1846"/>
      <c r="AK187" s="1846"/>
      <c r="AL187" s="1846"/>
      <c r="AM187" s="1846"/>
      <c r="AN187" s="1846"/>
      <c r="AO187" s="1846"/>
      <c r="AP187" s="1846"/>
      <c r="AQ187" s="1847"/>
      <c r="AR187" s="1840" t="s">
        <v>15</v>
      </c>
      <c r="AS187" s="1797"/>
      <c r="AT187" s="1841" t="s">
        <v>814</v>
      </c>
      <c r="AU187" s="1797"/>
      <c r="AV187" s="1687"/>
      <c r="AW187" s="183"/>
      <c r="AX187" s="183"/>
      <c r="AY187" s="183"/>
      <c r="AZ187" s="183"/>
      <c r="BR187" s="1050"/>
      <c r="BS187" s="1050"/>
      <c r="BT187" s="1050"/>
      <c r="BU187" s="1050"/>
      <c r="DA187" s="385"/>
      <c r="DB187" s="385"/>
      <c r="DC187" s="385"/>
      <c r="DD187" s="385"/>
      <c r="DE187" s="385"/>
      <c r="DF187" s="385"/>
      <c r="DG187" s="385"/>
      <c r="DH187" s="385"/>
      <c r="DI187" s="385"/>
      <c r="DJ187" s="385"/>
      <c r="DW187" s="180"/>
      <c r="DX187" s="180"/>
      <c r="DY187" s="180"/>
      <c r="DZ187" s="180"/>
    </row>
    <row r="188" spans="1:130" ht="19.5" customHeight="1" x14ac:dyDescent="0.25">
      <c r="A188" s="1878"/>
      <c r="B188" s="1803"/>
      <c r="C188" s="1832"/>
      <c r="D188" s="1833"/>
      <c r="E188" s="1834"/>
      <c r="F188" s="1821" t="s">
        <v>78</v>
      </c>
      <c r="G188" s="1822"/>
      <c r="H188" s="1821" t="s">
        <v>79</v>
      </c>
      <c r="I188" s="1822"/>
      <c r="J188" s="1821" t="s">
        <v>80</v>
      </c>
      <c r="K188" s="1822"/>
      <c r="L188" s="1821" t="s">
        <v>81</v>
      </c>
      <c r="M188" s="1822"/>
      <c r="N188" s="1821" t="s">
        <v>82</v>
      </c>
      <c r="O188" s="1822"/>
      <c r="P188" s="1821" t="s">
        <v>83</v>
      </c>
      <c r="Q188" s="1822"/>
      <c r="R188" s="1821" t="s">
        <v>84</v>
      </c>
      <c r="S188" s="1822"/>
      <c r="T188" s="1821" t="s">
        <v>85</v>
      </c>
      <c r="U188" s="1822"/>
      <c r="V188" s="1821" t="s">
        <v>86</v>
      </c>
      <c r="W188" s="1822"/>
      <c r="X188" s="1821" t="s">
        <v>87</v>
      </c>
      <c r="Y188" s="1822"/>
      <c r="Z188" s="1821" t="s">
        <v>88</v>
      </c>
      <c r="AA188" s="1822"/>
      <c r="AB188" s="1821" t="s">
        <v>89</v>
      </c>
      <c r="AC188" s="1822"/>
      <c r="AD188" s="1821" t="s">
        <v>90</v>
      </c>
      <c r="AE188" s="1822"/>
      <c r="AF188" s="1821" t="s">
        <v>91</v>
      </c>
      <c r="AG188" s="1822"/>
      <c r="AH188" s="1843" t="s">
        <v>92</v>
      </c>
      <c r="AI188" s="1822"/>
      <c r="AJ188" s="1821" t="s">
        <v>575</v>
      </c>
      <c r="AK188" s="1822"/>
      <c r="AL188" s="1821" t="s">
        <v>576</v>
      </c>
      <c r="AM188" s="1822"/>
      <c r="AN188" s="1843" t="s">
        <v>128</v>
      </c>
      <c r="AO188" s="1822"/>
      <c r="AP188" s="1821" t="s">
        <v>17</v>
      </c>
      <c r="AQ188" s="1844"/>
      <c r="AR188" s="1795"/>
      <c r="AS188" s="1799"/>
      <c r="AT188" s="1842"/>
      <c r="AU188" s="1799"/>
      <c r="AV188" s="1687"/>
      <c r="AW188" s="183"/>
      <c r="AX188" s="183"/>
      <c r="AY188" s="183"/>
      <c r="AZ188" s="183"/>
      <c r="BR188" s="1050"/>
      <c r="BS188" s="1050"/>
      <c r="BT188" s="1050"/>
      <c r="BU188" s="1050"/>
      <c r="DA188" s="385"/>
      <c r="DB188" s="385"/>
      <c r="DC188" s="385"/>
      <c r="DD188" s="385"/>
      <c r="DE188" s="385"/>
      <c r="DF188" s="385"/>
      <c r="DG188" s="385"/>
      <c r="DH188" s="385"/>
      <c r="DI188" s="385"/>
      <c r="DJ188" s="385"/>
      <c r="DW188" s="180"/>
      <c r="DX188" s="180"/>
      <c r="DY188" s="180"/>
      <c r="DZ188" s="180"/>
    </row>
    <row r="189" spans="1:130" ht="28.5" customHeight="1" x14ac:dyDescent="0.25">
      <c r="A189" s="1867"/>
      <c r="B189" s="1804"/>
      <c r="C189" s="93" t="s">
        <v>369</v>
      </c>
      <c r="D189" s="94" t="s">
        <v>31</v>
      </c>
      <c r="E189" s="1334" t="s">
        <v>94</v>
      </c>
      <c r="F189" s="94" t="s">
        <v>31</v>
      </c>
      <c r="G189" s="95" t="s">
        <v>94</v>
      </c>
      <c r="H189" s="94" t="s">
        <v>31</v>
      </c>
      <c r="I189" s="95" t="s">
        <v>94</v>
      </c>
      <c r="J189" s="94" t="s">
        <v>31</v>
      </c>
      <c r="K189" s="95" t="s">
        <v>94</v>
      </c>
      <c r="L189" s="94" t="s">
        <v>31</v>
      </c>
      <c r="M189" s="95" t="s">
        <v>94</v>
      </c>
      <c r="N189" s="94" t="s">
        <v>31</v>
      </c>
      <c r="O189" s="95" t="s">
        <v>94</v>
      </c>
      <c r="P189" s="94" t="s">
        <v>31</v>
      </c>
      <c r="Q189" s="95" t="s">
        <v>94</v>
      </c>
      <c r="R189" s="94" t="s">
        <v>31</v>
      </c>
      <c r="S189" s="95" t="s">
        <v>94</v>
      </c>
      <c r="T189" s="94" t="s">
        <v>31</v>
      </c>
      <c r="U189" s="95" t="s">
        <v>94</v>
      </c>
      <c r="V189" s="94" t="s">
        <v>31</v>
      </c>
      <c r="W189" s="95" t="s">
        <v>94</v>
      </c>
      <c r="X189" s="94" t="s">
        <v>31</v>
      </c>
      <c r="Y189" s="95" t="s">
        <v>94</v>
      </c>
      <c r="Z189" s="94" t="s">
        <v>31</v>
      </c>
      <c r="AA189" s="95" t="s">
        <v>94</v>
      </c>
      <c r="AB189" s="94" t="s">
        <v>31</v>
      </c>
      <c r="AC189" s="95" t="s">
        <v>94</v>
      </c>
      <c r="AD189" s="94" t="s">
        <v>31</v>
      </c>
      <c r="AE189" s="95" t="s">
        <v>94</v>
      </c>
      <c r="AF189" s="94" t="s">
        <v>31</v>
      </c>
      <c r="AG189" s="95" t="s">
        <v>94</v>
      </c>
      <c r="AH189" s="1047" t="s">
        <v>31</v>
      </c>
      <c r="AI189" s="105" t="s">
        <v>94</v>
      </c>
      <c r="AJ189" s="358" t="s">
        <v>31</v>
      </c>
      <c r="AK189" s="95" t="s">
        <v>94</v>
      </c>
      <c r="AL189" s="1047" t="s">
        <v>31</v>
      </c>
      <c r="AM189" s="105" t="s">
        <v>94</v>
      </c>
      <c r="AN189" s="1047" t="s">
        <v>31</v>
      </c>
      <c r="AO189" s="95" t="s">
        <v>94</v>
      </c>
      <c r="AP189" s="1047" t="s">
        <v>31</v>
      </c>
      <c r="AQ189" s="312" t="s">
        <v>94</v>
      </c>
      <c r="AR189" s="313" t="s">
        <v>31</v>
      </c>
      <c r="AS189" s="105" t="s">
        <v>94</v>
      </c>
      <c r="AT189" s="94" t="s">
        <v>31</v>
      </c>
      <c r="AU189" s="1602" t="s">
        <v>94</v>
      </c>
      <c r="AV189" s="1687"/>
      <c r="AW189" s="183"/>
      <c r="AX189" s="183"/>
      <c r="AY189" s="183"/>
      <c r="AZ189" s="183"/>
      <c r="BR189" s="1050"/>
      <c r="BS189" s="1050"/>
      <c r="BT189" s="1050"/>
      <c r="BU189" s="1050"/>
      <c r="DA189" s="385"/>
      <c r="DB189" s="385"/>
      <c r="DC189" s="385"/>
      <c r="DD189" s="385"/>
      <c r="DE189" s="385"/>
      <c r="DF189" s="385"/>
      <c r="DG189" s="385"/>
      <c r="DH189" s="385"/>
      <c r="DI189" s="385"/>
      <c r="DJ189" s="385"/>
      <c r="DW189" s="180"/>
      <c r="DX189" s="180"/>
      <c r="DY189" s="180"/>
      <c r="DZ189" s="180"/>
    </row>
    <row r="190" spans="1:130" ht="21" customHeight="1" x14ac:dyDescent="0.25">
      <c r="A190" s="1821" t="s">
        <v>826</v>
      </c>
      <c r="B190" s="1822"/>
      <c r="C190" s="632">
        <f>SUM(D190:E190)</f>
        <v>0</v>
      </c>
      <c r="D190" s="691">
        <f>+F190+H190+J190+L190+N190+P190+R190+T190+V190+X190+Z190+AB190+AD190+AF190+AH190+AN190+AP190+AJ190+AL190</f>
        <v>0</v>
      </c>
      <c r="E190" s="692">
        <f>+G190+I190+K190+M190+O190+Q190+S190+U190+W190+Y190+AA190+AC190+AE190+AG190+AI190+AO190+AQ190+AK190+AM190</f>
        <v>0</v>
      </c>
      <c r="F190" s="1603">
        <f>SUM(F191:F193)</f>
        <v>0</v>
      </c>
      <c r="G190" s="1604">
        <f>SUM(G191:G193)</f>
        <v>0</v>
      </c>
      <c r="H190" s="1603">
        <f t="shared" ref="H190:AQ190" si="127">SUM(H191:H193)</f>
        <v>0</v>
      </c>
      <c r="I190" s="1604">
        <f t="shared" si="127"/>
        <v>0</v>
      </c>
      <c r="J190" s="1603">
        <f t="shared" si="127"/>
        <v>0</v>
      </c>
      <c r="K190" s="1604">
        <f t="shared" si="127"/>
        <v>0</v>
      </c>
      <c r="L190" s="1603">
        <f t="shared" si="127"/>
        <v>0</v>
      </c>
      <c r="M190" s="1604">
        <f t="shared" si="127"/>
        <v>0</v>
      </c>
      <c r="N190" s="1603">
        <f t="shared" si="127"/>
        <v>0</v>
      </c>
      <c r="O190" s="1604">
        <f t="shared" si="127"/>
        <v>0</v>
      </c>
      <c r="P190" s="1603">
        <f t="shared" si="127"/>
        <v>0</v>
      </c>
      <c r="Q190" s="1604">
        <f t="shared" si="127"/>
        <v>0</v>
      </c>
      <c r="R190" s="1603">
        <f t="shared" si="127"/>
        <v>0</v>
      </c>
      <c r="S190" s="1604">
        <f t="shared" si="127"/>
        <v>0</v>
      </c>
      <c r="T190" s="1603">
        <f t="shared" si="127"/>
        <v>0</v>
      </c>
      <c r="U190" s="1604">
        <f t="shared" si="127"/>
        <v>0</v>
      </c>
      <c r="V190" s="1603">
        <f t="shared" si="127"/>
        <v>0</v>
      </c>
      <c r="W190" s="1604">
        <f t="shared" si="127"/>
        <v>0</v>
      </c>
      <c r="X190" s="1603">
        <f t="shared" si="127"/>
        <v>0</v>
      </c>
      <c r="Y190" s="1604">
        <f t="shared" si="127"/>
        <v>0</v>
      </c>
      <c r="Z190" s="1603">
        <f t="shared" si="127"/>
        <v>0</v>
      </c>
      <c r="AA190" s="1604">
        <f t="shared" si="127"/>
        <v>0</v>
      </c>
      <c r="AB190" s="1603">
        <f t="shared" si="127"/>
        <v>0</v>
      </c>
      <c r="AC190" s="1604">
        <f t="shared" si="127"/>
        <v>0</v>
      </c>
      <c r="AD190" s="1603">
        <f t="shared" si="127"/>
        <v>0</v>
      </c>
      <c r="AE190" s="1604">
        <f t="shared" si="127"/>
        <v>0</v>
      </c>
      <c r="AF190" s="1603">
        <f t="shared" si="127"/>
        <v>0</v>
      </c>
      <c r="AG190" s="1604">
        <f t="shared" si="127"/>
        <v>0</v>
      </c>
      <c r="AH190" s="1603">
        <f t="shared" si="127"/>
        <v>0</v>
      </c>
      <c r="AI190" s="1604">
        <f t="shared" si="127"/>
        <v>0</v>
      </c>
      <c r="AJ190" s="1603">
        <f t="shared" si="127"/>
        <v>0</v>
      </c>
      <c r="AK190" s="1604">
        <f t="shared" si="127"/>
        <v>0</v>
      </c>
      <c r="AL190" s="1603">
        <f t="shared" si="127"/>
        <v>0</v>
      </c>
      <c r="AM190" s="1604">
        <f t="shared" si="127"/>
        <v>0</v>
      </c>
      <c r="AN190" s="1603">
        <f t="shared" si="127"/>
        <v>0</v>
      </c>
      <c r="AO190" s="1604">
        <f t="shared" si="127"/>
        <v>0</v>
      </c>
      <c r="AP190" s="1603">
        <f t="shared" si="127"/>
        <v>0</v>
      </c>
      <c r="AQ190" s="1604">
        <f t="shared" si="127"/>
        <v>0</v>
      </c>
      <c r="AR190" s="1605">
        <f>SUM(AR191:AR193)</f>
        <v>0</v>
      </c>
      <c r="AS190" s="1604">
        <f>SUM(AS191:AS193)</f>
        <v>0</v>
      </c>
      <c r="AT190" s="659">
        <f>SUM(AT191:AT193)</f>
        <v>0</v>
      </c>
      <c r="AU190" s="1604">
        <f>SUM(AU191:AU193)</f>
        <v>0</v>
      </c>
      <c r="AV190" s="1687"/>
      <c r="BR190" s="1050"/>
      <c r="BS190" s="1050"/>
      <c r="BT190" s="1050"/>
      <c r="BU190" s="1050"/>
      <c r="DA190" s="385"/>
      <c r="DB190" s="385"/>
      <c r="DC190" s="385"/>
      <c r="DD190" s="385"/>
      <c r="DE190" s="385"/>
      <c r="DF190" s="385"/>
      <c r="DG190" s="385"/>
      <c r="DH190" s="385"/>
      <c r="DI190" s="385"/>
      <c r="DJ190" s="385"/>
      <c r="DW190" s="180"/>
      <c r="DX190" s="180"/>
      <c r="DY190" s="180"/>
      <c r="DZ190" s="180"/>
    </row>
    <row r="191" spans="1:130" ht="21.75" customHeight="1" x14ac:dyDescent="0.25">
      <c r="A191" s="1823" t="s">
        <v>705</v>
      </c>
      <c r="B191" s="1824"/>
      <c r="C191" s="632">
        <f>SUM(D191:E191)</f>
        <v>0</v>
      </c>
      <c r="D191" s="691">
        <f>+F191+H191+J191+L191+N191+P191+R191+T191+V191+X191+Z191+AB191+AD191+AF191+AH191+AN191+AP191+AJ191+AL191</f>
        <v>0</v>
      </c>
      <c r="E191" s="692">
        <f>+G191+I191+K191+M191+O191+Q191+S191+U191+W191+Y191+AA191+AC191+AE191+AG191+AI191+AO191+AQ191+AK191+AM191</f>
        <v>0</v>
      </c>
      <c r="F191" s="633"/>
      <c r="G191" s="634"/>
      <c r="H191" s="633"/>
      <c r="I191" s="634"/>
      <c r="J191" s="633"/>
      <c r="K191" s="634"/>
      <c r="L191" s="633"/>
      <c r="M191" s="635"/>
      <c r="N191" s="633"/>
      <c r="O191" s="634"/>
      <c r="P191" s="633"/>
      <c r="Q191" s="634"/>
      <c r="R191" s="636"/>
      <c r="S191" s="634"/>
      <c r="T191" s="633"/>
      <c r="U191" s="635"/>
      <c r="V191" s="633"/>
      <c r="W191" s="634"/>
      <c r="X191" s="633"/>
      <c r="Y191" s="634"/>
      <c r="Z191" s="633"/>
      <c r="AA191" s="634"/>
      <c r="AB191" s="633"/>
      <c r="AC191" s="651"/>
      <c r="AD191" s="633"/>
      <c r="AE191" s="634"/>
      <c r="AF191" s="633"/>
      <c r="AG191" s="635"/>
      <c r="AH191" s="633"/>
      <c r="AI191" s="635"/>
      <c r="AJ191" s="633"/>
      <c r="AK191" s="635"/>
      <c r="AL191" s="633"/>
      <c r="AM191" s="634"/>
      <c r="AN191" s="636"/>
      <c r="AO191" s="635"/>
      <c r="AP191" s="633"/>
      <c r="AQ191" s="1451"/>
      <c r="AR191" s="637"/>
      <c r="AS191" s="634"/>
      <c r="AT191" s="633"/>
      <c r="AU191" s="634"/>
      <c r="AV191" s="1687" t="str">
        <f>CB191&amp;CC191&amp;CD191&amp;CE191</f>
        <v/>
      </c>
      <c r="AW191" s="183"/>
      <c r="AX191" s="183"/>
      <c r="AY191" s="183"/>
      <c r="AZ191" s="183"/>
      <c r="BR191" s="1050"/>
      <c r="BS191" s="1050"/>
      <c r="BT191" s="1050"/>
      <c r="BU191" s="1050"/>
      <c r="CB191" s="381" t="str">
        <f>IF(DA191=1,"* No olvide escribir en las celdas de ""Pueblos Originarios"" (Digite Cero si no tiene).","")</f>
        <v/>
      </c>
      <c r="CC191" s="381" t="str">
        <f>IF(DB191=1,"* No olvide escribir en las celdas de ""Población Migrante"" (Digite Cero si no tiene).","")</f>
        <v/>
      </c>
      <c r="CD191" s="381" t="str">
        <f>IF(DC191=1,"* La suma de las celdas de ""Pueblos Originarios""no debe superar el Total.","")</f>
        <v/>
      </c>
      <c r="CE191" s="381" t="str">
        <f>IF(DD191=1,"* La suma de las celdas de ""Población Migrante"" no debe superar el Total.","")</f>
        <v/>
      </c>
      <c r="DA191" s="385">
        <f>IF(AND($C191&lt;&gt;0,OR(AR191="",AS191="")),1,0)</f>
        <v>0</v>
      </c>
      <c r="DB191" s="385">
        <f>IF(AND($C191&lt;&gt;0,OR(AT191="",AU191="")),1,0)</f>
        <v>0</v>
      </c>
      <c r="DC191" s="385">
        <f>IF((AR191+AS191)&gt;$C191,1,0)</f>
        <v>0</v>
      </c>
      <c r="DD191" s="385">
        <f>IF((AU191+AT191)&gt;$C191,1,0)</f>
        <v>0</v>
      </c>
      <c r="DE191" s="385"/>
      <c r="DF191" s="385"/>
      <c r="DG191" s="385"/>
      <c r="DH191" s="385"/>
      <c r="DI191" s="385"/>
      <c r="DJ191" s="385"/>
      <c r="DW191" s="180"/>
      <c r="DX191" s="180"/>
      <c r="DY191" s="180"/>
      <c r="DZ191" s="180"/>
    </row>
    <row r="192" spans="1:130" ht="16.5" customHeight="1" x14ac:dyDescent="0.25">
      <c r="A192" s="1825" t="s">
        <v>706</v>
      </c>
      <c r="B192" s="1826"/>
      <c r="C192" s="678">
        <f t="shared" ref="C192:C193" si="128">SUM(D192:E192)</f>
        <v>0</v>
      </c>
      <c r="D192" s="693">
        <f t="shared" ref="D192:D193" si="129">+F192+H192+J192+L192+N192+P192+R192+T192+V192+X192+Z192+AB192+AD192+AF192+AH192+AN192+AP192+AJ192+AL192</f>
        <v>0</v>
      </c>
      <c r="E192" s="694">
        <f t="shared" ref="E192:E193" si="130">+G192+I192+K192+M192+O192+Q192+S192+U192+W192+Y192+AA192+AC192+AE192+AG192+AI192+AO192+AQ192+AK192+AM192</f>
        <v>0</v>
      </c>
      <c r="F192" s="679"/>
      <c r="G192" s="680"/>
      <c r="H192" s="679"/>
      <c r="I192" s="680"/>
      <c r="J192" s="679"/>
      <c r="K192" s="680"/>
      <c r="L192" s="679"/>
      <c r="M192" s="681"/>
      <c r="N192" s="679"/>
      <c r="O192" s="680"/>
      <c r="P192" s="679"/>
      <c r="Q192" s="680"/>
      <c r="R192" s="682"/>
      <c r="S192" s="680"/>
      <c r="T192" s="679"/>
      <c r="U192" s="681"/>
      <c r="V192" s="679"/>
      <c r="W192" s="680"/>
      <c r="X192" s="679"/>
      <c r="Y192" s="680"/>
      <c r="Z192" s="679"/>
      <c r="AA192" s="680"/>
      <c r="AB192" s="679"/>
      <c r="AC192" s="1031"/>
      <c r="AD192" s="679"/>
      <c r="AE192" s="680"/>
      <c r="AF192" s="679"/>
      <c r="AG192" s="681"/>
      <c r="AH192" s="679"/>
      <c r="AI192" s="681"/>
      <c r="AJ192" s="679"/>
      <c r="AK192" s="681"/>
      <c r="AL192" s="679"/>
      <c r="AM192" s="680"/>
      <c r="AN192" s="682"/>
      <c r="AO192" s="681"/>
      <c r="AP192" s="679"/>
      <c r="AQ192" s="1452"/>
      <c r="AR192" s="683"/>
      <c r="AS192" s="680"/>
      <c r="AT192" s="679"/>
      <c r="AU192" s="680"/>
      <c r="AV192" s="1687" t="str">
        <f>CB192&amp;CC192&amp;CD192&amp;CE192</f>
        <v/>
      </c>
      <c r="AW192" s="183"/>
      <c r="AX192" s="183"/>
      <c r="AY192" s="183"/>
      <c r="AZ192" s="183"/>
      <c r="BR192" s="1050"/>
      <c r="BS192" s="1050"/>
      <c r="BT192" s="1050"/>
      <c r="BU192" s="1050"/>
      <c r="CB192" s="381" t="str">
        <f t="shared" ref="CB192:CB193" si="131">IF(DA192=1,"* No olvide escribir en las celdas de ""Pueblos Originarios"" (Digite Cero si no tiene).","")</f>
        <v/>
      </c>
      <c r="CC192" s="381" t="str">
        <f t="shared" ref="CC192:CC193" si="132">IF(DB192=1,"* No olvide escribir en las celdas de ""Población Migrante"" (Digite Cero si no tiene).","")</f>
        <v/>
      </c>
      <c r="CD192" s="381" t="str">
        <f t="shared" ref="CD192:CD193" si="133">IF(DC192=1,"* La suma de las celdas de ""Pueblos Originarios""no debe superar el Total.","")</f>
        <v/>
      </c>
      <c r="CE192" s="381" t="str">
        <f t="shared" ref="CE192:CE193" si="134">IF(DD192=1,"* La suma de las celdas de ""Población Migrante"" no debe superar el Total.","")</f>
        <v/>
      </c>
      <c r="DA192" s="385">
        <f>IF(AND($C192&lt;&gt;0,OR(AR192="",AS192="")),1,0)</f>
        <v>0</v>
      </c>
      <c r="DB192" s="385">
        <f>IF(AND($C192&lt;&gt;0,OR(AT192="",AU192="")),1,0)</f>
        <v>0</v>
      </c>
      <c r="DC192" s="385">
        <f>IF((AR192+AS192)&gt;$C192,1,0)</f>
        <v>0</v>
      </c>
      <c r="DD192" s="385">
        <f>IF((AU192+AT192)&gt;$C192,1,0)</f>
        <v>0</v>
      </c>
      <c r="DE192" s="385"/>
      <c r="DF192" s="385"/>
      <c r="DG192" s="385"/>
      <c r="DH192" s="385"/>
      <c r="DI192" s="385"/>
      <c r="DJ192" s="385"/>
      <c r="DW192" s="180"/>
      <c r="DX192" s="180"/>
      <c r="DY192" s="180"/>
      <c r="DZ192" s="180"/>
    </row>
    <row r="193" spans="1:130" ht="16.5" customHeight="1" x14ac:dyDescent="0.25">
      <c r="A193" s="1827" t="s">
        <v>707</v>
      </c>
      <c r="B193" s="1828"/>
      <c r="C193" s="707">
        <f t="shared" si="128"/>
        <v>0</v>
      </c>
      <c r="D193" s="1335">
        <f t="shared" si="129"/>
        <v>0</v>
      </c>
      <c r="E193" s="1234">
        <f t="shared" si="130"/>
        <v>0</v>
      </c>
      <c r="F193" s="624"/>
      <c r="G193" s="625"/>
      <c r="H193" s="624"/>
      <c r="I193" s="625"/>
      <c r="J193" s="624"/>
      <c r="K193" s="625"/>
      <c r="L193" s="624"/>
      <c r="M193" s="625"/>
      <c r="N193" s="624"/>
      <c r="O193" s="625"/>
      <c r="P193" s="624"/>
      <c r="Q193" s="625"/>
      <c r="R193" s="624"/>
      <c r="S193" s="625"/>
      <c r="T193" s="624"/>
      <c r="U193" s="625"/>
      <c r="V193" s="624"/>
      <c r="W193" s="625"/>
      <c r="X193" s="624"/>
      <c r="Y193" s="625"/>
      <c r="Z193" s="624"/>
      <c r="AA193" s="625"/>
      <c r="AB193" s="624"/>
      <c r="AC193" s="625"/>
      <c r="AD193" s="624"/>
      <c r="AE193" s="625"/>
      <c r="AF193" s="624"/>
      <c r="AG193" s="625"/>
      <c r="AH193" s="624"/>
      <c r="AI193" s="625"/>
      <c r="AJ193" s="624"/>
      <c r="AK193" s="625"/>
      <c r="AL193" s="624"/>
      <c r="AM193" s="625"/>
      <c r="AN193" s="629"/>
      <c r="AO193" s="625"/>
      <c r="AP193" s="624"/>
      <c r="AQ193" s="1202"/>
      <c r="AR193" s="675"/>
      <c r="AS193" s="625"/>
      <c r="AT193" s="624"/>
      <c r="AU193" s="625"/>
      <c r="AV193" s="1687" t="str">
        <f>CB193&amp;CC193&amp;CD193&amp;CE193</f>
        <v/>
      </c>
      <c r="AW193" s="183"/>
      <c r="AX193" s="183"/>
      <c r="AY193" s="183"/>
      <c r="AZ193" s="183"/>
      <c r="BR193" s="1050"/>
      <c r="BS193" s="1050"/>
      <c r="BT193" s="1050"/>
      <c r="BU193" s="1050"/>
      <c r="CB193" s="381" t="str">
        <f t="shared" si="131"/>
        <v/>
      </c>
      <c r="CC193" s="381" t="str">
        <f t="shared" si="132"/>
        <v/>
      </c>
      <c r="CD193" s="381" t="str">
        <f t="shared" si="133"/>
        <v/>
      </c>
      <c r="CE193" s="381" t="str">
        <f t="shared" si="134"/>
        <v/>
      </c>
      <c r="DA193" s="385">
        <f>IF(AND($C193&lt;&gt;0,OR(AR193="",AS193="")),1,0)</f>
        <v>0</v>
      </c>
      <c r="DB193" s="385">
        <f>IF(AND($C193&lt;&gt;0,OR(AT193="",AU193="")),1,0)</f>
        <v>0</v>
      </c>
      <c r="DC193" s="385">
        <f>IF((AR193+AS193)&gt;$C193,1,0)</f>
        <v>0</v>
      </c>
      <c r="DD193" s="385">
        <f>IF((AU193+AT193)&gt;$C193,1,0)</f>
        <v>0</v>
      </c>
      <c r="DE193" s="385"/>
      <c r="DF193" s="385"/>
      <c r="DG193" s="385"/>
      <c r="DH193" s="385"/>
      <c r="DI193" s="385"/>
      <c r="DJ193" s="385"/>
      <c r="DW193" s="180"/>
      <c r="DX193" s="180"/>
      <c r="DY193" s="180"/>
      <c r="DZ193" s="180"/>
    </row>
    <row r="194" spans="1:130" ht="25.15" customHeight="1" x14ac:dyDescent="0.25">
      <c r="A194" s="470" t="s">
        <v>761</v>
      </c>
      <c r="B194" s="1050"/>
      <c r="C194" s="1050"/>
      <c r="D194" s="1050"/>
      <c r="E194" s="1050"/>
      <c r="F194" s="1050"/>
      <c r="G194" s="1050"/>
      <c r="H194" s="1050"/>
      <c r="I194" s="1050"/>
      <c r="J194" s="1050"/>
      <c r="K194" s="1050"/>
      <c r="L194" s="1050"/>
      <c r="M194" s="1050"/>
      <c r="N194" s="1050"/>
      <c r="O194" s="1050"/>
      <c r="P194" s="1050"/>
      <c r="Q194" s="1050"/>
      <c r="R194" s="1050"/>
      <c r="S194" s="1050"/>
      <c r="T194" s="1050"/>
      <c r="U194" s="1050"/>
      <c r="V194" s="1050"/>
      <c r="W194" s="1050"/>
      <c r="X194" s="1050"/>
      <c r="Y194" s="1050"/>
      <c r="Z194" s="1050"/>
      <c r="AA194" s="1050"/>
      <c r="AB194" s="1050"/>
      <c r="AC194" s="1050"/>
      <c r="AD194" s="1050"/>
      <c r="AE194" s="1050"/>
      <c r="AF194" s="1050"/>
      <c r="AG194" s="1050"/>
      <c r="AH194" s="1050"/>
      <c r="AI194" s="1050"/>
      <c r="DA194" s="385"/>
      <c r="DB194" s="385"/>
      <c r="DC194" s="385"/>
      <c r="DD194" s="385"/>
      <c r="DE194" s="385"/>
      <c r="DF194" s="385"/>
      <c r="DG194" s="385"/>
      <c r="DH194" s="385"/>
      <c r="DI194" s="385"/>
      <c r="DJ194" s="385"/>
    </row>
    <row r="195" spans="1:130" x14ac:dyDescent="0.25">
      <c r="A195" s="1815" t="s">
        <v>735</v>
      </c>
      <c r="B195" s="1816"/>
      <c r="C195" s="1829" t="s">
        <v>13</v>
      </c>
      <c r="D195" s="1830"/>
      <c r="E195" s="1831"/>
      <c r="F195" s="1835" t="s">
        <v>736</v>
      </c>
      <c r="G195" s="1836"/>
      <c r="H195" s="1836"/>
      <c r="I195" s="1836"/>
      <c r="J195" s="1836"/>
      <c r="K195" s="1836"/>
      <c r="L195" s="1836"/>
      <c r="M195" s="1836"/>
      <c r="N195" s="1836"/>
      <c r="O195" s="1836"/>
      <c r="P195" s="1836"/>
      <c r="Q195" s="1836"/>
      <c r="R195" s="1836"/>
      <c r="S195" s="1836"/>
      <c r="T195" s="1836"/>
      <c r="U195" s="1836"/>
      <c r="V195" s="1836"/>
      <c r="W195" s="1836"/>
      <c r="X195" s="1836"/>
      <c r="Y195" s="1836"/>
      <c r="Z195" s="1794" t="s">
        <v>15</v>
      </c>
      <c r="AA195" s="1797"/>
      <c r="AB195" s="1796" t="s">
        <v>814</v>
      </c>
      <c r="AC195" s="1797"/>
      <c r="AD195" s="1796" t="s">
        <v>737</v>
      </c>
      <c r="AE195" s="1797"/>
      <c r="AF195" s="1796" t="s">
        <v>738</v>
      </c>
      <c r="AG195" s="1797"/>
      <c r="AH195" s="1796" t="s">
        <v>739</v>
      </c>
      <c r="AI195" s="1797"/>
      <c r="DA195" s="385"/>
      <c r="DB195" s="385"/>
      <c r="DC195" s="385"/>
      <c r="DD195" s="385"/>
      <c r="DE195" s="385"/>
      <c r="DF195" s="385"/>
      <c r="DG195" s="385"/>
      <c r="DH195" s="385"/>
      <c r="DI195" s="385"/>
      <c r="DJ195" s="385"/>
    </row>
    <row r="196" spans="1:130" x14ac:dyDescent="0.25">
      <c r="A196" s="1817"/>
      <c r="B196" s="1818"/>
      <c r="C196" s="1832"/>
      <c r="D196" s="1833"/>
      <c r="E196" s="1834"/>
      <c r="F196" s="1800" t="s">
        <v>740</v>
      </c>
      <c r="G196" s="1801"/>
      <c r="H196" s="1800" t="s">
        <v>741</v>
      </c>
      <c r="I196" s="1801"/>
      <c r="J196" s="1800" t="s">
        <v>742</v>
      </c>
      <c r="K196" s="1801"/>
      <c r="L196" s="1800" t="s">
        <v>743</v>
      </c>
      <c r="M196" s="1801"/>
      <c r="N196" s="1800" t="s">
        <v>744</v>
      </c>
      <c r="O196" s="1801"/>
      <c r="P196" s="1800" t="s">
        <v>745</v>
      </c>
      <c r="Q196" s="1801"/>
      <c r="R196" s="1800" t="s">
        <v>746</v>
      </c>
      <c r="S196" s="1801"/>
      <c r="T196" s="1800" t="s">
        <v>747</v>
      </c>
      <c r="U196" s="1801"/>
      <c r="V196" s="1800" t="s">
        <v>748</v>
      </c>
      <c r="W196" s="1801"/>
      <c r="X196" s="1800" t="s">
        <v>749</v>
      </c>
      <c r="Y196" s="1807"/>
      <c r="Z196" s="1795"/>
      <c r="AA196" s="1799"/>
      <c r="AB196" s="1798"/>
      <c r="AC196" s="1799"/>
      <c r="AD196" s="1798"/>
      <c r="AE196" s="1799"/>
      <c r="AF196" s="1798"/>
      <c r="AG196" s="1799"/>
      <c r="AH196" s="1798"/>
      <c r="AI196" s="1799"/>
      <c r="DA196" s="385"/>
      <c r="DB196" s="385"/>
      <c r="DC196" s="385"/>
      <c r="DD196" s="385"/>
      <c r="DE196" s="385"/>
      <c r="DF196" s="385"/>
      <c r="DG196" s="385"/>
      <c r="DH196" s="385"/>
      <c r="DI196" s="385"/>
      <c r="DJ196" s="385"/>
    </row>
    <row r="197" spans="1:130" x14ac:dyDescent="0.25">
      <c r="A197" s="1819"/>
      <c r="B197" s="1820"/>
      <c r="C197" s="93" t="s">
        <v>369</v>
      </c>
      <c r="D197" s="94" t="s">
        <v>31</v>
      </c>
      <c r="E197" s="1334" t="s">
        <v>94</v>
      </c>
      <c r="F197" s="1384" t="s">
        <v>31</v>
      </c>
      <c r="G197" s="1376" t="s">
        <v>94</v>
      </c>
      <c r="H197" s="1384" t="s">
        <v>31</v>
      </c>
      <c r="I197" s="1376" t="s">
        <v>94</v>
      </c>
      <c r="J197" s="1384" t="s">
        <v>31</v>
      </c>
      <c r="K197" s="1376" t="s">
        <v>94</v>
      </c>
      <c r="L197" s="1384" t="s">
        <v>31</v>
      </c>
      <c r="M197" s="1376" t="s">
        <v>94</v>
      </c>
      <c r="N197" s="1384" t="s">
        <v>31</v>
      </c>
      <c r="O197" s="1376" t="s">
        <v>94</v>
      </c>
      <c r="P197" s="1384" t="s">
        <v>31</v>
      </c>
      <c r="Q197" s="1376" t="s">
        <v>94</v>
      </c>
      <c r="R197" s="1384" t="s">
        <v>31</v>
      </c>
      <c r="S197" s="1376" t="s">
        <v>94</v>
      </c>
      <c r="T197" s="1384" t="s">
        <v>31</v>
      </c>
      <c r="U197" s="1376" t="s">
        <v>94</v>
      </c>
      <c r="V197" s="1384" t="s">
        <v>31</v>
      </c>
      <c r="W197" s="1376" t="s">
        <v>94</v>
      </c>
      <c r="X197" s="1384" t="s">
        <v>31</v>
      </c>
      <c r="Y197" s="1378" t="s">
        <v>94</v>
      </c>
      <c r="Z197" s="383" t="s">
        <v>31</v>
      </c>
      <c r="AA197" s="1381" t="s">
        <v>94</v>
      </c>
      <c r="AB197" s="1386" t="s">
        <v>31</v>
      </c>
      <c r="AC197" s="1382" t="s">
        <v>94</v>
      </c>
      <c r="AD197" s="1386" t="s">
        <v>31</v>
      </c>
      <c r="AE197" s="1382" t="s">
        <v>94</v>
      </c>
      <c r="AF197" s="1386" t="s">
        <v>31</v>
      </c>
      <c r="AG197" s="1382" t="s">
        <v>94</v>
      </c>
      <c r="AH197" s="1386" t="s">
        <v>31</v>
      </c>
      <c r="AI197" s="1382" t="s">
        <v>94</v>
      </c>
      <c r="DA197" s="385"/>
      <c r="DB197" s="385"/>
      <c r="DC197" s="385"/>
      <c r="DD197" s="385"/>
      <c r="DE197" s="385"/>
      <c r="DF197" s="385"/>
      <c r="DG197" s="385"/>
      <c r="DH197" s="385"/>
      <c r="DI197" s="385"/>
      <c r="DJ197" s="385"/>
    </row>
    <row r="198" spans="1:130" ht="24.75" customHeight="1" x14ac:dyDescent="0.25">
      <c r="A198" s="1805" t="s">
        <v>750</v>
      </c>
      <c r="B198" s="1806"/>
      <c r="C198" s="1295">
        <f t="shared" ref="C198:C200" si="135">SUM(D198:E198)</f>
        <v>0</v>
      </c>
      <c r="D198" s="700">
        <f t="shared" ref="D198:D200" si="136">+F198+H198+J198+L198+N198+P198+R198+T198+V198+X198</f>
        <v>0</v>
      </c>
      <c r="E198" s="1316">
        <f>+G198+I198+K198+M198+O198+Q198+S198+U198+W198+Y198</f>
        <v>0</v>
      </c>
      <c r="F198" s="700">
        <f>+F201+F208</f>
        <v>0</v>
      </c>
      <c r="G198" s="1377">
        <f t="shared" ref="G198:AH198" si="137">+G201+G208</f>
        <v>0</v>
      </c>
      <c r="H198" s="700">
        <f t="shared" si="137"/>
        <v>0</v>
      </c>
      <c r="I198" s="1377">
        <f t="shared" si="137"/>
        <v>0</v>
      </c>
      <c r="J198" s="700">
        <f t="shared" si="137"/>
        <v>0</v>
      </c>
      <c r="K198" s="1377">
        <f t="shared" si="137"/>
        <v>0</v>
      </c>
      <c r="L198" s="700">
        <f t="shared" si="137"/>
        <v>0</v>
      </c>
      <c r="M198" s="1377">
        <f t="shared" si="137"/>
        <v>0</v>
      </c>
      <c r="N198" s="700">
        <f t="shared" si="137"/>
        <v>0</v>
      </c>
      <c r="O198" s="1377">
        <f t="shared" si="137"/>
        <v>0</v>
      </c>
      <c r="P198" s="700">
        <f t="shared" si="137"/>
        <v>0</v>
      </c>
      <c r="Q198" s="1377">
        <f t="shared" si="137"/>
        <v>0</v>
      </c>
      <c r="R198" s="700">
        <f t="shared" si="137"/>
        <v>0</v>
      </c>
      <c r="S198" s="1377">
        <f t="shared" si="137"/>
        <v>0</v>
      </c>
      <c r="T198" s="700">
        <f t="shared" si="137"/>
        <v>0</v>
      </c>
      <c r="U198" s="1377">
        <f t="shared" si="137"/>
        <v>0</v>
      </c>
      <c r="V198" s="700">
        <f t="shared" si="137"/>
        <v>0</v>
      </c>
      <c r="W198" s="1377">
        <f t="shared" si="137"/>
        <v>0</v>
      </c>
      <c r="X198" s="700">
        <f t="shared" si="137"/>
        <v>0</v>
      </c>
      <c r="Y198" s="1379">
        <f t="shared" si="137"/>
        <v>0</v>
      </c>
      <c r="Z198" s="1385">
        <f t="shared" si="137"/>
        <v>0</v>
      </c>
      <c r="AA198" s="1377">
        <f t="shared" si="137"/>
        <v>0</v>
      </c>
      <c r="AB198" s="700">
        <f t="shared" si="137"/>
        <v>0</v>
      </c>
      <c r="AC198" s="1377">
        <f t="shared" si="137"/>
        <v>0</v>
      </c>
      <c r="AD198" s="700">
        <f t="shared" si="137"/>
        <v>0</v>
      </c>
      <c r="AE198" s="1377">
        <f t="shared" si="137"/>
        <v>0</v>
      </c>
      <c r="AF198" s="700">
        <f t="shared" si="137"/>
        <v>0</v>
      </c>
      <c r="AG198" s="1377">
        <f t="shared" si="137"/>
        <v>0</v>
      </c>
      <c r="AH198" s="700">
        <f t="shared" si="137"/>
        <v>0</v>
      </c>
      <c r="AI198" s="1377">
        <f>+AI201+AI208</f>
        <v>0</v>
      </c>
      <c r="AJ198" s="376"/>
      <c r="AK198" s="1050"/>
      <c r="AL198" s="1050"/>
      <c r="AM198" s="1050"/>
      <c r="AN198" s="1050"/>
      <c r="AO198" s="1050"/>
      <c r="AP198" s="1050"/>
      <c r="AQ198" s="1050"/>
      <c r="AR198" s="1050"/>
      <c r="AS198" s="1050"/>
      <c r="AT198" s="1050"/>
      <c r="AU198" s="1050"/>
      <c r="AV198" s="180"/>
      <c r="AW198" s="180"/>
      <c r="AX198" s="180"/>
      <c r="AY198" s="180"/>
      <c r="AZ198" s="180"/>
      <c r="BA198" s="180"/>
      <c r="BB198" s="180"/>
      <c r="BC198" s="180"/>
      <c r="BD198" s="180"/>
      <c r="BE198" s="180"/>
      <c r="BF198" s="180"/>
      <c r="BG198" s="180"/>
      <c r="BH198" s="180"/>
      <c r="BI198" s="180"/>
      <c r="BJ198" s="180"/>
      <c r="BK198" s="180"/>
      <c r="BL198" s="180"/>
      <c r="BM198" s="180"/>
      <c r="BN198" s="180"/>
      <c r="BO198" s="180"/>
      <c r="BP198" s="180"/>
      <c r="BQ198" s="180"/>
      <c r="DA198" s="385"/>
      <c r="DB198" s="385"/>
      <c r="DC198" s="385"/>
      <c r="DD198" s="385"/>
      <c r="DE198" s="385"/>
      <c r="DF198" s="385"/>
      <c r="DG198" s="385"/>
      <c r="DH198" s="385"/>
      <c r="DI198" s="385"/>
      <c r="DJ198" s="385"/>
    </row>
    <row r="199" spans="1:130" ht="16.5" customHeight="1" x14ac:dyDescent="0.15">
      <c r="A199" s="1810" t="s">
        <v>751</v>
      </c>
      <c r="B199" s="1372" t="s">
        <v>752</v>
      </c>
      <c r="C199" s="632">
        <f t="shared" si="135"/>
        <v>0</v>
      </c>
      <c r="D199" s="691">
        <f t="shared" si="136"/>
        <v>0</v>
      </c>
      <c r="E199" s="692">
        <f t="shared" ref="E199:E200" si="138">+G199+I199+K199+M199+O199+Q199+S199+U199+W199+Y199</f>
        <v>0</v>
      </c>
      <c r="F199" s="1627"/>
      <c r="G199" s="1628"/>
      <c r="H199" s="1627"/>
      <c r="I199" s="1628"/>
      <c r="J199" s="1627"/>
      <c r="K199" s="1628"/>
      <c r="L199" s="1627"/>
      <c r="M199" s="1628"/>
      <c r="N199" s="1627"/>
      <c r="O199" s="1628"/>
      <c r="P199" s="1627"/>
      <c r="Q199" s="1628"/>
      <c r="R199" s="1627"/>
      <c r="S199" s="1628"/>
      <c r="T199" s="1627"/>
      <c r="U199" s="1628"/>
      <c r="V199" s="1627"/>
      <c r="W199" s="1628"/>
      <c r="X199" s="1627"/>
      <c r="Y199" s="1629"/>
      <c r="Z199" s="1630"/>
      <c r="AA199" s="1628"/>
      <c r="AB199" s="1627"/>
      <c r="AC199" s="1628"/>
      <c r="AD199" s="1627"/>
      <c r="AE199" s="1628"/>
      <c r="AF199" s="1627"/>
      <c r="AG199" s="1628"/>
      <c r="AH199" s="1627"/>
      <c r="AI199" s="1631"/>
      <c r="AJ199" s="376" t="str">
        <f>CB199&amp;CC199&amp;CD199&amp;CE199&amp;CF199&amp;CG199&amp;CH199&amp;CI199&amp;CJ199&amp;CK199</f>
        <v/>
      </c>
      <c r="AK199" s="180"/>
      <c r="AL199" s="180"/>
      <c r="AM199" s="180"/>
      <c r="AN199" s="180"/>
      <c r="AO199" s="180"/>
      <c r="AP199" s="180"/>
      <c r="AQ199" s="180"/>
      <c r="AR199" s="180"/>
      <c r="AS199" s="180"/>
      <c r="AT199" s="180"/>
      <c r="AU199" s="180"/>
      <c r="AV199" s="180"/>
      <c r="AW199" s="180"/>
      <c r="AX199" s="180"/>
      <c r="AY199" s="180"/>
      <c r="AZ199" s="180"/>
      <c r="BA199" s="180"/>
      <c r="BB199" s="180"/>
      <c r="BC199" s="180"/>
      <c r="BD199" s="180"/>
      <c r="BE199" s="180"/>
      <c r="BF199" s="180"/>
      <c r="BG199" s="180"/>
      <c r="BH199" s="180"/>
      <c r="BI199" s="180"/>
      <c r="BJ199" s="180"/>
      <c r="BK199" s="180"/>
      <c r="BL199" s="180"/>
      <c r="BM199" s="180"/>
      <c r="BN199" s="180"/>
      <c r="BO199" s="180"/>
      <c r="BP199" s="180"/>
      <c r="BQ199" s="180"/>
      <c r="CB199" s="381" t="str">
        <f>IF(DA199=1,"* No olvide escribir en las celdas de ""Pueblos Originarios"" (Digite Cero si no tiene).","")</f>
        <v/>
      </c>
      <c r="CC199" s="381" t="str">
        <f t="shared" ref="CC199" si="139">IF(DB199=1,"* No olvide escribir en las celdas de ""Población Migrante"" (Digite Cero si no tiene).","")</f>
        <v/>
      </c>
      <c r="CD199" s="381" t="str">
        <f>IF(DC199=1,"* No olvide escribir en las celdas de ""Usuarios con Discapacidad"" (Digite Cero si no tiene).","")</f>
        <v/>
      </c>
      <c r="CE199" s="381" t="str">
        <f>IF(DD199=1,"* No olvide escribir en las celdas de ""NNA Red Mejor Niñez"" (Digite Cero si no tiene).","")</f>
        <v/>
      </c>
      <c r="CF199" s="381" t="str">
        <f>IF(DE199=1,"* No olvide escribir en las celdas de ""NNA Red SENAME"" (Digite Cero si no tiene).","")</f>
        <v/>
      </c>
      <c r="CG199" s="381" t="str">
        <f>IF(DF199=1,"* La suma de las celdas de ""Pueblos Originarios"" no debe superar el Total.","")</f>
        <v/>
      </c>
      <c r="CH199" s="381" t="str">
        <f t="shared" ref="CH199" si="140">IF(DG199=1,"* La suma de las celdas de ""Población Migrante"" no debe superar el Total.","")</f>
        <v/>
      </c>
      <c r="CI199" s="381" t="str">
        <f>IF(DH199=1,"* La suma de las celdas de ""Usuarios con Discapacidad"" no debe superar el Total.","")</f>
        <v/>
      </c>
      <c r="CJ199" s="381" t="str">
        <f>IF(DI199=1,"* La suma de las celdas de ""NNA Red Mejor Niñez"" no debe superar el Total.","")</f>
        <v/>
      </c>
      <c r="CK199" s="381" t="str">
        <f>IF(DJ199=1,"* La suma de las celdas de ""NNA Red SENAME"" no debe superar el Total.","")</f>
        <v/>
      </c>
      <c r="DA199" s="385">
        <f>IF(AND($C199&lt;&gt;0,OR(Z199="",AA199="")),1,0)</f>
        <v>0</v>
      </c>
      <c r="DB199" s="385">
        <f>IF(AND($C199&lt;&gt;0,OR(AB199="",AC199="")),1,0)</f>
        <v>0</v>
      </c>
      <c r="DC199" s="385">
        <f>IF(AND($C199&lt;&gt;0,OR(AD199="",AE199="")),1,0)</f>
        <v>0</v>
      </c>
      <c r="DD199" s="385">
        <f>IF(AND($C199&lt;&gt;0,OR(AF199="",AG199="")),1,0)</f>
        <v>0</v>
      </c>
      <c r="DE199" s="385">
        <f>IF(AND($C199&lt;&gt;0,OR(AH199="",AI199="")),1,0)</f>
        <v>0</v>
      </c>
      <c r="DF199" s="385">
        <f>IF((Z199+AA199)&gt;$C199,1,0)</f>
        <v>0</v>
      </c>
      <c r="DG199" s="385">
        <f>IF((AC199+AB199)&gt;$C199,1,0)</f>
        <v>0</v>
      </c>
      <c r="DH199" s="385">
        <f>IF((AD199+AE199)&gt;$C199,1,0)</f>
        <v>0</v>
      </c>
      <c r="DI199" s="385">
        <f>IF((AG199+AF199)&gt;$C199,1,0)</f>
        <v>0</v>
      </c>
      <c r="DJ199" s="385">
        <f>IF((AH199+AI199)&gt;$C199,1,0)</f>
        <v>0</v>
      </c>
    </row>
    <row r="200" spans="1:130" ht="16.5" customHeight="1" x14ac:dyDescent="0.25">
      <c r="A200" s="1811"/>
      <c r="B200" s="1371" t="s">
        <v>753</v>
      </c>
      <c r="C200" s="623">
        <f t="shared" si="135"/>
        <v>0</v>
      </c>
      <c r="D200" s="1383">
        <f t="shared" si="136"/>
        <v>0</v>
      </c>
      <c r="E200" s="699">
        <f t="shared" si="138"/>
        <v>0</v>
      </c>
      <c r="F200" s="1632"/>
      <c r="G200" s="1633"/>
      <c r="H200" s="1632"/>
      <c r="I200" s="1633"/>
      <c r="J200" s="1632"/>
      <c r="K200" s="1633"/>
      <c r="L200" s="1632"/>
      <c r="M200" s="1633"/>
      <c r="N200" s="1632"/>
      <c r="O200" s="1633"/>
      <c r="P200" s="1632"/>
      <c r="Q200" s="1633"/>
      <c r="R200" s="1632"/>
      <c r="S200" s="1633"/>
      <c r="T200" s="1632"/>
      <c r="U200" s="1633"/>
      <c r="V200" s="1632"/>
      <c r="W200" s="1633"/>
      <c r="X200" s="1632"/>
      <c r="Y200" s="1634"/>
      <c r="Z200" s="1635"/>
      <c r="AA200" s="1633"/>
      <c r="AB200" s="1632"/>
      <c r="AC200" s="1633"/>
      <c r="AD200" s="1632"/>
      <c r="AE200" s="1633"/>
      <c r="AF200" s="1632"/>
      <c r="AG200" s="1633"/>
      <c r="AH200" s="1632"/>
      <c r="AI200" s="1636"/>
      <c r="AJ200" s="376" t="str">
        <f>CB200&amp;CC200&amp;CD200&amp;CE200&amp;CF200&amp;CG200&amp;CH200&amp;CI200&amp;CJ200&amp;CK200</f>
        <v/>
      </c>
      <c r="CB200" s="381" t="str">
        <f t="shared" ref="CB200:CB209" si="141">IF(DA200=1,"* No olvide escribir en las celdas de ""Pueblos Originarios"" (Digite Cero si no tiene).","")</f>
        <v/>
      </c>
      <c r="CC200" s="381" t="str">
        <f t="shared" ref="CC200:CC209" si="142">IF(DB200=1,"* No olvide escribir en las celdas de ""Población Migrante"" (Digite Cero si no tiene).","")</f>
        <v/>
      </c>
      <c r="CD200" s="381" t="str">
        <f t="shared" ref="CD200:CD209" si="143">IF(DC200=1,"* No olvide escribir en las celdas de ""Usuarios con Discapacidad"" (Digite Cero si no tiene).","")</f>
        <v/>
      </c>
      <c r="CE200" s="381" t="str">
        <f t="shared" ref="CE200:CE209" si="144">IF(DD200=1,"* No olvide escribir en las celdas de ""NNA Red Mejor Niñez"" (Digite Cero si no tiene).","")</f>
        <v/>
      </c>
      <c r="CF200" s="381" t="str">
        <f t="shared" ref="CF200:CF209" si="145">IF(DE200=1,"* No olvide escribir en las celdas de ""NNA Red SENAME"" (Digite Cero si no tiene).","")</f>
        <v/>
      </c>
      <c r="CG200" s="381" t="str">
        <f>IF(DF200=1,"* La suma de las celdas de ""Pueblos Originarios"" no debe superar el Total.","")</f>
        <v/>
      </c>
      <c r="CH200" s="381" t="str">
        <f t="shared" ref="CH200" si="146">IF(DG200=1,"* La suma de las celdas de ""Población Migrante"" no debe superar el Total.","")</f>
        <v/>
      </c>
      <c r="CI200" s="381" t="str">
        <f>IF(DH200=1,"* La suma de las celdas de ""Usuarios con Discapacidad"" no debe superar el Total.","")</f>
        <v/>
      </c>
      <c r="CJ200" s="381" t="str">
        <f>IF(DI200=1,"* La suma de las celdas de ""NNA Red Mejor Niñez"" no debe superar el Total.","")</f>
        <v/>
      </c>
      <c r="CK200" s="381" t="str">
        <f>IF(DJ200=1,"* La suma de las celdas de ""NNA Red SENAME"" no debe superar el Total.","")</f>
        <v/>
      </c>
      <c r="DA200" s="385">
        <f>IF(AND($C200&lt;&gt;0,OR(Z200="",AA200="")),1,0)</f>
        <v>0</v>
      </c>
      <c r="DB200" s="385">
        <f>IF(AND($C200&lt;&gt;0,OR(AB200="",AC200="")),1,0)</f>
        <v>0</v>
      </c>
      <c r="DC200" s="385">
        <f>IF(AND($C200&lt;&gt;0,OR(AD200="",AE200="")),1,0)</f>
        <v>0</v>
      </c>
      <c r="DD200" s="385">
        <f>IF(AND($C200&lt;&gt;0,OR(AF200="",AG200="")),1,0)</f>
        <v>0</v>
      </c>
      <c r="DE200" s="385">
        <f>IF(AND($C200&lt;&gt;0,OR(AH200="",AI200="")),1,0)</f>
        <v>0</v>
      </c>
      <c r="DF200" s="385">
        <f>IF((Z200+AA200)&gt;$C200,1,0)</f>
        <v>0</v>
      </c>
      <c r="DG200" s="385">
        <f>IF((AC200+AB200)&gt;$C200,1,0)</f>
        <v>0</v>
      </c>
      <c r="DH200" s="385">
        <f>IF((AD200+AE200)&gt;$C200,1,0)</f>
        <v>0</v>
      </c>
      <c r="DI200" s="385">
        <f>IF((AG200+AF200)&gt;$C200,1,0)</f>
        <v>0</v>
      </c>
      <c r="DJ200" s="385">
        <f>IF((AH200+AI200)&gt;$C200,1,0)</f>
        <v>0</v>
      </c>
    </row>
    <row r="201" spans="1:130" ht="16.5" customHeight="1" x14ac:dyDescent="0.25">
      <c r="A201" s="1812"/>
      <c r="B201" s="1341" t="s">
        <v>196</v>
      </c>
      <c r="C201" s="1340">
        <f>SUM(D201:E201)</f>
        <v>0</v>
      </c>
      <c r="D201" s="646">
        <f>+F201+H201+J201+L201+N201+P201+R201+T201+V201+X201</f>
        <v>0</v>
      </c>
      <c r="E201" s="1316">
        <f>+G201+I201+K201+M201+O201+Q201+S201+U201+W201+Y201</f>
        <v>0</v>
      </c>
      <c r="F201" s="646">
        <f>SUM(F199:F200)</f>
        <v>0</v>
      </c>
      <c r="G201" s="1316">
        <f t="shared" ref="G201:AI201" si="147">SUM(G199:G200)</f>
        <v>0</v>
      </c>
      <c r="H201" s="646">
        <f t="shared" si="147"/>
        <v>0</v>
      </c>
      <c r="I201" s="1316">
        <f t="shared" si="147"/>
        <v>0</v>
      </c>
      <c r="J201" s="646">
        <f t="shared" si="147"/>
        <v>0</v>
      </c>
      <c r="K201" s="1316">
        <f t="shared" si="147"/>
        <v>0</v>
      </c>
      <c r="L201" s="646">
        <f t="shared" si="147"/>
        <v>0</v>
      </c>
      <c r="M201" s="1316">
        <f t="shared" si="147"/>
        <v>0</v>
      </c>
      <c r="N201" s="646">
        <f t="shared" si="147"/>
        <v>0</v>
      </c>
      <c r="O201" s="1316">
        <f t="shared" si="147"/>
        <v>0</v>
      </c>
      <c r="P201" s="646">
        <f t="shared" si="147"/>
        <v>0</v>
      </c>
      <c r="Q201" s="1316">
        <f t="shared" si="147"/>
        <v>0</v>
      </c>
      <c r="R201" s="646">
        <f t="shared" si="147"/>
        <v>0</v>
      </c>
      <c r="S201" s="1316">
        <f t="shared" si="147"/>
        <v>0</v>
      </c>
      <c r="T201" s="646">
        <f t="shared" si="147"/>
        <v>0</v>
      </c>
      <c r="U201" s="1316">
        <f t="shared" si="147"/>
        <v>0</v>
      </c>
      <c r="V201" s="646">
        <f t="shared" si="147"/>
        <v>0</v>
      </c>
      <c r="W201" s="1316">
        <f t="shared" si="147"/>
        <v>0</v>
      </c>
      <c r="X201" s="646">
        <f t="shared" si="147"/>
        <v>0</v>
      </c>
      <c r="Y201" s="1380">
        <f t="shared" si="147"/>
        <v>0</v>
      </c>
      <c r="Z201" s="650">
        <f t="shared" si="147"/>
        <v>0</v>
      </c>
      <c r="AA201" s="1316">
        <f t="shared" si="147"/>
        <v>0</v>
      </c>
      <c r="AB201" s="646">
        <f t="shared" si="147"/>
        <v>0</v>
      </c>
      <c r="AC201" s="1316">
        <f t="shared" si="147"/>
        <v>0</v>
      </c>
      <c r="AD201" s="646">
        <f t="shared" si="147"/>
        <v>0</v>
      </c>
      <c r="AE201" s="1316">
        <f t="shared" si="147"/>
        <v>0</v>
      </c>
      <c r="AF201" s="646">
        <f t="shared" si="147"/>
        <v>0</v>
      </c>
      <c r="AG201" s="1316">
        <f t="shared" si="147"/>
        <v>0</v>
      </c>
      <c r="AH201" s="646">
        <f t="shared" si="147"/>
        <v>0</v>
      </c>
      <c r="AI201" s="1316">
        <f t="shared" si="147"/>
        <v>0</v>
      </c>
      <c r="AJ201" s="1687"/>
      <c r="DA201" s="385"/>
      <c r="DB201" s="385"/>
      <c r="DC201" s="385"/>
      <c r="DD201" s="385"/>
      <c r="DE201" s="385"/>
      <c r="DF201" s="385"/>
      <c r="DG201" s="385"/>
      <c r="DH201" s="385"/>
      <c r="DI201" s="385"/>
      <c r="DJ201" s="385"/>
    </row>
    <row r="202" spans="1:130" ht="18" customHeight="1" x14ac:dyDescent="0.25">
      <c r="A202" s="1810" t="s">
        <v>754</v>
      </c>
      <c r="B202" s="1373">
        <v>0</v>
      </c>
      <c r="C202" s="632">
        <f t="shared" ref="C202:C208" si="148">SUM(D202:E202)</f>
        <v>0</v>
      </c>
      <c r="D202" s="691">
        <f t="shared" ref="D202:D209" si="149">+F202+H202+J202+L202+N202+P202+R202+T202+V202+X202</f>
        <v>0</v>
      </c>
      <c r="E202" s="692">
        <f t="shared" ref="E202:E209" si="150">+G202+I202+K202+M202+O202+Q202+S202+U202+W202+Y202</f>
        <v>0</v>
      </c>
      <c r="F202" s="1627"/>
      <c r="G202" s="1628"/>
      <c r="H202" s="1627"/>
      <c r="I202" s="1628"/>
      <c r="J202" s="1627"/>
      <c r="K202" s="1628"/>
      <c r="L202" s="1627"/>
      <c r="M202" s="1628"/>
      <c r="N202" s="1627"/>
      <c r="O202" s="1628"/>
      <c r="P202" s="1627"/>
      <c r="Q202" s="1628"/>
      <c r="R202" s="1627"/>
      <c r="S202" s="1628"/>
      <c r="T202" s="1627"/>
      <c r="U202" s="1628"/>
      <c r="V202" s="1627"/>
      <c r="W202" s="1628"/>
      <c r="X202" s="1627"/>
      <c r="Y202" s="1629"/>
      <c r="Z202" s="1630"/>
      <c r="AA202" s="1628"/>
      <c r="AB202" s="1627"/>
      <c r="AC202" s="1628"/>
      <c r="AD202" s="1627"/>
      <c r="AE202" s="1628"/>
      <c r="AF202" s="1627"/>
      <c r="AG202" s="1628"/>
      <c r="AH202" s="1627"/>
      <c r="AI202" s="1631"/>
      <c r="AJ202" s="376" t="str">
        <f t="shared" ref="AJ202:AJ209" si="151">CB202&amp;CC202&amp;CD202&amp;CE202&amp;CF202&amp;CG202&amp;CH202&amp;CI202&amp;CJ202&amp;CK202</f>
        <v/>
      </c>
      <c r="CB202" s="381" t="str">
        <f t="shared" si="141"/>
        <v/>
      </c>
      <c r="CC202" s="381" t="str">
        <f t="shared" si="142"/>
        <v/>
      </c>
      <c r="CD202" s="381" t="str">
        <f t="shared" si="143"/>
        <v/>
      </c>
      <c r="CE202" s="381" t="str">
        <f t="shared" si="144"/>
        <v/>
      </c>
      <c r="CF202" s="381" t="str">
        <f t="shared" si="145"/>
        <v/>
      </c>
      <c r="CG202" s="381" t="str">
        <f t="shared" ref="CG202:CG207" si="152">IF(DF202=1,"* La suma de las celdas de ""Pueblos Originarios"" no debe superar el Total.","")</f>
        <v/>
      </c>
      <c r="CH202" s="381" t="str">
        <f t="shared" ref="CH202:CH207" si="153">IF(DG202=1,"* La suma de las celdas de ""Población Migrante"" no debe superar el Total.","")</f>
        <v/>
      </c>
      <c r="CI202" s="381" t="str">
        <f t="shared" ref="CI202:CI207" si="154">IF(DH202=1,"* La suma de las celdas de ""Usuarios con Discapacidad"" no debe superar el Total.","")</f>
        <v/>
      </c>
      <c r="CJ202" s="381" t="str">
        <f t="shared" ref="CJ202:CJ207" si="155">IF(DI202=1,"* La suma de las celdas de ""NNA Red Mejor Niñez"" no debe superar el Total.","")</f>
        <v/>
      </c>
      <c r="CK202" s="381" t="str">
        <f t="shared" ref="CK202:CK207" si="156">IF(DJ202=1,"* La suma de las celdas de ""NNA Red SENAME"" no debe superar el Total.","")</f>
        <v/>
      </c>
      <c r="DA202" s="385">
        <f t="shared" ref="DA202:DA207" si="157">IF(AND($C202&lt;&gt;0,OR(Z202="",AA202="")),1,0)</f>
        <v>0</v>
      </c>
      <c r="DB202" s="385">
        <f t="shared" ref="DB202:DB207" si="158">IF(AND($C202&lt;&gt;0,OR(AB202="",AC202="")),1,0)</f>
        <v>0</v>
      </c>
      <c r="DC202" s="385">
        <f t="shared" ref="DC202:DC207" si="159">IF(AND($C202&lt;&gt;0,OR(AD202="",AE202="")),1,0)</f>
        <v>0</v>
      </c>
      <c r="DD202" s="385">
        <f t="shared" ref="DD202:DD207" si="160">IF(AND($C202&lt;&gt;0,OR(AF202="",AG202="")),1,0)</f>
        <v>0</v>
      </c>
      <c r="DE202" s="385">
        <f t="shared" ref="DE202:DE207" si="161">IF(AND($C202&lt;&gt;0,OR(AH202="",AI202="")),1,0)</f>
        <v>0</v>
      </c>
      <c r="DF202" s="385">
        <f t="shared" ref="DF202:DF209" si="162">IF((Z202+AA202)&gt;$C202,1,0)</f>
        <v>0</v>
      </c>
      <c r="DG202" s="385">
        <f t="shared" ref="DG202:DG209" si="163">IF((AC202+AB202)&gt;$C202,1,0)</f>
        <v>0</v>
      </c>
      <c r="DH202" s="385">
        <f t="shared" ref="DH202:DH209" si="164">IF((AD202+AE202)&gt;$C202,1,0)</f>
        <v>0</v>
      </c>
      <c r="DI202" s="385">
        <f t="shared" ref="DI202:DI209" si="165">IF((AG202+AF202)&gt;$C202,1,0)</f>
        <v>0</v>
      </c>
      <c r="DJ202" s="385">
        <f t="shared" ref="DJ202:DJ209" si="166">IF((AH202+AI202)&gt;$C202,1,0)</f>
        <v>0</v>
      </c>
    </row>
    <row r="203" spans="1:130" ht="18" customHeight="1" x14ac:dyDescent="0.25">
      <c r="A203" s="1811"/>
      <c r="B203" s="1374" t="s">
        <v>755</v>
      </c>
      <c r="C203" s="678">
        <f t="shared" si="148"/>
        <v>0</v>
      </c>
      <c r="D203" s="693">
        <f t="shared" si="149"/>
        <v>0</v>
      </c>
      <c r="E203" s="694">
        <f t="shared" si="150"/>
        <v>0</v>
      </c>
      <c r="F203" s="1637"/>
      <c r="G203" s="1638"/>
      <c r="H203" s="1637"/>
      <c r="I203" s="1638"/>
      <c r="J203" s="1637"/>
      <c r="K203" s="1638"/>
      <c r="L203" s="1637"/>
      <c r="M203" s="1638"/>
      <c r="N203" s="1637"/>
      <c r="O203" s="1638"/>
      <c r="P203" s="1637"/>
      <c r="Q203" s="1638"/>
      <c r="R203" s="1637"/>
      <c r="S203" s="1638"/>
      <c r="T203" s="1637"/>
      <c r="U203" s="1638"/>
      <c r="V203" s="1637"/>
      <c r="W203" s="1638"/>
      <c r="X203" s="1637"/>
      <c r="Y203" s="1639"/>
      <c r="Z203" s="1640"/>
      <c r="AA203" s="1638"/>
      <c r="AB203" s="1637"/>
      <c r="AC203" s="1638"/>
      <c r="AD203" s="1637"/>
      <c r="AE203" s="1638"/>
      <c r="AF203" s="1637"/>
      <c r="AG203" s="1638"/>
      <c r="AH203" s="1637"/>
      <c r="AI203" s="1641"/>
      <c r="AJ203" s="376" t="str">
        <f t="shared" si="151"/>
        <v/>
      </c>
      <c r="CB203" s="381" t="str">
        <f t="shared" si="141"/>
        <v/>
      </c>
      <c r="CC203" s="381" t="str">
        <f t="shared" si="142"/>
        <v/>
      </c>
      <c r="CD203" s="381" t="str">
        <f t="shared" si="143"/>
        <v/>
      </c>
      <c r="CE203" s="381" t="str">
        <f t="shared" si="144"/>
        <v/>
      </c>
      <c r="CF203" s="381" t="str">
        <f t="shared" si="145"/>
        <v/>
      </c>
      <c r="CG203" s="381" t="str">
        <f t="shared" si="152"/>
        <v/>
      </c>
      <c r="CH203" s="381" t="str">
        <f t="shared" si="153"/>
        <v/>
      </c>
      <c r="CI203" s="381" t="str">
        <f t="shared" si="154"/>
        <v/>
      </c>
      <c r="CJ203" s="381" t="str">
        <f t="shared" si="155"/>
        <v/>
      </c>
      <c r="CK203" s="381" t="str">
        <f t="shared" si="156"/>
        <v/>
      </c>
      <c r="DA203" s="385">
        <f t="shared" si="157"/>
        <v>0</v>
      </c>
      <c r="DB203" s="385">
        <f t="shared" si="158"/>
        <v>0</v>
      </c>
      <c r="DC203" s="385">
        <f t="shared" si="159"/>
        <v>0</v>
      </c>
      <c r="DD203" s="385">
        <f t="shared" si="160"/>
        <v>0</v>
      </c>
      <c r="DE203" s="385">
        <f t="shared" si="161"/>
        <v>0</v>
      </c>
      <c r="DF203" s="385">
        <f t="shared" si="162"/>
        <v>0</v>
      </c>
      <c r="DG203" s="385">
        <f t="shared" si="163"/>
        <v>0</v>
      </c>
      <c r="DH203" s="385">
        <f t="shared" si="164"/>
        <v>0</v>
      </c>
      <c r="DI203" s="385">
        <f t="shared" si="165"/>
        <v>0</v>
      </c>
      <c r="DJ203" s="385">
        <f t="shared" si="166"/>
        <v>0</v>
      </c>
    </row>
    <row r="204" spans="1:130" ht="18" customHeight="1" x14ac:dyDescent="0.25">
      <c r="A204" s="1811"/>
      <c r="B204" s="1374" t="s">
        <v>756</v>
      </c>
      <c r="C204" s="678">
        <f t="shared" si="148"/>
        <v>0</v>
      </c>
      <c r="D204" s="693">
        <f t="shared" si="149"/>
        <v>0</v>
      </c>
      <c r="E204" s="694">
        <f t="shared" si="150"/>
        <v>0</v>
      </c>
      <c r="F204" s="1637"/>
      <c r="G204" s="1638"/>
      <c r="H204" s="1637"/>
      <c r="I204" s="1638"/>
      <c r="J204" s="1637"/>
      <c r="K204" s="1638"/>
      <c r="L204" s="1637"/>
      <c r="M204" s="1638"/>
      <c r="N204" s="1637"/>
      <c r="O204" s="1638"/>
      <c r="P204" s="1637"/>
      <c r="Q204" s="1638"/>
      <c r="R204" s="1637"/>
      <c r="S204" s="1638"/>
      <c r="T204" s="1637"/>
      <c r="U204" s="1638"/>
      <c r="V204" s="1637"/>
      <c r="W204" s="1638"/>
      <c r="X204" s="1637"/>
      <c r="Y204" s="1639"/>
      <c r="Z204" s="1640"/>
      <c r="AA204" s="1638"/>
      <c r="AB204" s="1637"/>
      <c r="AC204" s="1638"/>
      <c r="AD204" s="1637"/>
      <c r="AE204" s="1638"/>
      <c r="AF204" s="1637"/>
      <c r="AG204" s="1638"/>
      <c r="AH204" s="1637"/>
      <c r="AI204" s="1641"/>
      <c r="AJ204" s="376" t="str">
        <f t="shared" si="151"/>
        <v/>
      </c>
      <c r="CB204" s="381" t="str">
        <f t="shared" si="141"/>
        <v/>
      </c>
      <c r="CC204" s="381" t="str">
        <f t="shared" si="142"/>
        <v/>
      </c>
      <c r="CD204" s="381" t="str">
        <f t="shared" si="143"/>
        <v/>
      </c>
      <c r="CE204" s="381" t="str">
        <f t="shared" si="144"/>
        <v/>
      </c>
      <c r="CF204" s="381" t="str">
        <f t="shared" si="145"/>
        <v/>
      </c>
      <c r="CG204" s="381" t="str">
        <f t="shared" si="152"/>
        <v/>
      </c>
      <c r="CH204" s="381" t="str">
        <f t="shared" si="153"/>
        <v/>
      </c>
      <c r="CI204" s="381" t="str">
        <f t="shared" si="154"/>
        <v/>
      </c>
      <c r="CJ204" s="381" t="str">
        <f t="shared" si="155"/>
        <v/>
      </c>
      <c r="CK204" s="381" t="str">
        <f t="shared" si="156"/>
        <v/>
      </c>
      <c r="DA204" s="385">
        <f t="shared" si="157"/>
        <v>0</v>
      </c>
      <c r="DB204" s="385">
        <f t="shared" si="158"/>
        <v>0</v>
      </c>
      <c r="DC204" s="385">
        <f t="shared" si="159"/>
        <v>0</v>
      </c>
      <c r="DD204" s="385">
        <f t="shared" si="160"/>
        <v>0</v>
      </c>
      <c r="DE204" s="385">
        <f t="shared" si="161"/>
        <v>0</v>
      </c>
      <c r="DF204" s="385">
        <f t="shared" si="162"/>
        <v>0</v>
      </c>
      <c r="DG204" s="385">
        <f t="shared" si="163"/>
        <v>0</v>
      </c>
      <c r="DH204" s="385">
        <f t="shared" si="164"/>
        <v>0</v>
      </c>
      <c r="DI204" s="385">
        <f t="shared" si="165"/>
        <v>0</v>
      </c>
      <c r="DJ204" s="385">
        <f t="shared" si="166"/>
        <v>0</v>
      </c>
    </row>
    <row r="205" spans="1:130" ht="18" customHeight="1" x14ac:dyDescent="0.25">
      <c r="A205" s="1811"/>
      <c r="B205" s="1374" t="s">
        <v>757</v>
      </c>
      <c r="C205" s="678">
        <f t="shared" si="148"/>
        <v>0</v>
      </c>
      <c r="D205" s="693">
        <f t="shared" si="149"/>
        <v>0</v>
      </c>
      <c r="E205" s="694">
        <f t="shared" si="150"/>
        <v>0</v>
      </c>
      <c r="F205" s="1637"/>
      <c r="G205" s="1638"/>
      <c r="H205" s="1637"/>
      <c r="I205" s="1638"/>
      <c r="J205" s="1637"/>
      <c r="K205" s="1638"/>
      <c r="L205" s="1637"/>
      <c r="M205" s="1638"/>
      <c r="N205" s="1637"/>
      <c r="O205" s="1638"/>
      <c r="P205" s="1637"/>
      <c r="Q205" s="1638"/>
      <c r="R205" s="1637"/>
      <c r="S205" s="1638"/>
      <c r="T205" s="1637"/>
      <c r="U205" s="1638"/>
      <c r="V205" s="1637"/>
      <c r="W205" s="1638"/>
      <c r="X205" s="1637"/>
      <c r="Y205" s="1639"/>
      <c r="Z205" s="1640"/>
      <c r="AA205" s="1638"/>
      <c r="AB205" s="1637"/>
      <c r="AC205" s="1638"/>
      <c r="AD205" s="1637"/>
      <c r="AE205" s="1638"/>
      <c r="AF205" s="1637"/>
      <c r="AG205" s="1638"/>
      <c r="AH205" s="1637"/>
      <c r="AI205" s="1641"/>
      <c r="AJ205" s="376" t="str">
        <f t="shared" si="151"/>
        <v/>
      </c>
      <c r="CB205" s="381" t="str">
        <f t="shared" si="141"/>
        <v/>
      </c>
      <c r="CC205" s="381" t="str">
        <f t="shared" si="142"/>
        <v/>
      </c>
      <c r="CD205" s="381" t="str">
        <f t="shared" si="143"/>
        <v/>
      </c>
      <c r="CE205" s="381" t="str">
        <f t="shared" si="144"/>
        <v/>
      </c>
      <c r="CF205" s="381" t="str">
        <f t="shared" si="145"/>
        <v/>
      </c>
      <c r="CG205" s="381" t="str">
        <f t="shared" si="152"/>
        <v/>
      </c>
      <c r="CH205" s="381" t="str">
        <f t="shared" si="153"/>
        <v/>
      </c>
      <c r="CI205" s="381" t="str">
        <f t="shared" si="154"/>
        <v/>
      </c>
      <c r="CJ205" s="381" t="str">
        <f t="shared" si="155"/>
        <v/>
      </c>
      <c r="CK205" s="381" t="str">
        <f t="shared" si="156"/>
        <v/>
      </c>
      <c r="DA205" s="385">
        <f t="shared" si="157"/>
        <v>0</v>
      </c>
      <c r="DB205" s="385">
        <f t="shared" si="158"/>
        <v>0</v>
      </c>
      <c r="DC205" s="385">
        <f t="shared" si="159"/>
        <v>0</v>
      </c>
      <c r="DD205" s="385">
        <f t="shared" si="160"/>
        <v>0</v>
      </c>
      <c r="DE205" s="385">
        <f t="shared" si="161"/>
        <v>0</v>
      </c>
      <c r="DF205" s="385">
        <f t="shared" si="162"/>
        <v>0</v>
      </c>
      <c r="DG205" s="385">
        <f t="shared" si="163"/>
        <v>0</v>
      </c>
      <c r="DH205" s="385">
        <f t="shared" si="164"/>
        <v>0</v>
      </c>
      <c r="DI205" s="385">
        <f t="shared" si="165"/>
        <v>0</v>
      </c>
      <c r="DJ205" s="385">
        <f t="shared" si="166"/>
        <v>0</v>
      </c>
    </row>
    <row r="206" spans="1:130" ht="18" customHeight="1" x14ac:dyDescent="0.25">
      <c r="A206" s="1811"/>
      <c r="B206" s="1375" t="s">
        <v>758</v>
      </c>
      <c r="C206" s="707">
        <f t="shared" si="148"/>
        <v>0</v>
      </c>
      <c r="D206" s="1335">
        <f t="shared" si="149"/>
        <v>0</v>
      </c>
      <c r="E206" s="1234">
        <f t="shared" si="150"/>
        <v>0</v>
      </c>
      <c r="F206" s="1642"/>
      <c r="G206" s="1643"/>
      <c r="H206" s="1642"/>
      <c r="I206" s="1643"/>
      <c r="J206" s="1642"/>
      <c r="K206" s="1643"/>
      <c r="L206" s="1642"/>
      <c r="M206" s="1643"/>
      <c r="N206" s="1642"/>
      <c r="O206" s="1643"/>
      <c r="P206" s="1642"/>
      <c r="Q206" s="1643"/>
      <c r="R206" s="1642"/>
      <c r="S206" s="1643"/>
      <c r="T206" s="1642"/>
      <c r="U206" s="1643"/>
      <c r="V206" s="1642"/>
      <c r="W206" s="1643"/>
      <c r="X206" s="1642"/>
      <c r="Y206" s="1644"/>
      <c r="Z206" s="1645"/>
      <c r="AA206" s="1643"/>
      <c r="AB206" s="1642"/>
      <c r="AC206" s="1643"/>
      <c r="AD206" s="1642"/>
      <c r="AE206" s="1643"/>
      <c r="AF206" s="1642"/>
      <c r="AG206" s="1643"/>
      <c r="AH206" s="1642"/>
      <c r="AI206" s="1646"/>
      <c r="AJ206" s="376" t="str">
        <f t="shared" si="151"/>
        <v/>
      </c>
      <c r="CB206" s="381" t="str">
        <f t="shared" si="141"/>
        <v/>
      </c>
      <c r="CC206" s="381" t="str">
        <f t="shared" si="142"/>
        <v/>
      </c>
      <c r="CD206" s="381" t="str">
        <f t="shared" si="143"/>
        <v/>
      </c>
      <c r="CE206" s="381" t="str">
        <f t="shared" si="144"/>
        <v/>
      </c>
      <c r="CF206" s="381" t="str">
        <f t="shared" si="145"/>
        <v/>
      </c>
      <c r="CG206" s="381" t="str">
        <f t="shared" si="152"/>
        <v/>
      </c>
      <c r="CH206" s="381" t="str">
        <f t="shared" si="153"/>
        <v/>
      </c>
      <c r="CI206" s="381" t="str">
        <f t="shared" si="154"/>
        <v/>
      </c>
      <c r="CJ206" s="381" t="str">
        <f t="shared" si="155"/>
        <v/>
      </c>
      <c r="CK206" s="381" t="str">
        <f t="shared" si="156"/>
        <v/>
      </c>
      <c r="DA206" s="385">
        <f t="shared" si="157"/>
        <v>0</v>
      </c>
      <c r="DB206" s="385">
        <f t="shared" si="158"/>
        <v>0</v>
      </c>
      <c r="DC206" s="385">
        <f t="shared" si="159"/>
        <v>0</v>
      </c>
      <c r="DD206" s="385">
        <f t="shared" si="160"/>
        <v>0</v>
      </c>
      <c r="DE206" s="385">
        <f t="shared" si="161"/>
        <v>0</v>
      </c>
      <c r="DF206" s="385">
        <f t="shared" si="162"/>
        <v>0</v>
      </c>
      <c r="DG206" s="385">
        <f t="shared" si="163"/>
        <v>0</v>
      </c>
      <c r="DH206" s="385">
        <f t="shared" si="164"/>
        <v>0</v>
      </c>
      <c r="DI206" s="385">
        <f t="shared" si="165"/>
        <v>0</v>
      </c>
      <c r="DJ206" s="385">
        <f t="shared" si="166"/>
        <v>0</v>
      </c>
    </row>
    <row r="207" spans="1:130" ht="18" customHeight="1" x14ac:dyDescent="0.25">
      <c r="A207" s="1811"/>
      <c r="B207" s="1342" t="s">
        <v>759</v>
      </c>
      <c r="C207" s="1340">
        <f t="shared" si="148"/>
        <v>0</v>
      </c>
      <c r="D207" s="646">
        <f t="shared" si="149"/>
        <v>0</v>
      </c>
      <c r="E207" s="1316">
        <f t="shared" si="150"/>
        <v>0</v>
      </c>
      <c r="F207" s="1647"/>
      <c r="G207" s="1648"/>
      <c r="H207" s="1647"/>
      <c r="I207" s="1648"/>
      <c r="J207" s="1647"/>
      <c r="K207" s="1648"/>
      <c r="L207" s="1647"/>
      <c r="M207" s="1648"/>
      <c r="N207" s="1647"/>
      <c r="O207" s="1648"/>
      <c r="P207" s="1647"/>
      <c r="Q207" s="1648"/>
      <c r="R207" s="1647"/>
      <c r="S207" s="1648"/>
      <c r="T207" s="1647"/>
      <c r="U207" s="1648"/>
      <c r="V207" s="1647"/>
      <c r="W207" s="1648"/>
      <c r="X207" s="1647"/>
      <c r="Y207" s="1649"/>
      <c r="Z207" s="1650"/>
      <c r="AA207" s="1648"/>
      <c r="AB207" s="1647"/>
      <c r="AC207" s="1648"/>
      <c r="AD207" s="1647"/>
      <c r="AE207" s="1648"/>
      <c r="AF207" s="1647"/>
      <c r="AG207" s="1648"/>
      <c r="AH207" s="1647"/>
      <c r="AI207" s="1651"/>
      <c r="AJ207" s="376" t="str">
        <f t="shared" si="151"/>
        <v/>
      </c>
      <c r="CB207" s="381" t="str">
        <f t="shared" si="141"/>
        <v/>
      </c>
      <c r="CC207" s="381" t="str">
        <f t="shared" si="142"/>
        <v/>
      </c>
      <c r="CD207" s="381" t="str">
        <f t="shared" si="143"/>
        <v/>
      </c>
      <c r="CE207" s="381" t="str">
        <f t="shared" si="144"/>
        <v/>
      </c>
      <c r="CF207" s="381" t="str">
        <f t="shared" si="145"/>
        <v/>
      </c>
      <c r="CG207" s="381" t="str">
        <f t="shared" si="152"/>
        <v/>
      </c>
      <c r="CH207" s="381" t="str">
        <f t="shared" si="153"/>
        <v/>
      </c>
      <c r="CI207" s="381" t="str">
        <f t="shared" si="154"/>
        <v/>
      </c>
      <c r="CJ207" s="381" t="str">
        <f t="shared" si="155"/>
        <v/>
      </c>
      <c r="CK207" s="381" t="str">
        <f t="shared" si="156"/>
        <v/>
      </c>
      <c r="DA207" s="385">
        <f t="shared" si="157"/>
        <v>0</v>
      </c>
      <c r="DB207" s="385">
        <f t="shared" si="158"/>
        <v>0</v>
      </c>
      <c r="DC207" s="385">
        <f t="shared" si="159"/>
        <v>0</v>
      </c>
      <c r="DD207" s="385">
        <f t="shared" si="160"/>
        <v>0</v>
      </c>
      <c r="DE207" s="385">
        <f t="shared" si="161"/>
        <v>0</v>
      </c>
      <c r="DF207" s="385">
        <f t="shared" si="162"/>
        <v>0</v>
      </c>
      <c r="DG207" s="385">
        <f t="shared" si="163"/>
        <v>0</v>
      </c>
      <c r="DH207" s="385">
        <f t="shared" si="164"/>
        <v>0</v>
      </c>
      <c r="DI207" s="385">
        <f t="shared" si="165"/>
        <v>0</v>
      </c>
      <c r="DJ207" s="385">
        <f t="shared" si="166"/>
        <v>0</v>
      </c>
    </row>
    <row r="208" spans="1:130" ht="18" customHeight="1" x14ac:dyDescent="0.25">
      <c r="A208" s="1811"/>
      <c r="B208" s="1343" t="s">
        <v>196</v>
      </c>
      <c r="C208" s="1340">
        <f t="shared" si="148"/>
        <v>0</v>
      </c>
      <c r="D208" s="646">
        <f t="shared" si="149"/>
        <v>0</v>
      </c>
      <c r="E208" s="1316">
        <f t="shared" si="150"/>
        <v>0</v>
      </c>
      <c r="F208" s="1453">
        <f>SUM(F202:F207)</f>
        <v>0</v>
      </c>
      <c r="G208" s="1454">
        <f t="shared" ref="G208:AI208" si="167">SUM(G202:G207)</f>
        <v>0</v>
      </c>
      <c r="H208" s="1453">
        <f t="shared" si="167"/>
        <v>0</v>
      </c>
      <c r="I208" s="1454">
        <f t="shared" si="167"/>
        <v>0</v>
      </c>
      <c r="J208" s="1453">
        <f t="shared" si="167"/>
        <v>0</v>
      </c>
      <c r="K208" s="1454">
        <f t="shared" si="167"/>
        <v>0</v>
      </c>
      <c r="L208" s="1453">
        <f t="shared" si="167"/>
        <v>0</v>
      </c>
      <c r="M208" s="1454">
        <f t="shared" si="167"/>
        <v>0</v>
      </c>
      <c r="N208" s="1453">
        <f t="shared" si="167"/>
        <v>0</v>
      </c>
      <c r="O208" s="1454">
        <f t="shared" si="167"/>
        <v>0</v>
      </c>
      <c r="P208" s="1453">
        <f t="shared" si="167"/>
        <v>0</v>
      </c>
      <c r="Q208" s="1454">
        <f t="shared" si="167"/>
        <v>0</v>
      </c>
      <c r="R208" s="1453">
        <f t="shared" si="167"/>
        <v>0</v>
      </c>
      <c r="S208" s="1454">
        <f t="shared" si="167"/>
        <v>0</v>
      </c>
      <c r="T208" s="1453">
        <f t="shared" si="167"/>
        <v>0</v>
      </c>
      <c r="U208" s="1454">
        <f t="shared" si="167"/>
        <v>0</v>
      </c>
      <c r="V208" s="1453">
        <f t="shared" si="167"/>
        <v>0</v>
      </c>
      <c r="W208" s="1454">
        <f t="shared" si="167"/>
        <v>0</v>
      </c>
      <c r="X208" s="1453">
        <f t="shared" si="167"/>
        <v>0</v>
      </c>
      <c r="Y208" s="1455">
        <f t="shared" si="167"/>
        <v>0</v>
      </c>
      <c r="Z208" s="1456">
        <f t="shared" si="167"/>
        <v>0</v>
      </c>
      <c r="AA208" s="1454">
        <f t="shared" si="167"/>
        <v>0</v>
      </c>
      <c r="AB208" s="1453">
        <f t="shared" si="167"/>
        <v>0</v>
      </c>
      <c r="AC208" s="1454">
        <f t="shared" si="167"/>
        <v>0</v>
      </c>
      <c r="AD208" s="1453">
        <f t="shared" si="167"/>
        <v>0</v>
      </c>
      <c r="AE208" s="1454">
        <f t="shared" si="167"/>
        <v>0</v>
      </c>
      <c r="AF208" s="1453">
        <f t="shared" si="167"/>
        <v>0</v>
      </c>
      <c r="AG208" s="1454">
        <f t="shared" si="167"/>
        <v>0</v>
      </c>
      <c r="AH208" s="1453">
        <f t="shared" si="167"/>
        <v>0</v>
      </c>
      <c r="AI208" s="1457">
        <f t="shared" si="167"/>
        <v>0</v>
      </c>
      <c r="AJ208" s="1687"/>
      <c r="DA208" s="385"/>
      <c r="DB208" s="385"/>
      <c r="DC208" s="385"/>
      <c r="DD208" s="385"/>
      <c r="DE208" s="385"/>
      <c r="DF208" s="385"/>
      <c r="DG208" s="385"/>
      <c r="DH208" s="385"/>
      <c r="DI208" s="385"/>
      <c r="DJ208" s="385"/>
    </row>
    <row r="209" spans="1:114" ht="18" customHeight="1" x14ac:dyDescent="0.25">
      <c r="A209" s="1813" t="s">
        <v>760</v>
      </c>
      <c r="B209" s="1814"/>
      <c r="C209" s="1340">
        <f>SUM(D209:E209)</f>
        <v>0</v>
      </c>
      <c r="D209" s="646">
        <f t="shared" si="149"/>
        <v>0</v>
      </c>
      <c r="E209" s="1316">
        <f t="shared" si="150"/>
        <v>0</v>
      </c>
      <c r="F209" s="1647"/>
      <c r="G209" s="1648"/>
      <c r="H209" s="1647"/>
      <c r="I209" s="1648"/>
      <c r="J209" s="1647"/>
      <c r="K209" s="1648"/>
      <c r="L209" s="1647"/>
      <c r="M209" s="1648"/>
      <c r="N209" s="1647"/>
      <c r="O209" s="1648"/>
      <c r="P209" s="1647"/>
      <c r="Q209" s="1648"/>
      <c r="R209" s="1647"/>
      <c r="S209" s="1648"/>
      <c r="T209" s="1647"/>
      <c r="U209" s="1648"/>
      <c r="V209" s="1647"/>
      <c r="W209" s="1648"/>
      <c r="X209" s="1647"/>
      <c r="Y209" s="1649"/>
      <c r="Z209" s="1650"/>
      <c r="AA209" s="1648"/>
      <c r="AB209" s="1647"/>
      <c r="AC209" s="1648"/>
      <c r="AD209" s="1647"/>
      <c r="AE209" s="1648"/>
      <c r="AF209" s="1647"/>
      <c r="AG209" s="1648"/>
      <c r="AH209" s="1647"/>
      <c r="AI209" s="1651"/>
      <c r="AJ209" s="376" t="str">
        <f t="shared" si="151"/>
        <v/>
      </c>
      <c r="CB209" s="381" t="str">
        <f t="shared" si="141"/>
        <v/>
      </c>
      <c r="CC209" s="381" t="str">
        <f t="shared" si="142"/>
        <v/>
      </c>
      <c r="CD209" s="381" t="str">
        <f t="shared" si="143"/>
        <v/>
      </c>
      <c r="CE209" s="381" t="str">
        <f t="shared" si="144"/>
        <v/>
      </c>
      <c r="CF209" s="381" t="str">
        <f t="shared" si="145"/>
        <v/>
      </c>
      <c r="CG209" s="381" t="str">
        <f t="shared" ref="CG209" si="168">IF(DF209=1,"* La suma de las celdas de ""Pueblos Originarios"" no debe superar el Total.","")</f>
        <v/>
      </c>
      <c r="CH209" s="381" t="str">
        <f t="shared" ref="CH209" si="169">IF(DG209=1,"* La suma de las celdas de ""Población Migrante"" no debe superar el Total.","")</f>
        <v/>
      </c>
      <c r="CI209" s="381" t="str">
        <f t="shared" ref="CI209" si="170">IF(DH209=1,"* La suma de las celdas de ""Usuarios con Discapacidad"" no debe superar el Total.","")</f>
        <v/>
      </c>
      <c r="CJ209" s="381" t="str">
        <f t="shared" ref="CJ209" si="171">IF(DI209=1,"* La suma de las celdas de ""NNA Red Mejor Niñez"" no debe superar el Total.","")</f>
        <v/>
      </c>
      <c r="CK209" s="381" t="str">
        <f t="shared" ref="CK209" si="172">IF(DJ209=1,"* La suma de las celdas de ""NNA Red SENAME"" no debe superar el Total.","")</f>
        <v/>
      </c>
      <c r="DA209" s="385">
        <f t="shared" ref="DA209" si="173">IF(AND($C209&lt;&gt;0,OR(Z209="",AA209="")),1,0)</f>
        <v>0</v>
      </c>
      <c r="DB209" s="385">
        <f t="shared" ref="DB209" si="174">IF(AND($C209&lt;&gt;0,OR(AB209="",AC209="")),1,0)</f>
        <v>0</v>
      </c>
      <c r="DC209" s="385">
        <f t="shared" ref="DC209" si="175">IF(AND($C209&lt;&gt;0,OR(AD209="",AE209="")),1,0)</f>
        <v>0</v>
      </c>
      <c r="DD209" s="385">
        <f t="shared" ref="DD209" si="176">IF(AND($C209&lt;&gt;0,OR(AF209="",AG209="")),1,0)</f>
        <v>0</v>
      </c>
      <c r="DE209" s="385">
        <f t="shared" ref="DE209" si="177">IF(AND($C209&lt;&gt;0,OR(AH209="",AI209="")),1,0)</f>
        <v>0</v>
      </c>
      <c r="DF209" s="385">
        <f t="shared" si="162"/>
        <v>0</v>
      </c>
      <c r="DG209" s="385">
        <f t="shared" si="163"/>
        <v>0</v>
      </c>
      <c r="DH209" s="385">
        <f t="shared" si="164"/>
        <v>0</v>
      </c>
      <c r="DI209" s="385">
        <f t="shared" si="165"/>
        <v>0</v>
      </c>
      <c r="DJ209" s="385">
        <f t="shared" si="166"/>
        <v>0</v>
      </c>
    </row>
    <row r="215" spans="1:114" hidden="1" x14ac:dyDescent="0.25">
      <c r="A215" s="1623">
        <f>SUM(C11:C39,C44:C73,C77:C100,C104:C107,C111:C112,C121,C130,C136,C141:C185,C190,C198,C201,C208,C209)</f>
        <v>0</v>
      </c>
      <c r="B215" s="1028" t="s">
        <v>317</v>
      </c>
    </row>
    <row r="216" spans="1:114" hidden="1" x14ac:dyDescent="0.25">
      <c r="A216" s="1623">
        <f>SUM(DA$10:DZ209)</f>
        <v>0</v>
      </c>
      <c r="B216" s="1028" t="s">
        <v>318</v>
      </c>
    </row>
  </sheetData>
  <sheetProtection algorithmName="SHA-512" hashValue="OID4rvsYvAtMlmjoADUqEAyevQixTZRudcBVhg3YcUYYPYeFctyRIkluy4xK5SbD7toaYHjBK33zSMr7oLdFDg==" saltValue="ZE99pGmq7WzFaNkQAwVhBQ==" spinCount="100000" sheet="1" objects="1" scenarios="1"/>
  <dataConsolidate/>
  <mergeCells count="211">
    <mergeCell ref="A73:B73"/>
    <mergeCell ref="A64:A72"/>
    <mergeCell ref="A142:B142"/>
    <mergeCell ref="J124:K124"/>
    <mergeCell ref="F139:G139"/>
    <mergeCell ref="H139:I139"/>
    <mergeCell ref="J139:K139"/>
    <mergeCell ref="L139:M139"/>
    <mergeCell ref="N139:O139"/>
    <mergeCell ref="F123:K123"/>
    <mergeCell ref="L123:L125"/>
    <mergeCell ref="F124:G124"/>
    <mergeCell ref="H124:I124"/>
    <mergeCell ref="E102:E103"/>
    <mergeCell ref="D102:D103"/>
    <mergeCell ref="A136:B136"/>
    <mergeCell ref="A135:B135"/>
    <mergeCell ref="A134:B134"/>
    <mergeCell ref="A132:B133"/>
    <mergeCell ref="A129:B129"/>
    <mergeCell ref="A104:A107"/>
    <mergeCell ref="A76:B76"/>
    <mergeCell ref="A95:A100"/>
    <mergeCell ref="A128:B128"/>
    <mergeCell ref="AT138:AU139"/>
    <mergeCell ref="AH139:AI139"/>
    <mergeCell ref="AN139:AO139"/>
    <mergeCell ref="AP139:AQ139"/>
    <mergeCell ref="AF139:AG139"/>
    <mergeCell ref="T139:U139"/>
    <mergeCell ref="V139:W139"/>
    <mergeCell ref="X139:Y139"/>
    <mergeCell ref="Z139:AA139"/>
    <mergeCell ref="AB139:AC139"/>
    <mergeCell ref="AD139:AE139"/>
    <mergeCell ref="AJ139:AK139"/>
    <mergeCell ref="AL139:AM139"/>
    <mergeCell ref="F138:AQ138"/>
    <mergeCell ref="AR138:AS139"/>
    <mergeCell ref="P139:Q139"/>
    <mergeCell ref="R139:S139"/>
    <mergeCell ref="A40:M40"/>
    <mergeCell ref="A18:A23"/>
    <mergeCell ref="A11:B11"/>
    <mergeCell ref="A12:A17"/>
    <mergeCell ref="A24:A30"/>
    <mergeCell ref="A6:X6"/>
    <mergeCell ref="P9:Q9"/>
    <mergeCell ref="R9:S9"/>
    <mergeCell ref="H9:I9"/>
    <mergeCell ref="J9:K9"/>
    <mergeCell ref="L9:M9"/>
    <mergeCell ref="A8:B10"/>
    <mergeCell ref="F9:G9"/>
    <mergeCell ref="N9:O9"/>
    <mergeCell ref="C8:E9"/>
    <mergeCell ref="T9:U9"/>
    <mergeCell ref="A39:B39"/>
    <mergeCell ref="F8:AE8"/>
    <mergeCell ref="N42:O42"/>
    <mergeCell ref="A53:A59"/>
    <mergeCell ref="A60:A63"/>
    <mergeCell ref="R42:S42"/>
    <mergeCell ref="A41:B43"/>
    <mergeCell ref="P42:Q42"/>
    <mergeCell ref="H42:I42"/>
    <mergeCell ref="J42:K42"/>
    <mergeCell ref="L42:M42"/>
    <mergeCell ref="F41:S41"/>
    <mergeCell ref="A44:B44"/>
    <mergeCell ref="A45:A52"/>
    <mergeCell ref="C41:E42"/>
    <mergeCell ref="F42:G42"/>
    <mergeCell ref="K102:K103"/>
    <mergeCell ref="H102:H103"/>
    <mergeCell ref="J102:J103"/>
    <mergeCell ref="A74:T74"/>
    <mergeCell ref="M102:M103"/>
    <mergeCell ref="N102:N103"/>
    <mergeCell ref="A83:A88"/>
    <mergeCell ref="A77:A82"/>
    <mergeCell ref="L102:L103"/>
    <mergeCell ref="G102:G103"/>
    <mergeCell ref="F102:F103"/>
    <mergeCell ref="A89:A94"/>
    <mergeCell ref="A102:B103"/>
    <mergeCell ref="C102:C103"/>
    <mergeCell ref="I102:I103"/>
    <mergeCell ref="C132:C133"/>
    <mergeCell ref="D132:I132"/>
    <mergeCell ref="A111:B111"/>
    <mergeCell ref="A109:B110"/>
    <mergeCell ref="A121:B121"/>
    <mergeCell ref="A130:B130"/>
    <mergeCell ref="A187:B189"/>
    <mergeCell ref="A168:B168"/>
    <mergeCell ref="A172:B172"/>
    <mergeCell ref="A149:B149"/>
    <mergeCell ref="A120:B120"/>
    <mergeCell ref="A117:B117"/>
    <mergeCell ref="A123:B125"/>
    <mergeCell ref="A126:B126"/>
    <mergeCell ref="A144:B144"/>
    <mergeCell ref="A143:B143"/>
    <mergeCell ref="A145:B145"/>
    <mergeCell ref="A146:B146"/>
    <mergeCell ref="A147:B147"/>
    <mergeCell ref="A148:B148"/>
    <mergeCell ref="A138:B140"/>
    <mergeCell ref="C138:E139"/>
    <mergeCell ref="A141:B141"/>
    <mergeCell ref="A158:B158"/>
    <mergeCell ref="A127:B127"/>
    <mergeCell ref="C109:C110"/>
    <mergeCell ref="A116:B116"/>
    <mergeCell ref="A119:B119"/>
    <mergeCell ref="C114:C115"/>
    <mergeCell ref="A118:B118"/>
    <mergeCell ref="A114:B115"/>
    <mergeCell ref="A112:B112"/>
    <mergeCell ref="C123:E124"/>
    <mergeCell ref="AR187:AS188"/>
    <mergeCell ref="AT187:AU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88:AM188"/>
    <mergeCell ref="AN188:AO188"/>
    <mergeCell ref="AP188:AQ188"/>
    <mergeCell ref="F187:AQ187"/>
    <mergeCell ref="A163:B163"/>
    <mergeCell ref="A157:B157"/>
    <mergeCell ref="C195:E196"/>
    <mergeCell ref="F195:Y195"/>
    <mergeCell ref="Z195:AA196"/>
    <mergeCell ref="AB195:AC196"/>
    <mergeCell ref="A185:B185"/>
    <mergeCell ref="A152:B152"/>
    <mergeCell ref="A153:B153"/>
    <mergeCell ref="A177:B177"/>
    <mergeCell ref="A156:B156"/>
    <mergeCell ref="A171:B171"/>
    <mergeCell ref="A184:B184"/>
    <mergeCell ref="A155:B155"/>
    <mergeCell ref="A170:B170"/>
    <mergeCell ref="A174:B174"/>
    <mergeCell ref="C187:E188"/>
    <mergeCell ref="A173:B173"/>
    <mergeCell ref="A164:B164"/>
    <mergeCell ref="A166:B166"/>
    <mergeCell ref="A199:A201"/>
    <mergeCell ref="A202:A208"/>
    <mergeCell ref="A209:B209"/>
    <mergeCell ref="A162:B162"/>
    <mergeCell ref="A151:B151"/>
    <mergeCell ref="A169:B169"/>
    <mergeCell ref="A178:B178"/>
    <mergeCell ref="A160:B160"/>
    <mergeCell ref="A154:B154"/>
    <mergeCell ref="A159:B159"/>
    <mergeCell ref="A180:B180"/>
    <mergeCell ref="A181:B181"/>
    <mergeCell ref="A182:B182"/>
    <mergeCell ref="A183:B183"/>
    <mergeCell ref="A161:B161"/>
    <mergeCell ref="A175:B175"/>
    <mergeCell ref="A176:B176"/>
    <mergeCell ref="A195:B197"/>
    <mergeCell ref="A190:B190"/>
    <mergeCell ref="A191:B191"/>
    <mergeCell ref="A192:B192"/>
    <mergeCell ref="A193:B193"/>
    <mergeCell ref="A179:B179"/>
    <mergeCell ref="A165:B165"/>
    <mergeCell ref="AF8:AG9"/>
    <mergeCell ref="AH8:AI9"/>
    <mergeCell ref="V9:W9"/>
    <mergeCell ref="X9:Y9"/>
    <mergeCell ref="Z9:AA9"/>
    <mergeCell ref="AB9:AC9"/>
    <mergeCell ref="AD9:AE9"/>
    <mergeCell ref="A31:A38"/>
    <mergeCell ref="A198:B198"/>
    <mergeCell ref="AD195:AE196"/>
    <mergeCell ref="AF195:AG196"/>
    <mergeCell ref="AH195:AI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A150:B150"/>
    <mergeCell ref="A167:B167"/>
  </mergeCells>
  <dataValidations count="2">
    <dataValidation allowBlank="1" showInputMessage="1" showErrorMessage="1" errorTitle="Error de ingreso" error="Debe ingresar sólo números enteros positivos." sqref="AJ11:AJ39 A215:B216" xr:uid="{F9DC8B12-7CF7-45D1-A4EC-4B28B7C8141C}"/>
    <dataValidation type="whole" operator="greaterThanOrEqual" allowBlank="1" showInputMessage="1" showErrorMessage="1" sqref="F11:AI30 H31:AI38 F39:AI39 F44:S73 D77:G100 D104:K106 L105:N106 M104:N104 C111:C112 C116:C120 F126:L129 D134:I135 F199:AI209 F191:AU193 F141:AU185" xr:uid="{462B5F2E-D166-4F61-B74D-32C5C0E580C0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CP89"/>
  <sheetViews>
    <sheetView showGridLines="0" zoomScaleNormal="100" workbookViewId="0">
      <selection activeCell="A7" sqref="A7:Y7"/>
    </sheetView>
  </sheetViews>
  <sheetFormatPr baseColWidth="10" defaultColWidth="11.42578125" defaultRowHeight="15" x14ac:dyDescent="0.25"/>
  <cols>
    <col min="1" max="2" width="33.5703125" style="180" customWidth="1"/>
    <col min="3" max="3" width="16.85546875" style="180" customWidth="1"/>
    <col min="4" max="4" width="14.28515625" style="180" customWidth="1"/>
    <col min="5" max="5" width="12.85546875" style="180" customWidth="1"/>
    <col min="6" max="6" width="13.85546875" style="180" customWidth="1"/>
    <col min="7" max="7" width="12.28515625" style="180" customWidth="1"/>
    <col min="8" max="9" width="12.140625" style="180" customWidth="1"/>
    <col min="10" max="10" width="12.85546875" style="180" customWidth="1"/>
    <col min="11" max="11" width="11.7109375" style="180" customWidth="1"/>
    <col min="12" max="12" width="10.5703125" style="180" customWidth="1"/>
    <col min="13" max="39" width="9.85546875" style="180" customWidth="1"/>
    <col min="40" max="40" width="11.42578125" style="180"/>
    <col min="41" max="41" width="11.42578125" style="57"/>
    <col min="42" max="42" width="11.42578125" style="180"/>
    <col min="43" max="45" width="11.28515625" style="180" customWidth="1"/>
    <col min="46" max="50" width="11.42578125" style="180" customWidth="1"/>
    <col min="51" max="51" width="11" style="180" customWidth="1"/>
    <col min="52" max="52" width="11" style="308" customWidth="1"/>
    <col min="53" max="67" width="11.42578125" style="1050" customWidth="1"/>
    <col min="68" max="68" width="11" style="308" customWidth="1"/>
    <col min="69" max="69" width="11" style="180" customWidth="1"/>
    <col min="70" max="78" width="11.42578125" style="180" customWidth="1"/>
    <col min="79" max="93" width="11" style="387" hidden="1" customWidth="1"/>
    <col min="94" max="130" width="11.42578125" style="180" customWidth="1"/>
    <col min="131" max="16384" width="11.42578125" style="180"/>
  </cols>
  <sheetData>
    <row r="1" spans="1:93" s="57" customFormat="1" ht="13.5" customHeight="1" x14ac:dyDescent="0.15">
      <c r="A1" s="125" t="s">
        <v>0</v>
      </c>
      <c r="AZ1" s="326"/>
      <c r="BP1" s="326"/>
      <c r="CA1" s="325"/>
      <c r="CB1" s="325"/>
      <c r="CC1" s="325"/>
      <c r="CD1" s="325"/>
      <c r="CE1" s="325"/>
      <c r="CF1" s="325"/>
      <c r="CG1" s="325"/>
      <c r="CH1" s="325"/>
      <c r="CI1" s="325"/>
      <c r="CJ1" s="325"/>
      <c r="CK1" s="325"/>
      <c r="CL1" s="325"/>
      <c r="CM1" s="325"/>
      <c r="CN1" s="325"/>
      <c r="CO1" s="325"/>
    </row>
    <row r="2" spans="1:93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AZ2" s="326"/>
      <c r="BP2" s="326"/>
      <c r="CA2" s="325"/>
      <c r="CB2" s="325"/>
      <c r="CC2" s="325"/>
      <c r="CD2" s="325"/>
      <c r="CE2" s="325"/>
      <c r="CF2" s="325"/>
      <c r="CG2" s="325"/>
      <c r="CH2" s="325"/>
      <c r="CI2" s="325"/>
      <c r="CJ2" s="325"/>
      <c r="CK2" s="325"/>
      <c r="CL2" s="325"/>
      <c r="CM2" s="325"/>
      <c r="CN2" s="325"/>
      <c r="CO2" s="325"/>
    </row>
    <row r="3" spans="1:93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  <c r="AZ3" s="326"/>
      <c r="BP3" s="326"/>
      <c r="CA3" s="325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</row>
    <row r="4" spans="1:93" s="57" customFormat="1" ht="13.5" customHeight="1" x14ac:dyDescent="0.15">
      <c r="A4" s="125" t="str">
        <f>CONCATENATE("MES: ",NOMBRE!$B$6," - ","( ",NOMBRE!$C$6,NOMBRE!$D$6," )")</f>
        <v>MES:  - (  )</v>
      </c>
      <c r="AZ4" s="326"/>
      <c r="BP4" s="326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</row>
    <row r="5" spans="1:93" s="57" customFormat="1" ht="13.5" customHeight="1" x14ac:dyDescent="0.15">
      <c r="A5" s="125" t="str">
        <f>CONCATENATE("AÑO: ",NOMBRE!$B$7)</f>
        <v>AÑO: 2023</v>
      </c>
      <c r="AZ5" s="326"/>
      <c r="BP5" s="326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</row>
    <row r="6" spans="1:93" s="57" customFormat="1" ht="15" customHeight="1" x14ac:dyDescent="0.15">
      <c r="A6" s="125"/>
      <c r="AZ6" s="326"/>
      <c r="BP6" s="326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</row>
    <row r="7" spans="1:93" ht="21.75" customHeight="1" x14ac:dyDescent="0.25">
      <c r="A7" s="2021" t="s">
        <v>532</v>
      </c>
      <c r="B7" s="2021"/>
      <c r="C7" s="2021"/>
      <c r="D7" s="2021"/>
      <c r="E7" s="2021"/>
      <c r="F7" s="2021"/>
      <c r="G7" s="2021"/>
      <c r="H7" s="2021"/>
      <c r="I7" s="2021"/>
      <c r="J7" s="2021"/>
      <c r="K7" s="2021"/>
      <c r="L7" s="2021"/>
      <c r="M7" s="2021"/>
      <c r="N7" s="2021"/>
      <c r="O7" s="2021"/>
      <c r="P7" s="2021"/>
      <c r="Q7" s="2021"/>
      <c r="R7" s="2021"/>
      <c r="S7" s="2021"/>
      <c r="T7" s="2021"/>
      <c r="U7" s="2021"/>
      <c r="V7" s="2021"/>
      <c r="W7" s="2021"/>
      <c r="X7" s="2021"/>
      <c r="Y7" s="2021"/>
    </row>
    <row r="8" spans="1:93" ht="43.5" customHeight="1" x14ac:dyDescent="0.25">
      <c r="A8" s="475" t="s">
        <v>559</v>
      </c>
      <c r="B8" s="475"/>
      <c r="C8" s="474"/>
      <c r="D8" s="127"/>
      <c r="E8" s="127"/>
      <c r="F8" s="127"/>
      <c r="G8" s="127"/>
      <c r="H8" s="127"/>
      <c r="I8" s="127"/>
      <c r="J8" s="127"/>
      <c r="K8" s="128"/>
      <c r="L8" s="127"/>
      <c r="M8" s="127"/>
      <c r="N8" s="129"/>
      <c r="O8" s="129"/>
      <c r="AC8" s="388"/>
    </row>
    <row r="9" spans="1:93" ht="18.75" customHeight="1" x14ac:dyDescent="0.25">
      <c r="A9" s="2022" t="s">
        <v>125</v>
      </c>
      <c r="B9" s="2022"/>
      <c r="C9" s="1829" t="s">
        <v>13</v>
      </c>
      <c r="D9" s="1830"/>
      <c r="E9" s="1831"/>
      <c r="F9" s="1977" t="s">
        <v>126</v>
      </c>
      <c r="G9" s="1977"/>
      <c r="H9" s="1977"/>
      <c r="I9" s="1977"/>
      <c r="J9" s="1977"/>
      <c r="K9" s="1977"/>
      <c r="L9" s="1977"/>
      <c r="M9" s="1977"/>
      <c r="N9" s="1977"/>
      <c r="O9" s="1977"/>
      <c r="P9" s="1977"/>
      <c r="Q9" s="1977"/>
      <c r="R9" s="1977"/>
      <c r="S9" s="1977"/>
      <c r="T9" s="1977"/>
      <c r="U9" s="1977"/>
      <c r="V9" s="1977"/>
      <c r="W9" s="1977"/>
      <c r="X9" s="1977"/>
      <c r="Y9" s="1977"/>
      <c r="Z9" s="1977"/>
      <c r="AA9" s="1977"/>
      <c r="AB9" s="1977"/>
      <c r="AC9" s="1977"/>
      <c r="AD9" s="1977"/>
      <c r="AE9" s="1977"/>
      <c r="AF9" s="1977"/>
      <c r="AG9" s="1977"/>
      <c r="AH9" s="1977"/>
      <c r="AI9" s="1977"/>
      <c r="AJ9" s="1977"/>
      <c r="AK9" s="1977"/>
      <c r="AL9" s="1977"/>
      <c r="AM9" s="1965"/>
      <c r="AN9" s="1972" t="s">
        <v>127</v>
      </c>
      <c r="AO9" s="2015" t="s">
        <v>15</v>
      </c>
      <c r="AP9" s="2016"/>
      <c r="AQ9" s="1961" t="s">
        <v>689</v>
      </c>
      <c r="AR9" s="1962"/>
    </row>
    <row r="10" spans="1:93" ht="20.25" customHeight="1" x14ac:dyDescent="0.25">
      <c r="A10" s="2023"/>
      <c r="B10" s="2023"/>
      <c r="C10" s="1832"/>
      <c r="D10" s="1833"/>
      <c r="E10" s="1834"/>
      <c r="F10" s="1975" t="s">
        <v>206</v>
      </c>
      <c r="G10" s="1976"/>
      <c r="H10" s="1975" t="s">
        <v>207</v>
      </c>
      <c r="I10" s="1976"/>
      <c r="J10" s="1975" t="s">
        <v>128</v>
      </c>
      <c r="K10" s="1976"/>
      <c r="L10" s="1967" t="s">
        <v>17</v>
      </c>
      <c r="M10" s="1967"/>
      <c r="N10" s="1967" t="s">
        <v>18</v>
      </c>
      <c r="O10" s="1967"/>
      <c r="P10" s="1967" t="s">
        <v>19</v>
      </c>
      <c r="Q10" s="1967"/>
      <c r="R10" s="1968" t="s">
        <v>20</v>
      </c>
      <c r="S10" s="1969"/>
      <c r="T10" s="1967" t="s">
        <v>21</v>
      </c>
      <c r="U10" s="1967"/>
      <c r="V10" s="1968" t="s">
        <v>22</v>
      </c>
      <c r="W10" s="1969"/>
      <c r="X10" s="1967" t="s">
        <v>23</v>
      </c>
      <c r="Y10" s="1967"/>
      <c r="Z10" s="1968" t="s">
        <v>24</v>
      </c>
      <c r="AA10" s="1969"/>
      <c r="AB10" s="1967" t="s">
        <v>208</v>
      </c>
      <c r="AC10" s="1967"/>
      <c r="AD10" s="1968" t="s">
        <v>209</v>
      </c>
      <c r="AE10" s="1969"/>
      <c r="AF10" s="1970" t="s">
        <v>181</v>
      </c>
      <c r="AG10" s="1971"/>
      <c r="AH10" s="1970" t="s">
        <v>182</v>
      </c>
      <c r="AI10" s="1971"/>
      <c r="AJ10" s="1970" t="s">
        <v>183</v>
      </c>
      <c r="AK10" s="1971"/>
      <c r="AL10" s="1970" t="s">
        <v>195</v>
      </c>
      <c r="AM10" s="1978"/>
      <c r="AN10" s="1973"/>
      <c r="AO10" s="2017"/>
      <c r="AP10" s="2018"/>
      <c r="AQ10" s="1963"/>
      <c r="AR10" s="1964"/>
    </row>
    <row r="11" spans="1:93" ht="44.25" customHeight="1" x14ac:dyDescent="0.25">
      <c r="A11" s="2023"/>
      <c r="B11" s="2023"/>
      <c r="C11" s="130" t="s">
        <v>93</v>
      </c>
      <c r="D11" s="131" t="s">
        <v>31</v>
      </c>
      <c r="E11" s="132" t="s">
        <v>94</v>
      </c>
      <c r="F11" s="133" t="s">
        <v>31</v>
      </c>
      <c r="G11" s="132" t="s">
        <v>94</v>
      </c>
      <c r="H11" s="133" t="s">
        <v>31</v>
      </c>
      <c r="I11" s="132" t="s">
        <v>94</v>
      </c>
      <c r="J11" s="133" t="s">
        <v>31</v>
      </c>
      <c r="K11" s="132" t="s">
        <v>94</v>
      </c>
      <c r="L11" s="134" t="s">
        <v>31</v>
      </c>
      <c r="M11" s="135" t="s">
        <v>94</v>
      </c>
      <c r="N11" s="134" t="s">
        <v>31</v>
      </c>
      <c r="O11" s="135" t="s">
        <v>94</v>
      </c>
      <c r="P11" s="134" t="s">
        <v>31</v>
      </c>
      <c r="Q11" s="135" t="s">
        <v>94</v>
      </c>
      <c r="R11" s="389" t="s">
        <v>31</v>
      </c>
      <c r="S11" s="390" t="s">
        <v>94</v>
      </c>
      <c r="T11" s="134" t="s">
        <v>31</v>
      </c>
      <c r="U11" s="135" t="s">
        <v>94</v>
      </c>
      <c r="V11" s="389" t="s">
        <v>31</v>
      </c>
      <c r="W11" s="390" t="s">
        <v>94</v>
      </c>
      <c r="X11" s="134" t="s">
        <v>31</v>
      </c>
      <c r="Y11" s="135" t="s">
        <v>94</v>
      </c>
      <c r="Z11" s="389" t="s">
        <v>31</v>
      </c>
      <c r="AA11" s="390" t="s">
        <v>94</v>
      </c>
      <c r="AB11" s="134" t="s">
        <v>31</v>
      </c>
      <c r="AC11" s="135" t="s">
        <v>94</v>
      </c>
      <c r="AD11" s="389" t="s">
        <v>31</v>
      </c>
      <c r="AE11" s="390" t="s">
        <v>94</v>
      </c>
      <c r="AF11" s="136" t="s">
        <v>129</v>
      </c>
      <c r="AG11" s="137" t="s">
        <v>94</v>
      </c>
      <c r="AH11" s="136" t="s">
        <v>129</v>
      </c>
      <c r="AI11" s="137" t="s">
        <v>94</v>
      </c>
      <c r="AJ11" s="136" t="s">
        <v>129</v>
      </c>
      <c r="AK11" s="137" t="s">
        <v>94</v>
      </c>
      <c r="AL11" s="136" t="s">
        <v>129</v>
      </c>
      <c r="AM11" s="138" t="s">
        <v>94</v>
      </c>
      <c r="AN11" s="1974"/>
      <c r="AO11" s="1361" t="s">
        <v>129</v>
      </c>
      <c r="AP11" s="1362" t="s">
        <v>94</v>
      </c>
      <c r="AQ11" s="177" t="s">
        <v>129</v>
      </c>
      <c r="AR11" s="137" t="s">
        <v>94</v>
      </c>
      <c r="CI11" s="385"/>
      <c r="CJ11" s="385"/>
      <c r="CK11" s="385"/>
      <c r="CL11" s="385"/>
      <c r="CM11" s="385"/>
      <c r="CN11" s="385"/>
      <c r="CO11" s="385"/>
    </row>
    <row r="12" spans="1:93" ht="15" customHeight="1" x14ac:dyDescent="0.25">
      <c r="A12" s="1986" t="s">
        <v>130</v>
      </c>
      <c r="B12" s="980" t="s">
        <v>112</v>
      </c>
      <c r="C12" s="714">
        <f>SUM(D12:E12)</f>
        <v>0</v>
      </c>
      <c r="D12" s="729">
        <f>+F12</f>
        <v>0</v>
      </c>
      <c r="E12" s="730">
        <f>+G12</f>
        <v>0</v>
      </c>
      <c r="F12" s="731"/>
      <c r="G12" s="732"/>
      <c r="H12" s="776"/>
      <c r="I12" s="777"/>
      <c r="J12" s="776"/>
      <c r="K12" s="777"/>
      <c r="L12" s="776"/>
      <c r="M12" s="777"/>
      <c r="N12" s="776"/>
      <c r="O12" s="777"/>
      <c r="P12" s="776"/>
      <c r="Q12" s="777"/>
      <c r="R12" s="776"/>
      <c r="S12" s="777"/>
      <c r="T12" s="776"/>
      <c r="U12" s="777"/>
      <c r="V12" s="776"/>
      <c r="W12" s="777"/>
      <c r="X12" s="776"/>
      <c r="Y12" s="777"/>
      <c r="Z12" s="776"/>
      <c r="AA12" s="777"/>
      <c r="AB12" s="776"/>
      <c r="AC12" s="777"/>
      <c r="AD12" s="776"/>
      <c r="AE12" s="777"/>
      <c r="AF12" s="776"/>
      <c r="AG12" s="777"/>
      <c r="AH12" s="776"/>
      <c r="AI12" s="777"/>
      <c r="AJ12" s="776"/>
      <c r="AK12" s="777"/>
      <c r="AL12" s="776"/>
      <c r="AM12" s="984"/>
      <c r="AN12" s="733"/>
      <c r="AO12" s="750"/>
      <c r="AP12" s="732"/>
      <c r="AQ12" s="750"/>
      <c r="AR12" s="732"/>
      <c r="AS12" s="1688" t="str">
        <f>CA12&amp;CB12&amp;CC12&amp;CD12&amp;CE12&amp;CF12&amp;CG12&amp;CH12</f>
        <v/>
      </c>
      <c r="AT12" s="1050"/>
      <c r="AU12" s="1050"/>
      <c r="AV12" s="1050"/>
      <c r="AW12" s="1050"/>
      <c r="AX12" s="1050"/>
      <c r="AY12" s="1050"/>
      <c r="AZ12" s="1050"/>
      <c r="CA12" s="381" t="str">
        <f>IF($AN12&lt;=$F12+$G12,"","* La Población bajo control con Espirometría Vigente no debe ser mayor al Total de Población en Control. ")</f>
        <v/>
      </c>
      <c r="CB12" s="381" t="str">
        <f>IF($C12&gt;=$AO12+$AP12,"","* La Población perteneciente a Pueblos Originarios no debe ser mayor al Total de Población en Control. ")</f>
        <v/>
      </c>
      <c r="CC12" s="381" t="str">
        <f>IF($C12&gt;=$AQ12+$AR12,"","* La Población Migrantes no debe ser mayor al Total de Población en Control. ")</f>
        <v/>
      </c>
      <c r="CD12" s="381" t="str">
        <f>IF(AND(C12&lt;&gt;0,AO12=""),"* No olvide escribir en la celda de Pueblos Originarios (Digite CERO si no tiene). ",IF(AND(D12&lt;&gt;0,AP12=""),"* No olvide escribir en la celda de Pueblos Originarios (Digite CERO si no tiene). ",""))</f>
        <v/>
      </c>
      <c r="CE12" s="381" t="str">
        <f>IF(AND(D12&lt;&gt;0,AQ12=""),"* No olvide escribir en la celda de Población Migrantes (Digite CERO si no tiene). ",IF(AND(E12&lt;&gt;0,AR12=""),"* No olvide escribir en la celda de Población Migrantes (Digite CERO si no tiene). ",""))</f>
        <v/>
      </c>
      <c r="CI12" s="391">
        <f>IF($AN12&lt;=$F12+$G12,0,1)</f>
        <v>0</v>
      </c>
      <c r="CJ12" s="391">
        <f>IF($C12&gt;=$AO12+$AP12,0,1)</f>
        <v>0</v>
      </c>
      <c r="CK12" s="391">
        <f>IF($C12&gt;=$AQ12+$AR12,0,1)</f>
        <v>0</v>
      </c>
      <c r="CL12" s="391">
        <f>IF(AND(C12&lt;&gt;0,AO12=""),1,IF(AND(D12&lt;&gt;0,AP12=""),1,0))</f>
        <v>0</v>
      </c>
      <c r="CM12" s="391">
        <f>IF(AND(D12&lt;&gt;0,AQ12=""),1,IF(AND(E12&lt;&gt;0,AR12=""),1,0))</f>
        <v>0</v>
      </c>
      <c r="CN12" s="385"/>
      <c r="CO12" s="385"/>
    </row>
    <row r="13" spans="1:93" ht="15" customHeight="1" x14ac:dyDescent="0.25">
      <c r="A13" s="1987"/>
      <c r="B13" s="139" t="s">
        <v>113</v>
      </c>
      <c r="C13" s="722">
        <f t="shared" ref="C13:C36" si="0">SUM(D13:E13)</f>
        <v>0</v>
      </c>
      <c r="D13" s="734">
        <f>+F13</f>
        <v>0</v>
      </c>
      <c r="E13" s="718">
        <f t="shared" ref="D13:E14" si="1">+G13</f>
        <v>0</v>
      </c>
      <c r="F13" s="735"/>
      <c r="G13" s="736"/>
      <c r="H13" s="932"/>
      <c r="I13" s="933"/>
      <c r="J13" s="779"/>
      <c r="K13" s="780"/>
      <c r="L13" s="932"/>
      <c r="M13" s="933"/>
      <c r="N13" s="932"/>
      <c r="O13" s="933"/>
      <c r="P13" s="932"/>
      <c r="Q13" s="933"/>
      <c r="R13" s="932"/>
      <c r="S13" s="933"/>
      <c r="T13" s="932"/>
      <c r="U13" s="933"/>
      <c r="V13" s="932"/>
      <c r="W13" s="933"/>
      <c r="X13" s="932"/>
      <c r="Y13" s="933"/>
      <c r="Z13" s="932"/>
      <c r="AA13" s="933"/>
      <c r="AB13" s="932"/>
      <c r="AC13" s="933"/>
      <c r="AD13" s="932"/>
      <c r="AE13" s="933"/>
      <c r="AF13" s="932"/>
      <c r="AG13" s="933"/>
      <c r="AH13" s="932"/>
      <c r="AI13" s="933"/>
      <c r="AJ13" s="932"/>
      <c r="AK13" s="933"/>
      <c r="AL13" s="932"/>
      <c r="AM13" s="985"/>
      <c r="AN13" s="737"/>
      <c r="AO13" s="792"/>
      <c r="AP13" s="736"/>
      <c r="AQ13" s="792"/>
      <c r="AR13" s="736"/>
      <c r="AS13" s="376" t="str">
        <f t="shared" ref="AS13:AS41" si="2">CA13&amp;CB13&amp;CC13&amp;CD13&amp;CE13&amp;CF13&amp;CG13&amp;CH13</f>
        <v/>
      </c>
      <c r="CA13" s="381" t="str">
        <f>IF($AN13&lt;=$F13+$G13,"","* La Población bajo control con Espirometría Vigente no debe ser mayor al Total de Población en Control. ")</f>
        <v/>
      </c>
      <c r="CB13" s="381" t="str">
        <f t="shared" ref="CB13:CB41" si="3">IF($C13&gt;=$AO13+$AP13,"","* La Población perteneciente a Pueblos Originarios no debe ser mayor al Total de Población en Control. ")</f>
        <v/>
      </c>
      <c r="CC13" s="381" t="str">
        <f t="shared" ref="CC13:CC41" si="4">IF($C13&gt;=$AQ13+$AR13,"","* La Población Migrantes no debe ser mayor al Total de Población en Control. ")</f>
        <v/>
      </c>
      <c r="CD13" s="381" t="str">
        <f t="shared" ref="CD13:CD41" si="5">IF(AND(C13&lt;&gt;0,AO13=""),"* No olvide escribir en la celda de Pueblos Originarios (Digite CERO si no tiene). ",IF(AND(D13&lt;&gt;0,AP13=""),"* No olvide escribir en la celda de Pueblos Originarios (Digite CERO si no tiene). ",""))</f>
        <v/>
      </c>
      <c r="CE13" s="381" t="str">
        <f t="shared" ref="CE13:CE41" si="6">IF(AND(D13&lt;&gt;0,AQ13=""),"* No olvide escribir en la celda de Población Migrantes (Digite CERO si no tiene). ",IF(AND(E13&lt;&gt;0,AR13=""),"* No olvide escribir en la celda de Población Migrantes (Digite CERO si no tiene). ",""))</f>
        <v/>
      </c>
      <c r="CI13" s="391">
        <f>IF($AN13&lt;=$F13+$G13,0,1)</f>
        <v>0</v>
      </c>
      <c r="CJ13" s="391">
        <f t="shared" ref="CJ13:CJ41" si="7">IF($C13&gt;=$AO13+$AP13,0,1)</f>
        <v>0</v>
      </c>
      <c r="CK13" s="391">
        <f t="shared" ref="CK13:CK41" si="8">IF($C13&gt;=$AQ13+$AR13,0,1)</f>
        <v>0</v>
      </c>
      <c r="CL13" s="391">
        <f t="shared" ref="CL13:CL41" si="9">IF(AND(C13&lt;&gt;0,AO13=""),1,IF(AND(D13&lt;&gt;0,AP13=""),1,0))</f>
        <v>0</v>
      </c>
      <c r="CM13" s="391">
        <f t="shared" ref="CM13:CM41" si="10">IF(AND(D13&lt;&gt;0,AQ13=""),1,IF(AND(E13&lt;&gt;0,AR13=""),1,0))</f>
        <v>0</v>
      </c>
      <c r="CN13" s="385"/>
      <c r="CO13" s="385"/>
    </row>
    <row r="14" spans="1:93" ht="15" customHeight="1" x14ac:dyDescent="0.25">
      <c r="A14" s="1988"/>
      <c r="B14" s="140" t="s">
        <v>131</v>
      </c>
      <c r="C14" s="725">
        <f t="shared" si="0"/>
        <v>0</v>
      </c>
      <c r="D14" s="738">
        <f t="shared" si="1"/>
        <v>0</v>
      </c>
      <c r="E14" s="739">
        <f t="shared" si="1"/>
        <v>0</v>
      </c>
      <c r="F14" s="740"/>
      <c r="G14" s="741"/>
      <c r="H14" s="986"/>
      <c r="I14" s="987"/>
      <c r="J14" s="986"/>
      <c r="K14" s="987"/>
      <c r="L14" s="986"/>
      <c r="M14" s="987"/>
      <c r="N14" s="986"/>
      <c r="O14" s="987"/>
      <c r="P14" s="986"/>
      <c r="Q14" s="987"/>
      <c r="R14" s="986"/>
      <c r="S14" s="987"/>
      <c r="T14" s="986"/>
      <c r="U14" s="987"/>
      <c r="V14" s="986"/>
      <c r="W14" s="987"/>
      <c r="X14" s="986"/>
      <c r="Y14" s="987"/>
      <c r="Z14" s="986"/>
      <c r="AA14" s="987"/>
      <c r="AB14" s="986"/>
      <c r="AC14" s="987"/>
      <c r="AD14" s="986"/>
      <c r="AE14" s="987"/>
      <c r="AF14" s="986"/>
      <c r="AG14" s="987"/>
      <c r="AH14" s="986"/>
      <c r="AI14" s="987"/>
      <c r="AJ14" s="986"/>
      <c r="AK14" s="987"/>
      <c r="AL14" s="986"/>
      <c r="AM14" s="988"/>
      <c r="AN14" s="742"/>
      <c r="AO14" s="796"/>
      <c r="AP14" s="747"/>
      <c r="AQ14" s="796"/>
      <c r="AR14" s="747"/>
      <c r="AS14" s="376" t="str">
        <f t="shared" si="2"/>
        <v/>
      </c>
      <c r="CA14" s="381" t="str">
        <f>IF($AN14&lt;=$F14+$G14,"","* La Población bajo control con Espirometría Vigente no debe ser mayor al Total de Población en Control. ")</f>
        <v/>
      </c>
      <c r="CB14" s="381" t="str">
        <f t="shared" si="3"/>
        <v/>
      </c>
      <c r="CC14" s="381" t="str">
        <f t="shared" si="4"/>
        <v/>
      </c>
      <c r="CD14" s="381" t="str">
        <f t="shared" si="5"/>
        <v/>
      </c>
      <c r="CE14" s="381" t="str">
        <f t="shared" si="6"/>
        <v/>
      </c>
      <c r="CI14" s="391">
        <f>IF($AN14&lt;=$F14+$G14,0,1)</f>
        <v>0</v>
      </c>
      <c r="CJ14" s="391">
        <f t="shared" si="7"/>
        <v>0</v>
      </c>
      <c r="CK14" s="391">
        <f t="shared" si="8"/>
        <v>0</v>
      </c>
      <c r="CL14" s="391">
        <f t="shared" si="9"/>
        <v>0</v>
      </c>
      <c r="CM14" s="391">
        <f t="shared" si="10"/>
        <v>0</v>
      </c>
      <c r="CN14" s="385"/>
      <c r="CO14" s="385"/>
    </row>
    <row r="15" spans="1:93" ht="15" customHeight="1" x14ac:dyDescent="0.25">
      <c r="A15" s="1989" t="s">
        <v>132</v>
      </c>
      <c r="B15" s="980" t="s">
        <v>112</v>
      </c>
      <c r="C15" s="714">
        <f t="shared" si="0"/>
        <v>0</v>
      </c>
      <c r="D15" s="729">
        <f>+F15+H15+J15+L15+N15+P15+R15+T15+V15+X15+Z15+AB15+AD15+AF15+AH15+AJ15+AL15</f>
        <v>0</v>
      </c>
      <c r="E15" s="730">
        <f>+G15+I15+K15+M15+O15+Q15+S15+U15+W15+Y15+AA15+AC15+AE15+AG15+AI15+AK15+AM15</f>
        <v>0</v>
      </c>
      <c r="F15" s="731"/>
      <c r="G15" s="732"/>
      <c r="H15" s="731"/>
      <c r="I15" s="732"/>
      <c r="J15" s="731"/>
      <c r="K15" s="732"/>
      <c r="L15" s="731"/>
      <c r="M15" s="732"/>
      <c r="N15" s="731"/>
      <c r="O15" s="732"/>
      <c r="P15" s="731"/>
      <c r="Q15" s="732"/>
      <c r="R15" s="731"/>
      <c r="S15" s="732"/>
      <c r="T15" s="731"/>
      <c r="U15" s="732"/>
      <c r="V15" s="731"/>
      <c r="W15" s="732"/>
      <c r="X15" s="731"/>
      <c r="Y15" s="732"/>
      <c r="Z15" s="731"/>
      <c r="AA15" s="732"/>
      <c r="AB15" s="731"/>
      <c r="AC15" s="732"/>
      <c r="AD15" s="731"/>
      <c r="AE15" s="732"/>
      <c r="AF15" s="731"/>
      <c r="AG15" s="732"/>
      <c r="AH15" s="731"/>
      <c r="AI15" s="732"/>
      <c r="AJ15" s="731"/>
      <c r="AK15" s="732"/>
      <c r="AL15" s="731"/>
      <c r="AM15" s="743"/>
      <c r="AN15" s="733"/>
      <c r="AO15" s="750"/>
      <c r="AP15" s="732"/>
      <c r="AQ15" s="750"/>
      <c r="AR15" s="732"/>
      <c r="AS15" s="376" t="str">
        <f t="shared" si="2"/>
        <v/>
      </c>
      <c r="CA15" s="381" t="str">
        <f>IF($AN15&lt;=SUM($F15:$AM15),"","* La Población bajo control con Espirometría Vigente no debe ser mayor al Total de Población en Control. ")</f>
        <v/>
      </c>
      <c r="CB15" s="381" t="str">
        <f t="shared" si="3"/>
        <v/>
      </c>
      <c r="CC15" s="381" t="str">
        <f t="shared" si="4"/>
        <v/>
      </c>
      <c r="CD15" s="381" t="str">
        <f t="shared" si="5"/>
        <v/>
      </c>
      <c r="CE15" s="381" t="str">
        <f t="shared" si="6"/>
        <v/>
      </c>
      <c r="CI15" s="391">
        <f>IF($AN15&lt;=SUM($F15:$AM15),0,1)</f>
        <v>0</v>
      </c>
      <c r="CJ15" s="391">
        <f t="shared" si="7"/>
        <v>0</v>
      </c>
      <c r="CK15" s="391">
        <f t="shared" si="8"/>
        <v>0</v>
      </c>
      <c r="CL15" s="391">
        <f t="shared" si="9"/>
        <v>0</v>
      </c>
      <c r="CM15" s="391">
        <f t="shared" si="10"/>
        <v>0</v>
      </c>
      <c r="CN15" s="385"/>
      <c r="CO15" s="385"/>
    </row>
    <row r="16" spans="1:93" ht="15" customHeight="1" x14ac:dyDescent="0.25">
      <c r="A16" s="1990"/>
      <c r="B16" s="139" t="s">
        <v>113</v>
      </c>
      <c r="C16" s="722">
        <f t="shared" si="0"/>
        <v>0</v>
      </c>
      <c r="D16" s="734">
        <f t="shared" ref="D16:E17" si="11">+F16+H16+J16+L16+N16+P16+R16+T16+V16+X16+Z16+AB16+AD16+AF16+AH16+AJ16+AL16</f>
        <v>0</v>
      </c>
      <c r="E16" s="718">
        <f t="shared" si="11"/>
        <v>0</v>
      </c>
      <c r="F16" s="735"/>
      <c r="G16" s="736"/>
      <c r="H16" s="735"/>
      <c r="I16" s="736"/>
      <c r="J16" s="735"/>
      <c r="K16" s="736"/>
      <c r="L16" s="735"/>
      <c r="M16" s="736"/>
      <c r="N16" s="735"/>
      <c r="O16" s="736"/>
      <c r="P16" s="735"/>
      <c r="Q16" s="736"/>
      <c r="R16" s="735"/>
      <c r="S16" s="736"/>
      <c r="T16" s="735"/>
      <c r="U16" s="736"/>
      <c r="V16" s="735"/>
      <c r="W16" s="736"/>
      <c r="X16" s="735"/>
      <c r="Y16" s="736"/>
      <c r="Z16" s="735"/>
      <c r="AA16" s="736"/>
      <c r="AB16" s="735"/>
      <c r="AC16" s="736"/>
      <c r="AD16" s="735"/>
      <c r="AE16" s="736"/>
      <c r="AF16" s="735"/>
      <c r="AG16" s="736"/>
      <c r="AH16" s="735"/>
      <c r="AI16" s="736"/>
      <c r="AJ16" s="735"/>
      <c r="AK16" s="736"/>
      <c r="AL16" s="735"/>
      <c r="AM16" s="744"/>
      <c r="AN16" s="737"/>
      <c r="AO16" s="792"/>
      <c r="AP16" s="736"/>
      <c r="AQ16" s="792"/>
      <c r="AR16" s="736"/>
      <c r="AS16" s="376" t="str">
        <f t="shared" si="2"/>
        <v/>
      </c>
      <c r="CA16" s="381" t="str">
        <f>IF($AN16&lt;=SUM($F16:$AM16),"","* La Población bajo control con Espirometría Vigente no debe ser mayor al Total de Población en Control. ")</f>
        <v/>
      </c>
      <c r="CB16" s="381" t="str">
        <f t="shared" si="3"/>
        <v/>
      </c>
      <c r="CC16" s="381" t="str">
        <f t="shared" si="4"/>
        <v/>
      </c>
      <c r="CD16" s="381" t="str">
        <f t="shared" si="5"/>
        <v/>
      </c>
      <c r="CE16" s="381" t="str">
        <f t="shared" si="6"/>
        <v/>
      </c>
      <c r="CI16" s="391">
        <f>IF($AN16&lt;=SUM($F16:$AM16),0,1)</f>
        <v>0</v>
      </c>
      <c r="CJ16" s="391">
        <f t="shared" si="7"/>
        <v>0</v>
      </c>
      <c r="CK16" s="391">
        <f t="shared" si="8"/>
        <v>0</v>
      </c>
      <c r="CL16" s="391">
        <f t="shared" si="9"/>
        <v>0</v>
      </c>
      <c r="CM16" s="391">
        <f t="shared" si="10"/>
        <v>0</v>
      </c>
      <c r="CN16" s="385"/>
      <c r="CO16" s="385"/>
    </row>
    <row r="17" spans="1:93" ht="15" customHeight="1" x14ac:dyDescent="0.25">
      <c r="A17" s="1991"/>
      <c r="B17" s="140" t="s">
        <v>131</v>
      </c>
      <c r="C17" s="745">
        <f t="shared" si="0"/>
        <v>0</v>
      </c>
      <c r="D17" s="728">
        <f t="shared" si="11"/>
        <v>0</v>
      </c>
      <c r="E17" s="721">
        <f t="shared" si="11"/>
        <v>0</v>
      </c>
      <c r="F17" s="740"/>
      <c r="G17" s="741"/>
      <c r="H17" s="746"/>
      <c r="I17" s="747"/>
      <c r="J17" s="746"/>
      <c r="K17" s="747"/>
      <c r="L17" s="746"/>
      <c r="M17" s="747"/>
      <c r="N17" s="746"/>
      <c r="O17" s="747"/>
      <c r="P17" s="746"/>
      <c r="Q17" s="747"/>
      <c r="R17" s="746"/>
      <c r="S17" s="747"/>
      <c r="T17" s="746"/>
      <c r="U17" s="747"/>
      <c r="V17" s="746"/>
      <c r="W17" s="747"/>
      <c r="X17" s="746"/>
      <c r="Y17" s="747"/>
      <c r="Z17" s="746"/>
      <c r="AA17" s="747"/>
      <c r="AB17" s="746"/>
      <c r="AC17" s="747"/>
      <c r="AD17" s="746"/>
      <c r="AE17" s="747"/>
      <c r="AF17" s="746"/>
      <c r="AG17" s="747"/>
      <c r="AH17" s="746"/>
      <c r="AI17" s="747"/>
      <c r="AJ17" s="746"/>
      <c r="AK17" s="747"/>
      <c r="AL17" s="746"/>
      <c r="AM17" s="748"/>
      <c r="AN17" s="749"/>
      <c r="AO17" s="754"/>
      <c r="AP17" s="741"/>
      <c r="AQ17" s="754"/>
      <c r="AR17" s="741"/>
      <c r="AS17" s="376" t="str">
        <f t="shared" si="2"/>
        <v/>
      </c>
      <c r="CA17" s="381" t="str">
        <f>IF($AN17&lt;=SUM($F17:$AM17),"","* La Población bajo control con Espirometría Vigente no debe ser mayor al Total de Población en Control. ")</f>
        <v/>
      </c>
      <c r="CB17" s="381" t="str">
        <f t="shared" si="3"/>
        <v/>
      </c>
      <c r="CC17" s="381" t="str">
        <f t="shared" si="4"/>
        <v/>
      </c>
      <c r="CD17" s="381" t="str">
        <f t="shared" si="5"/>
        <v/>
      </c>
      <c r="CE17" s="381" t="str">
        <f t="shared" si="6"/>
        <v/>
      </c>
      <c r="CI17" s="391">
        <f>IF($AN17&lt;=SUM($F17:$AM17),0,1)</f>
        <v>0</v>
      </c>
      <c r="CJ17" s="391">
        <f t="shared" si="7"/>
        <v>0</v>
      </c>
      <c r="CK17" s="391">
        <f t="shared" si="8"/>
        <v>0</v>
      </c>
      <c r="CL17" s="391">
        <f t="shared" si="9"/>
        <v>0</v>
      </c>
      <c r="CM17" s="391">
        <f t="shared" si="10"/>
        <v>0</v>
      </c>
      <c r="CN17" s="385"/>
      <c r="CO17" s="385"/>
    </row>
    <row r="18" spans="1:93" ht="22.5" customHeight="1" x14ac:dyDescent="0.25">
      <c r="A18" s="1992" t="s">
        <v>133</v>
      </c>
      <c r="B18" s="141" t="s">
        <v>512</v>
      </c>
      <c r="C18" s="722">
        <f>SUM(D18:E18)</f>
        <v>0</v>
      </c>
      <c r="D18" s="723">
        <f>+V18+X18+Z18+AB18+AD18+AF18+AH18+AJ18+AL18</f>
        <v>0</v>
      </c>
      <c r="E18" s="724">
        <f>+W18+Y18+AA18+AC18+AE18+AG18+AI18+AK18+AM18</f>
        <v>0</v>
      </c>
      <c r="F18" s="776"/>
      <c r="G18" s="777"/>
      <c r="H18" s="776"/>
      <c r="I18" s="777"/>
      <c r="J18" s="776"/>
      <c r="K18" s="777"/>
      <c r="L18" s="776"/>
      <c r="M18" s="777"/>
      <c r="N18" s="776"/>
      <c r="O18" s="777"/>
      <c r="P18" s="776"/>
      <c r="Q18" s="777"/>
      <c r="R18" s="776"/>
      <c r="S18" s="777"/>
      <c r="T18" s="776"/>
      <c r="U18" s="777"/>
      <c r="V18" s="731"/>
      <c r="W18" s="732"/>
      <c r="X18" s="731"/>
      <c r="Y18" s="732"/>
      <c r="Z18" s="731"/>
      <c r="AA18" s="732"/>
      <c r="AB18" s="731"/>
      <c r="AC18" s="732"/>
      <c r="AD18" s="731"/>
      <c r="AE18" s="732"/>
      <c r="AF18" s="731"/>
      <c r="AG18" s="732"/>
      <c r="AH18" s="731"/>
      <c r="AI18" s="732"/>
      <c r="AJ18" s="731"/>
      <c r="AK18" s="732"/>
      <c r="AL18" s="731"/>
      <c r="AM18" s="743"/>
      <c r="AN18" s="733"/>
      <c r="AO18" s="750"/>
      <c r="AP18" s="732"/>
      <c r="AQ18" s="750"/>
      <c r="AR18" s="732"/>
      <c r="AS18" s="376" t="str">
        <f t="shared" si="2"/>
        <v/>
      </c>
      <c r="CA18" s="381" t="str">
        <f>IF($AN18&lt;=SUM($V18:$AM18),"","* La Población bajo control con Espirometría Vigente no debe ser mayor al Total de Población en Control. ")</f>
        <v/>
      </c>
      <c r="CB18" s="381" t="str">
        <f t="shared" si="3"/>
        <v/>
      </c>
      <c r="CC18" s="381" t="str">
        <f t="shared" si="4"/>
        <v/>
      </c>
      <c r="CD18" s="381" t="str">
        <f t="shared" si="5"/>
        <v/>
      </c>
      <c r="CE18" s="381" t="str">
        <f t="shared" si="6"/>
        <v/>
      </c>
      <c r="CI18" s="391">
        <f>IF($AN18&lt;=SUM($V18:$AM18),0,1)</f>
        <v>0</v>
      </c>
      <c r="CJ18" s="391">
        <f t="shared" si="7"/>
        <v>0</v>
      </c>
      <c r="CK18" s="391">
        <f t="shared" si="8"/>
        <v>0</v>
      </c>
      <c r="CL18" s="391">
        <f t="shared" si="9"/>
        <v>0</v>
      </c>
      <c r="CM18" s="391">
        <f t="shared" si="10"/>
        <v>0</v>
      </c>
      <c r="CN18" s="385"/>
      <c r="CO18" s="385"/>
    </row>
    <row r="19" spans="1:93" ht="21" customHeight="1" x14ac:dyDescent="0.25">
      <c r="A19" s="1988"/>
      <c r="B19" s="142" t="s">
        <v>513</v>
      </c>
      <c r="C19" s="719">
        <f>SUM(D19:E19)</f>
        <v>0</v>
      </c>
      <c r="D19" s="728">
        <f>+V19+X19+Z19+AB19+AD19+AF19+AH19+AJ19+AL19</f>
        <v>0</v>
      </c>
      <c r="E19" s="721">
        <f>+W19+Y19+AA19+AC19+AE19+AG19+AI19+AK19+AM19</f>
        <v>0</v>
      </c>
      <c r="F19" s="782"/>
      <c r="G19" s="783"/>
      <c r="H19" s="782"/>
      <c r="I19" s="783"/>
      <c r="J19" s="782"/>
      <c r="K19" s="783"/>
      <c r="L19" s="782"/>
      <c r="M19" s="783"/>
      <c r="N19" s="782"/>
      <c r="O19" s="783"/>
      <c r="P19" s="782"/>
      <c r="Q19" s="783"/>
      <c r="R19" s="982"/>
      <c r="S19" s="983"/>
      <c r="T19" s="982"/>
      <c r="U19" s="983"/>
      <c r="V19" s="751"/>
      <c r="W19" s="752"/>
      <c r="X19" s="751"/>
      <c r="Y19" s="752"/>
      <c r="Z19" s="751"/>
      <c r="AA19" s="752"/>
      <c r="AB19" s="751"/>
      <c r="AC19" s="752"/>
      <c r="AD19" s="751"/>
      <c r="AE19" s="752"/>
      <c r="AF19" s="751"/>
      <c r="AG19" s="752"/>
      <c r="AH19" s="751"/>
      <c r="AI19" s="752"/>
      <c r="AJ19" s="751"/>
      <c r="AK19" s="752"/>
      <c r="AL19" s="751"/>
      <c r="AM19" s="753"/>
      <c r="AN19" s="749"/>
      <c r="AO19" s="754"/>
      <c r="AP19" s="741"/>
      <c r="AQ19" s="754"/>
      <c r="AR19" s="741"/>
      <c r="AS19" s="376" t="str">
        <f t="shared" si="2"/>
        <v/>
      </c>
      <c r="CA19" s="381" t="str">
        <f>IF($AN19&lt;=SUM($V19:$AM19),"","* La Población bajo control con Espirometría Vigente no debe ser mayor al Total de Población en Control. ")</f>
        <v/>
      </c>
      <c r="CB19" s="381" t="str">
        <f t="shared" si="3"/>
        <v/>
      </c>
      <c r="CC19" s="381" t="str">
        <f t="shared" si="4"/>
        <v/>
      </c>
      <c r="CD19" s="381" t="str">
        <f t="shared" si="5"/>
        <v/>
      </c>
      <c r="CE19" s="381" t="str">
        <f t="shared" si="6"/>
        <v/>
      </c>
      <c r="CI19" s="391">
        <f>IF($AN19&lt;=SUM($V19:$AM19),0,1)</f>
        <v>0</v>
      </c>
      <c r="CJ19" s="391">
        <f t="shared" si="7"/>
        <v>0</v>
      </c>
      <c r="CK19" s="391">
        <f t="shared" si="8"/>
        <v>0</v>
      </c>
      <c r="CL19" s="391">
        <f t="shared" si="9"/>
        <v>0</v>
      </c>
      <c r="CM19" s="391">
        <f t="shared" si="10"/>
        <v>0</v>
      </c>
      <c r="CN19" s="385"/>
      <c r="CO19" s="385"/>
    </row>
    <row r="20" spans="1:93" ht="16.5" customHeight="1" x14ac:dyDescent="0.25">
      <c r="A20" s="2025" t="s">
        <v>134</v>
      </c>
      <c r="B20" s="2025"/>
      <c r="C20" s="722">
        <f t="shared" si="0"/>
        <v>0</v>
      </c>
      <c r="D20" s="723">
        <f>+F20+H20+J20+L20+N20+P20+R20+T20+V20+X20+Z20+AB20+AD20+AF20+AH20+AJ20+AL20</f>
        <v>0</v>
      </c>
      <c r="E20" s="724">
        <f>+G20+I20+K20+M20+O20+Q20+S20+U20+W20+Y20+AA20+AC20+AE20+AG20+AI20+AK20+AM20</f>
        <v>0</v>
      </c>
      <c r="F20" s="755"/>
      <c r="G20" s="756"/>
      <c r="H20" s="755"/>
      <c r="I20" s="756"/>
      <c r="J20" s="755"/>
      <c r="K20" s="756"/>
      <c r="L20" s="755"/>
      <c r="M20" s="756"/>
      <c r="N20" s="755"/>
      <c r="O20" s="756"/>
      <c r="P20" s="755"/>
      <c r="Q20" s="756"/>
      <c r="R20" s="755"/>
      <c r="S20" s="756"/>
      <c r="T20" s="755"/>
      <c r="U20" s="756"/>
      <c r="V20" s="755"/>
      <c r="W20" s="756"/>
      <c r="X20" s="755"/>
      <c r="Y20" s="756"/>
      <c r="Z20" s="755"/>
      <c r="AA20" s="756"/>
      <c r="AB20" s="755"/>
      <c r="AC20" s="756"/>
      <c r="AD20" s="755"/>
      <c r="AE20" s="756"/>
      <c r="AF20" s="755"/>
      <c r="AG20" s="756"/>
      <c r="AH20" s="755"/>
      <c r="AI20" s="756"/>
      <c r="AJ20" s="755"/>
      <c r="AK20" s="756"/>
      <c r="AL20" s="755"/>
      <c r="AM20" s="757"/>
      <c r="AN20" s="758"/>
      <c r="AO20" s="802"/>
      <c r="AP20" s="756"/>
      <c r="AQ20" s="802"/>
      <c r="AR20" s="756"/>
      <c r="AS20" s="376" t="str">
        <f t="shared" si="2"/>
        <v/>
      </c>
      <c r="CB20" s="381" t="str">
        <f t="shared" si="3"/>
        <v/>
      </c>
      <c r="CC20" s="381" t="str">
        <f t="shared" si="4"/>
        <v/>
      </c>
      <c r="CD20" s="381" t="str">
        <f t="shared" si="5"/>
        <v/>
      </c>
      <c r="CE20" s="381" t="str">
        <f t="shared" si="6"/>
        <v/>
      </c>
      <c r="CI20" s="385"/>
      <c r="CJ20" s="391">
        <f t="shared" si="7"/>
        <v>0</v>
      </c>
      <c r="CK20" s="391">
        <f t="shared" si="8"/>
        <v>0</v>
      </c>
      <c r="CL20" s="391">
        <f t="shared" si="9"/>
        <v>0</v>
      </c>
      <c r="CM20" s="391">
        <f t="shared" si="10"/>
        <v>0</v>
      </c>
      <c r="CN20" s="385"/>
      <c r="CO20" s="385"/>
    </row>
    <row r="21" spans="1:93" ht="16.5" customHeight="1" x14ac:dyDescent="0.25">
      <c r="A21" s="1808" t="s">
        <v>135</v>
      </c>
      <c r="B21" s="1809"/>
      <c r="C21" s="716">
        <f t="shared" si="0"/>
        <v>0</v>
      </c>
      <c r="D21" s="734">
        <f t="shared" ref="D21:E22" si="12">+F21+H21+J21+L21+N21+P21+R21+T21+V21+X21+Z21+AB21+AD21+AF21+AH21+AJ21+AL21</f>
        <v>0</v>
      </c>
      <c r="E21" s="718">
        <f>+G21+I21+K21+M21+O21+Q21+S21+U21+W21+Y21+AA21+AC21+AE21+AG21+AI21+AK21+AM21</f>
        <v>0</v>
      </c>
      <c r="F21" s="755"/>
      <c r="G21" s="756"/>
      <c r="H21" s="755"/>
      <c r="I21" s="756"/>
      <c r="J21" s="755"/>
      <c r="K21" s="756"/>
      <c r="L21" s="755"/>
      <c r="M21" s="756"/>
      <c r="N21" s="755"/>
      <c r="O21" s="756"/>
      <c r="P21" s="755"/>
      <c r="Q21" s="756"/>
      <c r="R21" s="755"/>
      <c r="S21" s="756"/>
      <c r="T21" s="755"/>
      <c r="U21" s="756"/>
      <c r="V21" s="755"/>
      <c r="W21" s="756"/>
      <c r="X21" s="755"/>
      <c r="Y21" s="756"/>
      <c r="Z21" s="755"/>
      <c r="AA21" s="756"/>
      <c r="AB21" s="755"/>
      <c r="AC21" s="756"/>
      <c r="AD21" s="755"/>
      <c r="AE21" s="756"/>
      <c r="AF21" s="755"/>
      <c r="AG21" s="756"/>
      <c r="AH21" s="755"/>
      <c r="AI21" s="756"/>
      <c r="AJ21" s="755"/>
      <c r="AK21" s="756"/>
      <c r="AL21" s="755"/>
      <c r="AM21" s="757"/>
      <c r="AN21" s="759"/>
      <c r="AO21" s="792"/>
      <c r="AP21" s="736"/>
      <c r="AQ21" s="792"/>
      <c r="AR21" s="736"/>
      <c r="AS21" s="376" t="str">
        <f t="shared" si="2"/>
        <v/>
      </c>
      <c r="CB21" s="381" t="str">
        <f t="shared" si="3"/>
        <v/>
      </c>
      <c r="CC21" s="381" t="str">
        <f t="shared" si="4"/>
        <v/>
      </c>
      <c r="CD21" s="381" t="str">
        <f t="shared" si="5"/>
        <v/>
      </c>
      <c r="CE21" s="381" t="str">
        <f t="shared" si="6"/>
        <v/>
      </c>
      <c r="CI21" s="385"/>
      <c r="CJ21" s="391">
        <f t="shared" si="7"/>
        <v>0</v>
      </c>
      <c r="CK21" s="391">
        <f t="shared" si="8"/>
        <v>0</v>
      </c>
      <c r="CL21" s="391">
        <f t="shared" si="9"/>
        <v>0</v>
      </c>
      <c r="CM21" s="391">
        <f t="shared" si="10"/>
        <v>0</v>
      </c>
      <c r="CN21" s="385"/>
      <c r="CO21" s="385"/>
    </row>
    <row r="22" spans="1:93" ht="16.5" customHeight="1" x14ac:dyDescent="0.25">
      <c r="A22" s="2003" t="s">
        <v>355</v>
      </c>
      <c r="B22" s="2004"/>
      <c r="C22" s="716">
        <f>SUM(D22:E22)</f>
        <v>0</v>
      </c>
      <c r="D22" s="734">
        <f t="shared" si="12"/>
        <v>0</v>
      </c>
      <c r="E22" s="718">
        <f t="shared" si="12"/>
        <v>0</v>
      </c>
      <c r="F22" s="755"/>
      <c r="G22" s="756"/>
      <c r="H22" s="755"/>
      <c r="I22" s="756"/>
      <c r="J22" s="755"/>
      <c r="K22" s="756"/>
      <c r="L22" s="755"/>
      <c r="M22" s="756"/>
      <c r="N22" s="755"/>
      <c r="O22" s="756"/>
      <c r="P22" s="755"/>
      <c r="Q22" s="756"/>
      <c r="R22" s="755"/>
      <c r="S22" s="756"/>
      <c r="T22" s="755"/>
      <c r="U22" s="756"/>
      <c r="V22" s="755"/>
      <c r="W22" s="756"/>
      <c r="X22" s="755"/>
      <c r="Y22" s="756"/>
      <c r="Z22" s="755"/>
      <c r="AA22" s="756"/>
      <c r="AB22" s="755"/>
      <c r="AC22" s="756"/>
      <c r="AD22" s="755"/>
      <c r="AE22" s="756"/>
      <c r="AF22" s="755"/>
      <c r="AG22" s="756"/>
      <c r="AH22" s="755"/>
      <c r="AI22" s="756"/>
      <c r="AJ22" s="755"/>
      <c r="AK22" s="756"/>
      <c r="AL22" s="755"/>
      <c r="AM22" s="757"/>
      <c r="AN22" s="759"/>
      <c r="AO22" s="792"/>
      <c r="AP22" s="736"/>
      <c r="AQ22" s="792"/>
      <c r="AR22" s="736"/>
      <c r="AS22" s="376" t="str">
        <f t="shared" si="2"/>
        <v/>
      </c>
      <c r="CB22" s="381" t="str">
        <f t="shared" si="3"/>
        <v/>
      </c>
      <c r="CC22" s="381" t="str">
        <f t="shared" si="4"/>
        <v/>
      </c>
      <c r="CD22" s="381" t="str">
        <f t="shared" si="5"/>
        <v/>
      </c>
      <c r="CE22" s="381" t="str">
        <f t="shared" si="6"/>
        <v/>
      </c>
      <c r="CI22" s="385"/>
      <c r="CJ22" s="391">
        <f t="shared" si="7"/>
        <v>0</v>
      </c>
      <c r="CK22" s="391">
        <f t="shared" si="8"/>
        <v>0</v>
      </c>
      <c r="CL22" s="391">
        <f t="shared" si="9"/>
        <v>0</v>
      </c>
      <c r="CM22" s="391">
        <f t="shared" si="10"/>
        <v>0</v>
      </c>
      <c r="CN22" s="385"/>
      <c r="CO22" s="385"/>
    </row>
    <row r="23" spans="1:93" ht="16.5" customHeight="1" x14ac:dyDescent="0.25">
      <c r="A23" s="2005" t="s">
        <v>136</v>
      </c>
      <c r="B23" s="2006"/>
      <c r="C23" s="722">
        <f>SUM(D23:E23)</f>
        <v>0</v>
      </c>
      <c r="D23" s="723">
        <f>+F23+H23+J23+L23+N23+P23+R23+T23+V23+X23+Z23+AB23+AD23</f>
        <v>0</v>
      </c>
      <c r="E23" s="724">
        <f>+G23+I23+K23+M23+O23+Q23+S23+U23+W23+Y23+AA23+AC23+AE23</f>
        <v>0</v>
      </c>
      <c r="F23" s="755"/>
      <c r="G23" s="756"/>
      <c r="H23" s="755"/>
      <c r="I23" s="756"/>
      <c r="J23" s="755"/>
      <c r="K23" s="756"/>
      <c r="L23" s="755"/>
      <c r="M23" s="756"/>
      <c r="N23" s="755"/>
      <c r="O23" s="756"/>
      <c r="P23" s="755"/>
      <c r="Q23" s="756"/>
      <c r="R23" s="755"/>
      <c r="S23" s="756"/>
      <c r="T23" s="755"/>
      <c r="U23" s="756"/>
      <c r="V23" s="755"/>
      <c r="W23" s="756"/>
      <c r="X23" s="755"/>
      <c r="Y23" s="756"/>
      <c r="Z23" s="755"/>
      <c r="AA23" s="756"/>
      <c r="AB23" s="755"/>
      <c r="AC23" s="756"/>
      <c r="AD23" s="755"/>
      <c r="AE23" s="756"/>
      <c r="AF23" s="779"/>
      <c r="AG23" s="780"/>
      <c r="AH23" s="779"/>
      <c r="AI23" s="780"/>
      <c r="AJ23" s="779"/>
      <c r="AK23" s="780"/>
      <c r="AL23" s="779"/>
      <c r="AM23" s="918"/>
      <c r="AN23" s="759"/>
      <c r="AO23" s="792"/>
      <c r="AP23" s="736"/>
      <c r="AQ23" s="792"/>
      <c r="AR23" s="736"/>
      <c r="AS23" s="376" t="str">
        <f t="shared" si="2"/>
        <v/>
      </c>
      <c r="CB23" s="381" t="str">
        <f t="shared" si="3"/>
        <v/>
      </c>
      <c r="CC23" s="381" t="str">
        <f t="shared" si="4"/>
        <v/>
      </c>
      <c r="CD23" s="381" t="str">
        <f t="shared" si="5"/>
        <v/>
      </c>
      <c r="CE23" s="381" t="str">
        <f t="shared" si="6"/>
        <v/>
      </c>
      <c r="CI23" s="385"/>
      <c r="CJ23" s="391">
        <f t="shared" si="7"/>
        <v>0</v>
      </c>
      <c r="CK23" s="391">
        <f t="shared" si="8"/>
        <v>0</v>
      </c>
      <c r="CL23" s="391">
        <f t="shared" si="9"/>
        <v>0</v>
      </c>
      <c r="CM23" s="391">
        <f t="shared" si="10"/>
        <v>0</v>
      </c>
      <c r="CN23" s="385"/>
      <c r="CO23" s="385"/>
    </row>
    <row r="24" spans="1:93" ht="16.5" customHeight="1" x14ac:dyDescent="0.25">
      <c r="A24" s="1993" t="s">
        <v>137</v>
      </c>
      <c r="B24" s="1994"/>
      <c r="C24" s="716">
        <f t="shared" si="0"/>
        <v>0</v>
      </c>
      <c r="D24" s="734">
        <f>+F24+H24+J24+L24+N24+P24+R24+T24+V24+X24+Z24+AB24+AD24+AF24+AH24+AJ24+AL24</f>
        <v>0</v>
      </c>
      <c r="E24" s="718">
        <f t="shared" ref="E24:E36" si="13">+G24+I24+K24+M24+O24+Q24+S24+U24+W24+Y24+AA24+AC24+AE24+AG24+AI24+AK24+AM24</f>
        <v>0</v>
      </c>
      <c r="F24" s="755"/>
      <c r="G24" s="756"/>
      <c r="H24" s="755"/>
      <c r="I24" s="756"/>
      <c r="J24" s="755"/>
      <c r="K24" s="756"/>
      <c r="L24" s="755"/>
      <c r="M24" s="756"/>
      <c r="N24" s="755"/>
      <c r="O24" s="756"/>
      <c r="P24" s="755"/>
      <c r="Q24" s="756"/>
      <c r="R24" s="755"/>
      <c r="S24" s="756"/>
      <c r="T24" s="755"/>
      <c r="U24" s="756"/>
      <c r="V24" s="755"/>
      <c r="W24" s="756"/>
      <c r="X24" s="755"/>
      <c r="Y24" s="756"/>
      <c r="Z24" s="755"/>
      <c r="AA24" s="756"/>
      <c r="AB24" s="755"/>
      <c r="AC24" s="756"/>
      <c r="AD24" s="755"/>
      <c r="AE24" s="756"/>
      <c r="AF24" s="755"/>
      <c r="AG24" s="756"/>
      <c r="AH24" s="755"/>
      <c r="AI24" s="756"/>
      <c r="AJ24" s="755"/>
      <c r="AK24" s="756"/>
      <c r="AL24" s="755"/>
      <c r="AM24" s="757"/>
      <c r="AN24" s="759"/>
      <c r="AO24" s="792"/>
      <c r="AP24" s="736"/>
      <c r="AQ24" s="792"/>
      <c r="AR24" s="736"/>
      <c r="AS24" s="376" t="str">
        <f t="shared" si="2"/>
        <v/>
      </c>
      <c r="CB24" s="381" t="str">
        <f t="shared" si="3"/>
        <v/>
      </c>
      <c r="CC24" s="381" t="str">
        <f t="shared" si="4"/>
        <v/>
      </c>
      <c r="CD24" s="381" t="str">
        <f t="shared" si="5"/>
        <v/>
      </c>
      <c r="CE24" s="381" t="str">
        <f t="shared" si="6"/>
        <v/>
      </c>
      <c r="CI24" s="385"/>
      <c r="CJ24" s="391">
        <f t="shared" si="7"/>
        <v>0</v>
      </c>
      <c r="CK24" s="391">
        <f t="shared" si="8"/>
        <v>0</v>
      </c>
      <c r="CL24" s="391">
        <f t="shared" si="9"/>
        <v>0</v>
      </c>
      <c r="CM24" s="391">
        <f t="shared" si="10"/>
        <v>0</v>
      </c>
      <c r="CN24" s="385"/>
      <c r="CO24" s="385"/>
    </row>
    <row r="25" spans="1:93" ht="16.5" customHeight="1" x14ac:dyDescent="0.25">
      <c r="A25" s="255" t="s">
        <v>417</v>
      </c>
      <c r="B25" s="981"/>
      <c r="C25" s="716">
        <f t="shared" si="0"/>
        <v>0</v>
      </c>
      <c r="D25" s="734">
        <f t="shared" ref="D25:D36" si="14">+F25+H25+J25+L25+N25+P25+R25+T25+V25+X25+Z25+AB25+AD25+AF25+AH25+AJ25+AL25</f>
        <v>0</v>
      </c>
      <c r="E25" s="718">
        <f t="shared" si="13"/>
        <v>0</v>
      </c>
      <c r="F25" s="755"/>
      <c r="G25" s="756"/>
      <c r="H25" s="755"/>
      <c r="I25" s="756"/>
      <c r="J25" s="755"/>
      <c r="K25" s="756"/>
      <c r="L25" s="755"/>
      <c r="M25" s="756"/>
      <c r="N25" s="755"/>
      <c r="O25" s="756"/>
      <c r="P25" s="755"/>
      <c r="Q25" s="756"/>
      <c r="R25" s="755"/>
      <c r="S25" s="756"/>
      <c r="T25" s="755"/>
      <c r="U25" s="756"/>
      <c r="V25" s="755"/>
      <c r="W25" s="756"/>
      <c r="X25" s="755"/>
      <c r="Y25" s="756"/>
      <c r="Z25" s="755"/>
      <c r="AA25" s="756"/>
      <c r="AB25" s="755"/>
      <c r="AC25" s="756"/>
      <c r="AD25" s="755"/>
      <c r="AE25" s="756"/>
      <c r="AF25" s="755"/>
      <c r="AG25" s="756"/>
      <c r="AH25" s="755"/>
      <c r="AI25" s="756"/>
      <c r="AJ25" s="755"/>
      <c r="AK25" s="756"/>
      <c r="AL25" s="755"/>
      <c r="AM25" s="757"/>
      <c r="AN25" s="759"/>
      <c r="AO25" s="792"/>
      <c r="AP25" s="736"/>
      <c r="AQ25" s="792"/>
      <c r="AR25" s="736"/>
      <c r="AS25" s="376" t="str">
        <f t="shared" si="2"/>
        <v/>
      </c>
      <c r="CB25" s="381" t="str">
        <f t="shared" si="3"/>
        <v/>
      </c>
      <c r="CC25" s="381" t="str">
        <f t="shared" si="4"/>
        <v/>
      </c>
      <c r="CD25" s="381" t="str">
        <f t="shared" si="5"/>
        <v/>
      </c>
      <c r="CE25" s="381" t="str">
        <f t="shared" si="6"/>
        <v/>
      </c>
      <c r="CI25" s="385"/>
      <c r="CJ25" s="391">
        <f t="shared" si="7"/>
        <v>0</v>
      </c>
      <c r="CK25" s="391">
        <f t="shared" si="8"/>
        <v>0</v>
      </c>
      <c r="CL25" s="391">
        <f t="shared" si="9"/>
        <v>0</v>
      </c>
      <c r="CM25" s="391">
        <f t="shared" si="10"/>
        <v>0</v>
      </c>
      <c r="CN25" s="385"/>
      <c r="CO25" s="385"/>
    </row>
    <row r="26" spans="1:93" ht="16.5" customHeight="1" x14ac:dyDescent="0.25">
      <c r="A26" s="1993" t="s">
        <v>138</v>
      </c>
      <c r="B26" s="1994"/>
      <c r="C26" s="716">
        <f t="shared" si="0"/>
        <v>0</v>
      </c>
      <c r="D26" s="734">
        <f t="shared" si="14"/>
        <v>0</v>
      </c>
      <c r="E26" s="718">
        <f t="shared" si="13"/>
        <v>0</v>
      </c>
      <c r="F26" s="755"/>
      <c r="G26" s="756"/>
      <c r="H26" s="755"/>
      <c r="I26" s="756"/>
      <c r="J26" s="755"/>
      <c r="K26" s="756"/>
      <c r="L26" s="755"/>
      <c r="M26" s="756"/>
      <c r="N26" s="755"/>
      <c r="O26" s="756"/>
      <c r="P26" s="755"/>
      <c r="Q26" s="756"/>
      <c r="R26" s="755"/>
      <c r="S26" s="756"/>
      <c r="T26" s="755"/>
      <c r="U26" s="756"/>
      <c r="V26" s="755"/>
      <c r="W26" s="756"/>
      <c r="X26" s="755"/>
      <c r="Y26" s="756"/>
      <c r="Z26" s="755"/>
      <c r="AA26" s="756"/>
      <c r="AB26" s="755"/>
      <c r="AC26" s="756"/>
      <c r="AD26" s="755"/>
      <c r="AE26" s="756"/>
      <c r="AF26" s="755"/>
      <c r="AG26" s="756"/>
      <c r="AH26" s="755"/>
      <c r="AI26" s="756"/>
      <c r="AJ26" s="755"/>
      <c r="AK26" s="756"/>
      <c r="AL26" s="755"/>
      <c r="AM26" s="757"/>
      <c r="AN26" s="759"/>
      <c r="AO26" s="792"/>
      <c r="AP26" s="736"/>
      <c r="AQ26" s="792"/>
      <c r="AR26" s="736"/>
      <c r="AS26" s="376" t="str">
        <f t="shared" si="2"/>
        <v/>
      </c>
      <c r="CB26" s="381" t="str">
        <f t="shared" si="3"/>
        <v/>
      </c>
      <c r="CC26" s="381" t="str">
        <f t="shared" si="4"/>
        <v/>
      </c>
      <c r="CD26" s="381" t="str">
        <f t="shared" si="5"/>
        <v/>
      </c>
      <c r="CE26" s="381" t="str">
        <f t="shared" si="6"/>
        <v/>
      </c>
      <c r="CI26" s="385"/>
      <c r="CJ26" s="391">
        <f t="shared" si="7"/>
        <v>0</v>
      </c>
      <c r="CK26" s="391">
        <f t="shared" si="8"/>
        <v>0</v>
      </c>
      <c r="CL26" s="391">
        <f t="shared" si="9"/>
        <v>0</v>
      </c>
      <c r="CM26" s="391">
        <f t="shared" si="10"/>
        <v>0</v>
      </c>
      <c r="CN26" s="385"/>
      <c r="CO26" s="385"/>
    </row>
    <row r="27" spans="1:93" ht="16.5" customHeight="1" x14ac:dyDescent="0.25">
      <c r="A27" s="1993" t="s">
        <v>139</v>
      </c>
      <c r="B27" s="2009"/>
      <c r="C27" s="716">
        <f t="shared" si="0"/>
        <v>0</v>
      </c>
      <c r="D27" s="734">
        <f t="shared" si="14"/>
        <v>0</v>
      </c>
      <c r="E27" s="718">
        <f t="shared" si="13"/>
        <v>0</v>
      </c>
      <c r="F27" s="755"/>
      <c r="G27" s="756"/>
      <c r="H27" s="755"/>
      <c r="I27" s="756"/>
      <c r="J27" s="755"/>
      <c r="K27" s="756"/>
      <c r="L27" s="755"/>
      <c r="M27" s="756"/>
      <c r="N27" s="755"/>
      <c r="O27" s="756"/>
      <c r="P27" s="755"/>
      <c r="Q27" s="756"/>
      <c r="R27" s="755"/>
      <c r="S27" s="756"/>
      <c r="T27" s="755"/>
      <c r="U27" s="756"/>
      <c r="V27" s="755"/>
      <c r="W27" s="756"/>
      <c r="X27" s="755"/>
      <c r="Y27" s="756"/>
      <c r="Z27" s="755"/>
      <c r="AA27" s="756"/>
      <c r="AB27" s="755"/>
      <c r="AC27" s="756"/>
      <c r="AD27" s="755"/>
      <c r="AE27" s="756"/>
      <c r="AF27" s="755"/>
      <c r="AG27" s="756"/>
      <c r="AH27" s="755"/>
      <c r="AI27" s="756"/>
      <c r="AJ27" s="755"/>
      <c r="AK27" s="756"/>
      <c r="AL27" s="755"/>
      <c r="AM27" s="757"/>
      <c r="AN27" s="759"/>
      <c r="AO27" s="792"/>
      <c r="AP27" s="736"/>
      <c r="AQ27" s="792"/>
      <c r="AR27" s="736"/>
      <c r="AS27" s="376" t="str">
        <f t="shared" si="2"/>
        <v/>
      </c>
      <c r="CB27" s="381" t="str">
        <f t="shared" si="3"/>
        <v/>
      </c>
      <c r="CC27" s="381" t="str">
        <f t="shared" si="4"/>
        <v/>
      </c>
      <c r="CD27" s="381" t="str">
        <f t="shared" si="5"/>
        <v/>
      </c>
      <c r="CE27" s="381" t="str">
        <f t="shared" si="6"/>
        <v/>
      </c>
      <c r="CI27" s="385"/>
      <c r="CJ27" s="391">
        <f t="shared" si="7"/>
        <v>0</v>
      </c>
      <c r="CK27" s="391">
        <f t="shared" si="8"/>
        <v>0</v>
      </c>
      <c r="CL27" s="391">
        <f t="shared" si="9"/>
        <v>0</v>
      </c>
      <c r="CM27" s="391">
        <f t="shared" si="10"/>
        <v>0</v>
      </c>
      <c r="CN27" s="385"/>
      <c r="CO27" s="385"/>
    </row>
    <row r="28" spans="1:93" ht="16.5" customHeight="1" x14ac:dyDescent="0.25">
      <c r="A28" s="2000" t="s">
        <v>140</v>
      </c>
      <c r="B28" s="2010"/>
      <c r="C28" s="716">
        <f t="shared" si="0"/>
        <v>0</v>
      </c>
      <c r="D28" s="734">
        <f t="shared" si="14"/>
        <v>0</v>
      </c>
      <c r="E28" s="718">
        <f t="shared" si="13"/>
        <v>0</v>
      </c>
      <c r="F28" s="755"/>
      <c r="G28" s="756"/>
      <c r="H28" s="755"/>
      <c r="I28" s="756"/>
      <c r="J28" s="755"/>
      <c r="K28" s="756"/>
      <c r="L28" s="755"/>
      <c r="M28" s="756"/>
      <c r="N28" s="755"/>
      <c r="O28" s="756"/>
      <c r="P28" s="755"/>
      <c r="Q28" s="756"/>
      <c r="R28" s="755"/>
      <c r="S28" s="756"/>
      <c r="T28" s="755"/>
      <c r="U28" s="756"/>
      <c r="V28" s="755"/>
      <c r="W28" s="756"/>
      <c r="X28" s="755"/>
      <c r="Y28" s="756"/>
      <c r="Z28" s="755"/>
      <c r="AA28" s="756"/>
      <c r="AB28" s="755"/>
      <c r="AC28" s="756"/>
      <c r="AD28" s="755"/>
      <c r="AE28" s="756"/>
      <c r="AF28" s="755"/>
      <c r="AG28" s="756"/>
      <c r="AH28" s="755"/>
      <c r="AI28" s="756"/>
      <c r="AJ28" s="755"/>
      <c r="AK28" s="756"/>
      <c r="AL28" s="755"/>
      <c r="AM28" s="757"/>
      <c r="AN28" s="759"/>
      <c r="AO28" s="792"/>
      <c r="AP28" s="736"/>
      <c r="AQ28" s="792"/>
      <c r="AR28" s="736"/>
      <c r="AS28" s="376" t="str">
        <f t="shared" si="2"/>
        <v/>
      </c>
      <c r="CB28" s="381" t="str">
        <f t="shared" si="3"/>
        <v/>
      </c>
      <c r="CC28" s="381" t="str">
        <f t="shared" si="4"/>
        <v/>
      </c>
      <c r="CD28" s="381" t="str">
        <f t="shared" si="5"/>
        <v/>
      </c>
      <c r="CE28" s="381" t="str">
        <f t="shared" si="6"/>
        <v/>
      </c>
      <c r="CI28" s="385"/>
      <c r="CJ28" s="391">
        <f t="shared" si="7"/>
        <v>0</v>
      </c>
      <c r="CK28" s="391">
        <f t="shared" si="8"/>
        <v>0</v>
      </c>
      <c r="CL28" s="391">
        <f t="shared" si="9"/>
        <v>0</v>
      </c>
      <c r="CM28" s="391">
        <f t="shared" si="10"/>
        <v>0</v>
      </c>
      <c r="CN28" s="385"/>
      <c r="CO28" s="385"/>
    </row>
    <row r="29" spans="1:93" ht="16.5" customHeight="1" x14ac:dyDescent="0.25">
      <c r="A29" s="2000" t="s">
        <v>141</v>
      </c>
      <c r="B29" s="2001"/>
      <c r="C29" s="716">
        <f t="shared" si="0"/>
        <v>0</v>
      </c>
      <c r="D29" s="734">
        <f t="shared" si="14"/>
        <v>0</v>
      </c>
      <c r="E29" s="718">
        <f t="shared" si="13"/>
        <v>0</v>
      </c>
      <c r="F29" s="755"/>
      <c r="G29" s="756"/>
      <c r="H29" s="755"/>
      <c r="I29" s="756"/>
      <c r="J29" s="755"/>
      <c r="K29" s="756"/>
      <c r="L29" s="755"/>
      <c r="M29" s="756"/>
      <c r="N29" s="755"/>
      <c r="O29" s="756"/>
      <c r="P29" s="755"/>
      <c r="Q29" s="756"/>
      <c r="R29" s="755"/>
      <c r="S29" s="756"/>
      <c r="T29" s="755"/>
      <c r="U29" s="756"/>
      <c r="V29" s="755"/>
      <c r="W29" s="756"/>
      <c r="X29" s="755"/>
      <c r="Y29" s="756"/>
      <c r="Z29" s="755"/>
      <c r="AA29" s="756"/>
      <c r="AB29" s="755"/>
      <c r="AC29" s="756"/>
      <c r="AD29" s="755"/>
      <c r="AE29" s="756"/>
      <c r="AF29" s="755"/>
      <c r="AG29" s="756"/>
      <c r="AH29" s="755"/>
      <c r="AI29" s="756"/>
      <c r="AJ29" s="755"/>
      <c r="AK29" s="756"/>
      <c r="AL29" s="755"/>
      <c r="AM29" s="757"/>
      <c r="AN29" s="759"/>
      <c r="AO29" s="792"/>
      <c r="AP29" s="736"/>
      <c r="AQ29" s="792"/>
      <c r="AR29" s="736"/>
      <c r="AS29" s="376" t="str">
        <f t="shared" si="2"/>
        <v/>
      </c>
      <c r="CB29" s="381" t="str">
        <f t="shared" si="3"/>
        <v/>
      </c>
      <c r="CC29" s="381" t="str">
        <f t="shared" si="4"/>
        <v/>
      </c>
      <c r="CD29" s="381" t="str">
        <f t="shared" si="5"/>
        <v/>
      </c>
      <c r="CE29" s="381" t="str">
        <f t="shared" si="6"/>
        <v/>
      </c>
      <c r="CI29" s="385"/>
      <c r="CJ29" s="391">
        <f t="shared" si="7"/>
        <v>0</v>
      </c>
      <c r="CK29" s="391">
        <f t="shared" si="8"/>
        <v>0</v>
      </c>
      <c r="CL29" s="391">
        <f t="shared" si="9"/>
        <v>0</v>
      </c>
      <c r="CM29" s="391">
        <f t="shared" si="10"/>
        <v>0</v>
      </c>
      <c r="CN29" s="385"/>
      <c r="CO29" s="385"/>
    </row>
    <row r="30" spans="1:93" ht="16.5" customHeight="1" x14ac:dyDescent="0.25">
      <c r="A30" s="2002" t="s">
        <v>142</v>
      </c>
      <c r="B30" s="2002"/>
      <c r="C30" s="716">
        <f t="shared" si="0"/>
        <v>0</v>
      </c>
      <c r="D30" s="734">
        <f t="shared" si="14"/>
        <v>0</v>
      </c>
      <c r="E30" s="718">
        <f t="shared" si="13"/>
        <v>0</v>
      </c>
      <c r="F30" s="755"/>
      <c r="G30" s="756"/>
      <c r="H30" s="755"/>
      <c r="I30" s="756"/>
      <c r="J30" s="755"/>
      <c r="K30" s="756"/>
      <c r="L30" s="755"/>
      <c r="M30" s="756"/>
      <c r="N30" s="755"/>
      <c r="O30" s="756"/>
      <c r="P30" s="755"/>
      <c r="Q30" s="756"/>
      <c r="R30" s="755"/>
      <c r="S30" s="756"/>
      <c r="T30" s="755"/>
      <c r="U30" s="756"/>
      <c r="V30" s="755"/>
      <c r="W30" s="756"/>
      <c r="X30" s="755"/>
      <c r="Y30" s="756"/>
      <c r="Z30" s="755"/>
      <c r="AA30" s="756"/>
      <c r="AB30" s="755"/>
      <c r="AC30" s="756"/>
      <c r="AD30" s="755"/>
      <c r="AE30" s="756"/>
      <c r="AF30" s="755"/>
      <c r="AG30" s="756"/>
      <c r="AH30" s="755"/>
      <c r="AI30" s="756"/>
      <c r="AJ30" s="755"/>
      <c r="AK30" s="756"/>
      <c r="AL30" s="755"/>
      <c r="AM30" s="757"/>
      <c r="AN30" s="759"/>
      <c r="AO30" s="792"/>
      <c r="AP30" s="736"/>
      <c r="AQ30" s="792"/>
      <c r="AR30" s="736"/>
      <c r="AS30" s="376" t="str">
        <f t="shared" si="2"/>
        <v/>
      </c>
      <c r="CB30" s="381" t="str">
        <f t="shared" si="3"/>
        <v/>
      </c>
      <c r="CC30" s="381" t="str">
        <f t="shared" si="4"/>
        <v/>
      </c>
      <c r="CD30" s="381" t="str">
        <f t="shared" si="5"/>
        <v/>
      </c>
      <c r="CE30" s="381" t="str">
        <f t="shared" si="6"/>
        <v/>
      </c>
      <c r="CI30" s="385"/>
      <c r="CJ30" s="391">
        <f t="shared" si="7"/>
        <v>0</v>
      </c>
      <c r="CK30" s="391">
        <f t="shared" si="8"/>
        <v>0</v>
      </c>
      <c r="CL30" s="391">
        <f t="shared" si="9"/>
        <v>0</v>
      </c>
      <c r="CM30" s="391">
        <f t="shared" si="10"/>
        <v>0</v>
      </c>
      <c r="CN30" s="385"/>
      <c r="CO30" s="385"/>
    </row>
    <row r="31" spans="1:93" ht="16.5" customHeight="1" x14ac:dyDescent="0.25">
      <c r="A31" s="1995" t="s">
        <v>143</v>
      </c>
      <c r="B31" s="1995"/>
      <c r="C31" s="719">
        <f t="shared" si="0"/>
        <v>0</v>
      </c>
      <c r="D31" s="728">
        <f t="shared" si="14"/>
        <v>0</v>
      </c>
      <c r="E31" s="721">
        <f t="shared" si="13"/>
        <v>0</v>
      </c>
      <c r="F31" s="740"/>
      <c r="G31" s="741"/>
      <c r="H31" s="740"/>
      <c r="I31" s="741"/>
      <c r="J31" s="740"/>
      <c r="K31" s="741"/>
      <c r="L31" s="740"/>
      <c r="M31" s="741"/>
      <c r="N31" s="740"/>
      <c r="O31" s="741"/>
      <c r="P31" s="740"/>
      <c r="Q31" s="741"/>
      <c r="R31" s="740"/>
      <c r="S31" s="741"/>
      <c r="T31" s="740"/>
      <c r="U31" s="741"/>
      <c r="V31" s="740"/>
      <c r="W31" s="741"/>
      <c r="X31" s="740"/>
      <c r="Y31" s="741"/>
      <c r="Z31" s="740"/>
      <c r="AA31" s="741"/>
      <c r="AB31" s="740"/>
      <c r="AC31" s="741"/>
      <c r="AD31" s="740"/>
      <c r="AE31" s="741"/>
      <c r="AF31" s="740"/>
      <c r="AG31" s="741"/>
      <c r="AH31" s="740"/>
      <c r="AI31" s="741"/>
      <c r="AJ31" s="740"/>
      <c r="AK31" s="741"/>
      <c r="AL31" s="740"/>
      <c r="AM31" s="771"/>
      <c r="AN31" s="1313"/>
      <c r="AO31" s="754"/>
      <c r="AP31" s="741"/>
      <c r="AQ31" s="754"/>
      <c r="AR31" s="741"/>
      <c r="AS31" s="376" t="str">
        <f t="shared" si="2"/>
        <v/>
      </c>
      <c r="CB31" s="381" t="str">
        <f t="shared" si="3"/>
        <v/>
      </c>
      <c r="CC31" s="381" t="str">
        <f t="shared" si="4"/>
        <v/>
      </c>
      <c r="CD31" s="381" t="str">
        <f t="shared" si="5"/>
        <v/>
      </c>
      <c r="CE31" s="381" t="str">
        <f t="shared" si="6"/>
        <v/>
      </c>
      <c r="CI31" s="385"/>
      <c r="CJ31" s="391">
        <f t="shared" si="7"/>
        <v>0</v>
      </c>
      <c r="CK31" s="391">
        <f t="shared" si="8"/>
        <v>0</v>
      </c>
      <c r="CL31" s="391">
        <f t="shared" si="9"/>
        <v>0</v>
      </c>
      <c r="CM31" s="391">
        <f t="shared" si="10"/>
        <v>0</v>
      </c>
      <c r="CN31" s="385"/>
      <c r="CO31" s="385"/>
    </row>
    <row r="32" spans="1:93" ht="18" customHeight="1" x14ac:dyDescent="0.25">
      <c r="A32" s="2007" t="s">
        <v>144</v>
      </c>
      <c r="B32" s="1312" t="s">
        <v>145</v>
      </c>
      <c r="C32" s="722">
        <f t="shared" si="0"/>
        <v>0</v>
      </c>
      <c r="D32" s="723">
        <f t="shared" si="14"/>
        <v>0</v>
      </c>
      <c r="E32" s="724">
        <f t="shared" si="13"/>
        <v>0</v>
      </c>
      <c r="F32" s="755"/>
      <c r="G32" s="756"/>
      <c r="H32" s="755"/>
      <c r="I32" s="756"/>
      <c r="J32" s="755"/>
      <c r="K32" s="756"/>
      <c r="L32" s="755"/>
      <c r="M32" s="756"/>
      <c r="N32" s="755"/>
      <c r="O32" s="756"/>
      <c r="P32" s="755"/>
      <c r="Q32" s="756"/>
      <c r="R32" s="755"/>
      <c r="S32" s="756"/>
      <c r="T32" s="755"/>
      <c r="U32" s="756"/>
      <c r="V32" s="755"/>
      <c r="W32" s="756"/>
      <c r="X32" s="755"/>
      <c r="Y32" s="756"/>
      <c r="Z32" s="755"/>
      <c r="AA32" s="756"/>
      <c r="AB32" s="755"/>
      <c r="AC32" s="756"/>
      <c r="AD32" s="755"/>
      <c r="AE32" s="756"/>
      <c r="AF32" s="755"/>
      <c r="AG32" s="756"/>
      <c r="AH32" s="755"/>
      <c r="AI32" s="756"/>
      <c r="AJ32" s="755"/>
      <c r="AK32" s="756"/>
      <c r="AL32" s="755"/>
      <c r="AM32" s="757"/>
      <c r="AN32" s="758"/>
      <c r="AO32" s="802"/>
      <c r="AP32" s="756"/>
      <c r="AQ32" s="802"/>
      <c r="AR32" s="756"/>
      <c r="AS32" s="376" t="str">
        <f t="shared" si="2"/>
        <v/>
      </c>
      <c r="CB32" s="381" t="str">
        <f t="shared" si="3"/>
        <v/>
      </c>
      <c r="CC32" s="381" t="str">
        <f t="shared" si="4"/>
        <v/>
      </c>
      <c r="CD32" s="381" t="str">
        <f t="shared" si="5"/>
        <v/>
      </c>
      <c r="CE32" s="381" t="str">
        <f t="shared" si="6"/>
        <v/>
      </c>
      <c r="CI32" s="385"/>
      <c r="CJ32" s="391">
        <f t="shared" si="7"/>
        <v>0</v>
      </c>
      <c r="CK32" s="391">
        <f t="shared" si="8"/>
        <v>0</v>
      </c>
      <c r="CL32" s="391">
        <f t="shared" si="9"/>
        <v>0</v>
      </c>
      <c r="CM32" s="391">
        <f t="shared" si="10"/>
        <v>0</v>
      </c>
      <c r="CN32" s="385"/>
      <c r="CO32" s="385"/>
    </row>
    <row r="33" spans="1:93" ht="18" customHeight="1" x14ac:dyDescent="0.25">
      <c r="A33" s="2007"/>
      <c r="B33" s="143" t="s">
        <v>146</v>
      </c>
      <c r="C33" s="716">
        <f t="shared" si="0"/>
        <v>0</v>
      </c>
      <c r="D33" s="734">
        <f t="shared" si="14"/>
        <v>0</v>
      </c>
      <c r="E33" s="718">
        <f t="shared" si="13"/>
        <v>0</v>
      </c>
      <c r="F33" s="755"/>
      <c r="G33" s="756"/>
      <c r="H33" s="755"/>
      <c r="I33" s="756"/>
      <c r="J33" s="755"/>
      <c r="K33" s="756"/>
      <c r="L33" s="755"/>
      <c r="M33" s="756"/>
      <c r="N33" s="755"/>
      <c r="O33" s="756"/>
      <c r="P33" s="755"/>
      <c r="Q33" s="756"/>
      <c r="R33" s="755"/>
      <c r="S33" s="756"/>
      <c r="T33" s="755"/>
      <c r="U33" s="756"/>
      <c r="V33" s="755"/>
      <c r="W33" s="756"/>
      <c r="X33" s="755"/>
      <c r="Y33" s="756"/>
      <c r="Z33" s="755"/>
      <c r="AA33" s="756"/>
      <c r="AB33" s="755"/>
      <c r="AC33" s="756"/>
      <c r="AD33" s="755"/>
      <c r="AE33" s="756"/>
      <c r="AF33" s="755"/>
      <c r="AG33" s="756"/>
      <c r="AH33" s="755"/>
      <c r="AI33" s="756"/>
      <c r="AJ33" s="755"/>
      <c r="AK33" s="756"/>
      <c r="AL33" s="755"/>
      <c r="AM33" s="757"/>
      <c r="AN33" s="759"/>
      <c r="AO33" s="792"/>
      <c r="AP33" s="736"/>
      <c r="AQ33" s="792"/>
      <c r="AR33" s="736"/>
      <c r="AS33" s="376" t="str">
        <f t="shared" si="2"/>
        <v/>
      </c>
      <c r="CB33" s="381" t="str">
        <f t="shared" si="3"/>
        <v/>
      </c>
      <c r="CC33" s="381" t="str">
        <f t="shared" si="4"/>
        <v/>
      </c>
      <c r="CD33" s="381" t="str">
        <f t="shared" si="5"/>
        <v/>
      </c>
      <c r="CE33" s="381" t="str">
        <f t="shared" si="6"/>
        <v/>
      </c>
      <c r="CI33" s="385"/>
      <c r="CJ33" s="391">
        <f t="shared" si="7"/>
        <v>0</v>
      </c>
      <c r="CK33" s="391">
        <f t="shared" si="8"/>
        <v>0</v>
      </c>
      <c r="CL33" s="391">
        <f t="shared" si="9"/>
        <v>0</v>
      </c>
      <c r="CM33" s="391">
        <f t="shared" si="10"/>
        <v>0</v>
      </c>
      <c r="CN33" s="385"/>
      <c r="CO33" s="385"/>
    </row>
    <row r="34" spans="1:93" ht="24" customHeight="1" thickBot="1" x14ac:dyDescent="0.3">
      <c r="A34" s="2008"/>
      <c r="B34" s="1435" t="s">
        <v>840</v>
      </c>
      <c r="C34" s="760">
        <f t="shared" si="0"/>
        <v>0</v>
      </c>
      <c r="D34" s="761">
        <f>+F34+H34+J34+L34+N34+P34+R34+T34+V34+X34+Z34+AB34+AD34+AF34+AH34+AJ34+AL34</f>
        <v>0</v>
      </c>
      <c r="E34" s="762">
        <f>+G34+I34+K34+M34+O34+Q34+S34+U34+W34+Y34+AA34+AC34+AE34+AG34+AI34+AK34+AM34</f>
        <v>0</v>
      </c>
      <c r="F34" s="755"/>
      <c r="G34" s="756"/>
      <c r="H34" s="755"/>
      <c r="I34" s="756"/>
      <c r="J34" s="755"/>
      <c r="K34" s="756"/>
      <c r="L34" s="755"/>
      <c r="M34" s="756"/>
      <c r="N34" s="755"/>
      <c r="O34" s="756"/>
      <c r="P34" s="755"/>
      <c r="Q34" s="756"/>
      <c r="R34" s="755"/>
      <c r="S34" s="756"/>
      <c r="T34" s="755"/>
      <c r="U34" s="756"/>
      <c r="V34" s="755"/>
      <c r="W34" s="756"/>
      <c r="X34" s="755"/>
      <c r="Y34" s="756"/>
      <c r="Z34" s="755"/>
      <c r="AA34" s="756"/>
      <c r="AB34" s="755"/>
      <c r="AC34" s="756"/>
      <c r="AD34" s="755"/>
      <c r="AE34" s="756"/>
      <c r="AF34" s="755"/>
      <c r="AG34" s="756"/>
      <c r="AH34" s="755"/>
      <c r="AI34" s="756"/>
      <c r="AJ34" s="755"/>
      <c r="AK34" s="756"/>
      <c r="AL34" s="755"/>
      <c r="AM34" s="757"/>
      <c r="AN34" s="763"/>
      <c r="AO34" s="796"/>
      <c r="AP34" s="747"/>
      <c r="AQ34" s="796"/>
      <c r="AR34" s="747"/>
      <c r="AS34" s="376" t="str">
        <f t="shared" si="2"/>
        <v/>
      </c>
      <c r="CB34" s="381" t="str">
        <f t="shared" si="3"/>
        <v/>
      </c>
      <c r="CC34" s="381" t="str">
        <f t="shared" si="4"/>
        <v/>
      </c>
      <c r="CD34" s="381" t="str">
        <f t="shared" si="5"/>
        <v/>
      </c>
      <c r="CE34" s="381" t="str">
        <f t="shared" si="6"/>
        <v/>
      </c>
      <c r="CF34" s="381" t="str">
        <f>IF($C34&lt;=$C32+$C33,"","Dependencia severa con lesión de Presión no debe ser mayor que los Dependientes oncológicos más no Oncológicos. ")</f>
        <v/>
      </c>
      <c r="CI34" s="385"/>
      <c r="CJ34" s="391">
        <f t="shared" si="7"/>
        <v>0</v>
      </c>
      <c r="CK34" s="391">
        <f t="shared" si="8"/>
        <v>0</v>
      </c>
      <c r="CL34" s="391">
        <f t="shared" si="9"/>
        <v>0</v>
      </c>
      <c r="CM34" s="391">
        <f t="shared" si="10"/>
        <v>0</v>
      </c>
      <c r="CN34" s="391">
        <f>IF($C34&lt;=$C32+$C33,0,1)</f>
        <v>0</v>
      </c>
      <c r="CO34" s="385"/>
    </row>
    <row r="35" spans="1:93" ht="19.5" customHeight="1" thickTop="1" x14ac:dyDescent="0.25">
      <c r="A35" s="1996" t="s">
        <v>147</v>
      </c>
      <c r="B35" s="1008" t="s">
        <v>148</v>
      </c>
      <c r="C35" s="764">
        <f>SUM(D35:E35)</f>
        <v>0</v>
      </c>
      <c r="D35" s="765">
        <f>+F35+H35+J35+L35+N35+P35+R35+T35+V35+X35+Z35+AB35+AD35+AF35+AH35+AJ35+AL35</f>
        <v>0</v>
      </c>
      <c r="E35" s="766">
        <f>+G35+I35+K35+M35+O35+Q35+S35+U35+W35+Y35+AA35+AC35+AE35+AG35+AI35+AK35+AM35</f>
        <v>0</v>
      </c>
      <c r="F35" s="767"/>
      <c r="G35" s="768"/>
      <c r="H35" s="767"/>
      <c r="I35" s="768"/>
      <c r="J35" s="767"/>
      <c r="K35" s="768"/>
      <c r="L35" s="767"/>
      <c r="M35" s="768"/>
      <c r="N35" s="767"/>
      <c r="O35" s="768"/>
      <c r="P35" s="767"/>
      <c r="Q35" s="768"/>
      <c r="R35" s="767"/>
      <c r="S35" s="768"/>
      <c r="T35" s="767"/>
      <c r="U35" s="768"/>
      <c r="V35" s="767"/>
      <c r="W35" s="768"/>
      <c r="X35" s="767"/>
      <c r="Y35" s="768"/>
      <c r="Z35" s="767"/>
      <c r="AA35" s="768"/>
      <c r="AB35" s="767"/>
      <c r="AC35" s="768"/>
      <c r="AD35" s="767"/>
      <c r="AE35" s="768"/>
      <c r="AF35" s="767"/>
      <c r="AG35" s="768"/>
      <c r="AH35" s="767"/>
      <c r="AI35" s="768"/>
      <c r="AJ35" s="767"/>
      <c r="AK35" s="768"/>
      <c r="AL35" s="767"/>
      <c r="AM35" s="769"/>
      <c r="AN35" s="770"/>
      <c r="AO35" s="989"/>
      <c r="AP35" s="768"/>
      <c r="AQ35" s="989"/>
      <c r="AR35" s="768"/>
      <c r="AS35" s="376" t="str">
        <f t="shared" si="2"/>
        <v/>
      </c>
      <c r="CB35" s="381" t="str">
        <f t="shared" si="3"/>
        <v/>
      </c>
      <c r="CC35" s="381" t="str">
        <f t="shared" si="4"/>
        <v/>
      </c>
      <c r="CD35" s="381" t="str">
        <f t="shared" si="5"/>
        <v/>
      </c>
      <c r="CE35" s="381" t="str">
        <f t="shared" si="6"/>
        <v/>
      </c>
      <c r="CF35" s="381" t="str">
        <f>IF($C35&lt;=$C32+$C33,"","* Atención Domiciliaria por Dependencia Severa: Total Personas no debe ser mayor que los Dependientes oncológicos más no Oncológicos. ")</f>
        <v/>
      </c>
      <c r="CI35" s="385"/>
      <c r="CJ35" s="391">
        <f t="shared" si="7"/>
        <v>0</v>
      </c>
      <c r="CK35" s="391">
        <f t="shared" si="8"/>
        <v>0</v>
      </c>
      <c r="CL35" s="391">
        <f t="shared" si="9"/>
        <v>0</v>
      </c>
      <c r="CM35" s="391">
        <f t="shared" si="10"/>
        <v>0</v>
      </c>
      <c r="CN35" s="391">
        <f>IF($C35&lt;=$C32+$C33,0,1)</f>
        <v>0</v>
      </c>
      <c r="CO35" s="385"/>
    </row>
    <row r="36" spans="1:93" ht="19.5" customHeight="1" x14ac:dyDescent="0.25">
      <c r="A36" s="1997"/>
      <c r="B36" s="1312" t="s">
        <v>145</v>
      </c>
      <c r="C36" s="716">
        <f t="shared" si="0"/>
        <v>0</v>
      </c>
      <c r="D36" s="734">
        <f t="shared" si="14"/>
        <v>0</v>
      </c>
      <c r="E36" s="718">
        <f t="shared" si="13"/>
        <v>0</v>
      </c>
      <c r="F36" s="735"/>
      <c r="G36" s="736"/>
      <c r="H36" s="735"/>
      <c r="I36" s="736"/>
      <c r="J36" s="735"/>
      <c r="K36" s="736"/>
      <c r="L36" s="735"/>
      <c r="M36" s="736"/>
      <c r="N36" s="735"/>
      <c r="O36" s="736"/>
      <c r="P36" s="735"/>
      <c r="Q36" s="736"/>
      <c r="R36" s="735"/>
      <c r="S36" s="736"/>
      <c r="T36" s="735"/>
      <c r="U36" s="736"/>
      <c r="V36" s="735"/>
      <c r="W36" s="736"/>
      <c r="X36" s="735"/>
      <c r="Y36" s="736"/>
      <c r="Z36" s="735"/>
      <c r="AA36" s="736"/>
      <c r="AB36" s="735"/>
      <c r="AC36" s="736"/>
      <c r="AD36" s="735"/>
      <c r="AE36" s="736"/>
      <c r="AF36" s="735"/>
      <c r="AG36" s="736"/>
      <c r="AH36" s="735"/>
      <c r="AI36" s="736"/>
      <c r="AJ36" s="735"/>
      <c r="AK36" s="736"/>
      <c r="AL36" s="735"/>
      <c r="AM36" s="744"/>
      <c r="AN36" s="759"/>
      <c r="AO36" s="792"/>
      <c r="AP36" s="736"/>
      <c r="AQ36" s="792"/>
      <c r="AR36" s="736"/>
      <c r="AS36" s="376" t="str">
        <f t="shared" si="2"/>
        <v/>
      </c>
      <c r="CB36" s="381" t="str">
        <f t="shared" si="3"/>
        <v/>
      </c>
      <c r="CC36" s="381" t="str">
        <f t="shared" si="4"/>
        <v/>
      </c>
      <c r="CD36" s="381" t="str">
        <f t="shared" si="5"/>
        <v/>
      </c>
      <c r="CE36" s="381" t="str">
        <f t="shared" si="6"/>
        <v/>
      </c>
      <c r="CF36" s="381" t="str">
        <f>IF($C36&lt;=$C$35,"","* Atención Domiciliaria por Dependencia Severa: Total Oncológica no debe ser mayor al Total Personas. ")</f>
        <v/>
      </c>
      <c r="CG36" s="381" t="str">
        <f>IF($C36&lt;=$C32,"","* Atención Domiciliaria por Dependencia Severa: Total Oncológica no debe ser mayor a las personas con Dependencia Severa Oncológica. ")</f>
        <v/>
      </c>
      <c r="CI36" s="385"/>
      <c r="CJ36" s="391">
        <f t="shared" si="7"/>
        <v>0</v>
      </c>
      <c r="CK36" s="391">
        <f t="shared" si="8"/>
        <v>0</v>
      </c>
      <c r="CL36" s="391">
        <f t="shared" si="9"/>
        <v>0</v>
      </c>
      <c r="CM36" s="391">
        <f t="shared" si="10"/>
        <v>0</v>
      </c>
      <c r="CN36" s="391">
        <f>IF($C36&lt;=$C$35,0,1)</f>
        <v>0</v>
      </c>
      <c r="CO36" s="391">
        <f>IF($C36&lt;=$C32,0,1)</f>
        <v>0</v>
      </c>
    </row>
    <row r="37" spans="1:93" ht="19.5" customHeight="1" x14ac:dyDescent="0.25">
      <c r="A37" s="1997"/>
      <c r="B37" s="143" t="s">
        <v>146</v>
      </c>
      <c r="C37" s="716">
        <f t="shared" ref="C37:C40" si="15">SUM(D37:E37)</f>
        <v>0</v>
      </c>
      <c r="D37" s="734">
        <f t="shared" ref="D37:D40" si="16">+F37+H37+J37+L37+N37+P37+R37+T37+V37+X37+Z37+AB37+AD37+AF37+AH37+AJ37+AL37</f>
        <v>0</v>
      </c>
      <c r="E37" s="718">
        <f t="shared" ref="E37:E40" si="17">+G37+I37+K37+M37+O37+Q37+S37+U37+W37+Y37+AA37+AC37+AE37+AG37+AI37+AK37+AM37</f>
        <v>0</v>
      </c>
      <c r="F37" s="735"/>
      <c r="G37" s="736"/>
      <c r="H37" s="735"/>
      <c r="I37" s="736"/>
      <c r="J37" s="735"/>
      <c r="K37" s="736"/>
      <c r="L37" s="735"/>
      <c r="M37" s="736"/>
      <c r="N37" s="735"/>
      <c r="O37" s="736"/>
      <c r="P37" s="735"/>
      <c r="Q37" s="736"/>
      <c r="R37" s="735"/>
      <c r="S37" s="736"/>
      <c r="T37" s="735"/>
      <c r="U37" s="736"/>
      <c r="V37" s="735"/>
      <c r="W37" s="736"/>
      <c r="X37" s="735"/>
      <c r="Y37" s="736"/>
      <c r="Z37" s="735"/>
      <c r="AA37" s="736"/>
      <c r="AB37" s="735"/>
      <c r="AC37" s="736"/>
      <c r="AD37" s="735"/>
      <c r="AE37" s="736"/>
      <c r="AF37" s="735"/>
      <c r="AG37" s="736"/>
      <c r="AH37" s="735"/>
      <c r="AI37" s="736"/>
      <c r="AJ37" s="735"/>
      <c r="AK37" s="736"/>
      <c r="AL37" s="735"/>
      <c r="AM37" s="744"/>
      <c r="AN37" s="759"/>
      <c r="AO37" s="792"/>
      <c r="AP37" s="736"/>
      <c r="AQ37" s="792"/>
      <c r="AR37" s="736"/>
      <c r="AS37" s="376" t="str">
        <f t="shared" si="2"/>
        <v/>
      </c>
      <c r="CB37" s="381" t="str">
        <f t="shared" si="3"/>
        <v/>
      </c>
      <c r="CC37" s="381" t="str">
        <f t="shared" si="4"/>
        <v/>
      </c>
      <c r="CD37" s="381" t="str">
        <f t="shared" si="5"/>
        <v/>
      </c>
      <c r="CE37" s="381" t="str">
        <f t="shared" si="6"/>
        <v/>
      </c>
      <c r="CF37" s="381" t="str">
        <f>IF($C37&lt;=$C$35,"","* Atención Domiciliaria por Dependencia Severa: Total No Oncológica no debe ser mayor al Total Personas. ")</f>
        <v/>
      </c>
      <c r="CG37" s="381" t="str">
        <f>IF($C37&lt;=$C33,"","* Atención Domiciliaria por Dependencia Severa: Total No Oncológica no debe ser mayor a las personas con Dependencia Severa No Oncológica. ")</f>
        <v/>
      </c>
      <c r="CI37" s="385"/>
      <c r="CJ37" s="391">
        <f t="shared" si="7"/>
        <v>0</v>
      </c>
      <c r="CK37" s="391">
        <f t="shared" si="8"/>
        <v>0</v>
      </c>
      <c r="CL37" s="391">
        <f t="shared" si="9"/>
        <v>0</v>
      </c>
      <c r="CM37" s="391">
        <f t="shared" si="10"/>
        <v>0</v>
      </c>
      <c r="CN37" s="391">
        <f t="shared" ref="CN37:CN41" si="18">IF($C37&lt;=$C$35,0,1)</f>
        <v>0</v>
      </c>
      <c r="CO37" s="391">
        <f>IF($C37&lt;=$C33,0,1)</f>
        <v>0</v>
      </c>
    </row>
    <row r="38" spans="1:93" ht="19.5" customHeight="1" x14ac:dyDescent="0.25">
      <c r="A38" s="1997"/>
      <c r="B38" s="143" t="s">
        <v>731</v>
      </c>
      <c r="C38" s="716">
        <f t="shared" si="15"/>
        <v>0</v>
      </c>
      <c r="D38" s="734">
        <f t="shared" si="16"/>
        <v>0</v>
      </c>
      <c r="E38" s="718">
        <f t="shared" si="17"/>
        <v>0</v>
      </c>
      <c r="F38" s="735"/>
      <c r="G38" s="736"/>
      <c r="H38" s="735"/>
      <c r="I38" s="736"/>
      <c r="J38" s="735"/>
      <c r="K38" s="736"/>
      <c r="L38" s="735"/>
      <c r="M38" s="736"/>
      <c r="N38" s="735"/>
      <c r="O38" s="736"/>
      <c r="P38" s="735"/>
      <c r="Q38" s="736"/>
      <c r="R38" s="735"/>
      <c r="S38" s="736"/>
      <c r="T38" s="735"/>
      <c r="U38" s="736"/>
      <c r="V38" s="735"/>
      <c r="W38" s="736"/>
      <c r="X38" s="735"/>
      <c r="Y38" s="736"/>
      <c r="Z38" s="735"/>
      <c r="AA38" s="736"/>
      <c r="AB38" s="735"/>
      <c r="AC38" s="736"/>
      <c r="AD38" s="735"/>
      <c r="AE38" s="736"/>
      <c r="AF38" s="735"/>
      <c r="AG38" s="736"/>
      <c r="AH38" s="735"/>
      <c r="AI38" s="736"/>
      <c r="AJ38" s="735"/>
      <c r="AK38" s="736"/>
      <c r="AL38" s="735"/>
      <c r="AM38" s="744"/>
      <c r="AN38" s="759"/>
      <c r="AO38" s="792"/>
      <c r="AP38" s="736"/>
      <c r="AQ38" s="792"/>
      <c r="AR38" s="736"/>
      <c r="AS38" s="376" t="str">
        <f t="shared" si="2"/>
        <v/>
      </c>
      <c r="CB38" s="381" t="str">
        <f t="shared" si="3"/>
        <v/>
      </c>
      <c r="CC38" s="381" t="str">
        <f t="shared" si="4"/>
        <v/>
      </c>
      <c r="CD38" s="381" t="str">
        <f t="shared" si="5"/>
        <v/>
      </c>
      <c r="CE38" s="381" t="str">
        <f t="shared" si="6"/>
        <v/>
      </c>
      <c r="CF38" s="381" t="str">
        <f>IF($C38&lt;=$C$35,"","* Atención Domiciliaria por Dependencia Severa: Total Con Demencia no debe ser mayor al Total Personas. ")</f>
        <v/>
      </c>
      <c r="CI38" s="385"/>
      <c r="CJ38" s="391">
        <f t="shared" si="7"/>
        <v>0</v>
      </c>
      <c r="CK38" s="391">
        <f t="shared" si="8"/>
        <v>0</v>
      </c>
      <c r="CL38" s="391">
        <f t="shared" si="9"/>
        <v>0</v>
      </c>
      <c r="CM38" s="391">
        <f t="shared" si="10"/>
        <v>0</v>
      </c>
      <c r="CN38" s="391">
        <f t="shared" si="18"/>
        <v>0</v>
      </c>
      <c r="CO38" s="385"/>
    </row>
    <row r="39" spans="1:93" ht="19.5" customHeight="1" x14ac:dyDescent="0.25">
      <c r="A39" s="1997"/>
      <c r="B39" s="143" t="s">
        <v>821</v>
      </c>
      <c r="C39" s="716">
        <f t="shared" si="15"/>
        <v>0</v>
      </c>
      <c r="D39" s="734">
        <f t="shared" si="16"/>
        <v>0</v>
      </c>
      <c r="E39" s="718">
        <f t="shared" si="17"/>
        <v>0</v>
      </c>
      <c r="F39" s="735"/>
      <c r="G39" s="736"/>
      <c r="H39" s="735"/>
      <c r="I39" s="736"/>
      <c r="J39" s="735"/>
      <c r="K39" s="736"/>
      <c r="L39" s="735"/>
      <c r="M39" s="736"/>
      <c r="N39" s="735"/>
      <c r="O39" s="736"/>
      <c r="P39" s="735"/>
      <c r="Q39" s="736"/>
      <c r="R39" s="735"/>
      <c r="S39" s="736"/>
      <c r="T39" s="735"/>
      <c r="U39" s="736"/>
      <c r="V39" s="735"/>
      <c r="W39" s="736"/>
      <c r="X39" s="735"/>
      <c r="Y39" s="736"/>
      <c r="Z39" s="735"/>
      <c r="AA39" s="736"/>
      <c r="AB39" s="735"/>
      <c r="AC39" s="736"/>
      <c r="AD39" s="735"/>
      <c r="AE39" s="736"/>
      <c r="AF39" s="735"/>
      <c r="AG39" s="736"/>
      <c r="AH39" s="735"/>
      <c r="AI39" s="736"/>
      <c r="AJ39" s="735"/>
      <c r="AK39" s="736"/>
      <c r="AL39" s="735"/>
      <c r="AM39" s="744"/>
      <c r="AN39" s="759"/>
      <c r="AO39" s="792"/>
      <c r="AP39" s="736"/>
      <c r="AQ39" s="792"/>
      <c r="AR39" s="736"/>
      <c r="AS39" s="376" t="str">
        <f t="shared" si="2"/>
        <v/>
      </c>
      <c r="CB39" s="381" t="str">
        <f t="shared" si="3"/>
        <v/>
      </c>
      <c r="CC39" s="381" t="str">
        <f t="shared" si="4"/>
        <v/>
      </c>
      <c r="CD39" s="381" t="str">
        <f t="shared" si="5"/>
        <v/>
      </c>
      <c r="CE39" s="381" t="str">
        <f t="shared" si="6"/>
        <v/>
      </c>
      <c r="CF39" s="381" t="str">
        <f>IF($C39&lt;=$C$35,"","* Atención Domiciliaria por Dependencia Severa: Total Institucionalizada no debe ser mayor al Total Personas. ")</f>
        <v/>
      </c>
      <c r="CI39" s="385"/>
      <c r="CJ39" s="391">
        <f t="shared" si="7"/>
        <v>0</v>
      </c>
      <c r="CK39" s="391">
        <f t="shared" si="8"/>
        <v>0</v>
      </c>
      <c r="CL39" s="391">
        <f t="shared" si="9"/>
        <v>0</v>
      </c>
      <c r="CM39" s="391">
        <f t="shared" si="10"/>
        <v>0</v>
      </c>
      <c r="CN39" s="391">
        <f t="shared" si="18"/>
        <v>0</v>
      </c>
      <c r="CO39" s="385"/>
    </row>
    <row r="40" spans="1:93" ht="23.25" customHeight="1" x14ac:dyDescent="0.25">
      <c r="A40" s="1997"/>
      <c r="B40" s="143" t="s">
        <v>840</v>
      </c>
      <c r="C40" s="716">
        <f t="shared" si="15"/>
        <v>0</v>
      </c>
      <c r="D40" s="734">
        <f t="shared" si="16"/>
        <v>0</v>
      </c>
      <c r="E40" s="718">
        <f t="shared" si="17"/>
        <v>0</v>
      </c>
      <c r="F40" s="735"/>
      <c r="G40" s="736"/>
      <c r="H40" s="735"/>
      <c r="I40" s="736"/>
      <c r="J40" s="735"/>
      <c r="K40" s="736"/>
      <c r="L40" s="735"/>
      <c r="M40" s="736"/>
      <c r="N40" s="735"/>
      <c r="O40" s="736"/>
      <c r="P40" s="735"/>
      <c r="Q40" s="736"/>
      <c r="R40" s="735"/>
      <c r="S40" s="736"/>
      <c r="T40" s="735"/>
      <c r="U40" s="736"/>
      <c r="V40" s="735"/>
      <c r="W40" s="736"/>
      <c r="X40" s="735"/>
      <c r="Y40" s="736"/>
      <c r="Z40" s="735"/>
      <c r="AA40" s="736"/>
      <c r="AB40" s="735"/>
      <c r="AC40" s="736"/>
      <c r="AD40" s="735"/>
      <c r="AE40" s="736"/>
      <c r="AF40" s="735"/>
      <c r="AG40" s="736"/>
      <c r="AH40" s="735"/>
      <c r="AI40" s="736"/>
      <c r="AJ40" s="735"/>
      <c r="AK40" s="736"/>
      <c r="AL40" s="735"/>
      <c r="AM40" s="744"/>
      <c r="AN40" s="759"/>
      <c r="AO40" s="792"/>
      <c r="AP40" s="736"/>
      <c r="AQ40" s="792"/>
      <c r="AR40" s="736"/>
      <c r="AS40" s="376" t="str">
        <f t="shared" si="2"/>
        <v/>
      </c>
      <c r="CB40" s="381" t="str">
        <f t="shared" si="3"/>
        <v/>
      </c>
      <c r="CC40" s="381" t="str">
        <f t="shared" si="4"/>
        <v/>
      </c>
      <c r="CD40" s="381" t="str">
        <f t="shared" si="5"/>
        <v/>
      </c>
      <c r="CE40" s="381" t="str">
        <f t="shared" si="6"/>
        <v/>
      </c>
      <c r="CF40" s="381" t="str">
        <f>IF($C40&lt;=$C39,"","* Atención Domiciliaria por Dependencia Severa: Total Personas con lesión por Presión no debe ser mayor al Total Personas. ")</f>
        <v/>
      </c>
      <c r="CG40" s="381" t="str">
        <f>IF($C40&lt;=$C34,"","* Atención Domiciliaria por Dependencia Severa: Total Personas con Lesión por Presión no debe ser mayor a las personas con Dependencia Severa con Lesión por Presión. ")</f>
        <v/>
      </c>
      <c r="CI40" s="385"/>
      <c r="CJ40" s="391">
        <f t="shared" si="7"/>
        <v>0</v>
      </c>
      <c r="CK40" s="391">
        <f t="shared" si="8"/>
        <v>0</v>
      </c>
      <c r="CL40" s="391">
        <f t="shared" si="9"/>
        <v>0</v>
      </c>
      <c r="CM40" s="391">
        <f t="shared" si="10"/>
        <v>0</v>
      </c>
      <c r="CN40" s="391">
        <f t="shared" si="18"/>
        <v>0</v>
      </c>
      <c r="CO40" s="391">
        <f>IF($C40&lt;=$C34,0,1)</f>
        <v>0</v>
      </c>
    </row>
    <row r="41" spans="1:93" ht="26.25" customHeight="1" x14ac:dyDescent="0.25">
      <c r="A41" s="1998"/>
      <c r="B41" s="1046" t="s">
        <v>560</v>
      </c>
      <c r="C41" s="745">
        <f>SUM(D41:E41)</f>
        <v>0</v>
      </c>
      <c r="D41" s="923">
        <f>+F41+H41+J41+L41+N41+P41+R41+T41+V41+X41+Z41+AB41+AD41+AF41+AH41+AJ41+AL41</f>
        <v>0</v>
      </c>
      <c r="E41" s="1009">
        <f>+G41+I41+K41+M41+O41+Q41+S41+U41+W41+Y41+AA41+AC41+AE41+AG41+AI41+AK41+AM41</f>
        <v>0</v>
      </c>
      <c r="F41" s="751"/>
      <c r="G41" s="752"/>
      <c r="H41" s="751"/>
      <c r="I41" s="752"/>
      <c r="J41" s="751"/>
      <c r="K41" s="752"/>
      <c r="L41" s="751"/>
      <c r="M41" s="752"/>
      <c r="N41" s="751"/>
      <c r="O41" s="752"/>
      <c r="P41" s="751"/>
      <c r="Q41" s="752"/>
      <c r="R41" s="751"/>
      <c r="S41" s="752"/>
      <c r="T41" s="751"/>
      <c r="U41" s="752"/>
      <c r="V41" s="751"/>
      <c r="W41" s="752"/>
      <c r="X41" s="751"/>
      <c r="Y41" s="752"/>
      <c r="Z41" s="751"/>
      <c r="AA41" s="752"/>
      <c r="AB41" s="751"/>
      <c r="AC41" s="752"/>
      <c r="AD41" s="751"/>
      <c r="AE41" s="752"/>
      <c r="AF41" s="751"/>
      <c r="AG41" s="752"/>
      <c r="AH41" s="751"/>
      <c r="AI41" s="752"/>
      <c r="AJ41" s="751"/>
      <c r="AK41" s="752"/>
      <c r="AL41" s="751"/>
      <c r="AM41" s="753"/>
      <c r="AN41" s="1010"/>
      <c r="AO41" s="815"/>
      <c r="AP41" s="752"/>
      <c r="AQ41" s="815"/>
      <c r="AR41" s="752"/>
      <c r="AS41" s="376" t="str">
        <f t="shared" si="2"/>
        <v/>
      </c>
      <c r="CB41" s="381" t="str">
        <f t="shared" si="3"/>
        <v/>
      </c>
      <c r="CC41" s="381" t="str">
        <f t="shared" si="4"/>
        <v/>
      </c>
      <c r="CD41" s="381" t="str">
        <f t="shared" si="5"/>
        <v/>
      </c>
      <c r="CE41" s="381" t="str">
        <f t="shared" si="6"/>
        <v/>
      </c>
      <c r="CF41" s="381" t="str">
        <f>IF($C41&lt;=$C$35,"","Total Personas con indicación de Nutrición Enteral Domiciliaria no debe ser mayor al Total Personas. ")</f>
        <v/>
      </c>
      <c r="CI41" s="385"/>
      <c r="CJ41" s="391">
        <f t="shared" si="7"/>
        <v>0</v>
      </c>
      <c r="CK41" s="391">
        <f t="shared" si="8"/>
        <v>0</v>
      </c>
      <c r="CL41" s="391">
        <f t="shared" si="9"/>
        <v>0</v>
      </c>
      <c r="CM41" s="391">
        <f t="shared" si="10"/>
        <v>0</v>
      </c>
      <c r="CN41" s="391">
        <f t="shared" si="18"/>
        <v>0</v>
      </c>
      <c r="CO41" s="385"/>
    </row>
    <row r="42" spans="1:93" ht="15.75" customHeight="1" x14ac:dyDescent="0.25">
      <c r="A42" s="144" t="s">
        <v>149</v>
      </c>
      <c r="B42" s="145"/>
      <c r="C42" s="144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57"/>
      <c r="CI42" s="385"/>
      <c r="CJ42" s="385"/>
      <c r="CK42" s="385"/>
      <c r="CL42" s="385"/>
      <c r="CM42" s="385"/>
      <c r="CN42" s="385"/>
      <c r="CO42" s="385"/>
    </row>
    <row r="43" spans="1:93" ht="32.25" customHeight="1" x14ac:dyDescent="0.25">
      <c r="A43" s="2011" t="s">
        <v>150</v>
      </c>
      <c r="B43" s="2011"/>
      <c r="C43" s="2011"/>
      <c r="D43" s="2011"/>
      <c r="E43" s="2011"/>
      <c r="F43" s="2011"/>
      <c r="G43" s="2011"/>
      <c r="H43" s="2011"/>
      <c r="I43" s="2011"/>
      <c r="J43" s="2011"/>
      <c r="K43" s="2011"/>
      <c r="L43" s="2011"/>
      <c r="M43" s="2011"/>
      <c r="N43" s="2011"/>
      <c r="O43" s="2011"/>
      <c r="P43" s="2011"/>
      <c r="Q43" s="2011"/>
      <c r="R43" s="2011"/>
      <c r="S43" s="2011"/>
      <c r="T43" s="2011"/>
      <c r="U43" s="2011"/>
      <c r="V43" s="2011"/>
      <c r="W43" s="2011"/>
      <c r="X43" s="2011"/>
      <c r="Y43" s="2011"/>
      <c r="Z43" s="2011"/>
      <c r="AA43" s="2011"/>
      <c r="AB43" s="2011"/>
      <c r="AC43" s="2011"/>
      <c r="AD43" s="2011"/>
      <c r="AE43" s="2011"/>
      <c r="AF43" s="2011"/>
      <c r="AG43" s="2011"/>
      <c r="AH43" s="2011"/>
      <c r="AI43" s="2011"/>
      <c r="AJ43" s="2011"/>
      <c r="AK43" s="2011"/>
      <c r="AL43" s="2011"/>
      <c r="AM43" s="2011"/>
      <c r="AN43" s="2011"/>
      <c r="AO43" s="2011"/>
      <c r="AP43" s="2011"/>
      <c r="CI43" s="385"/>
      <c r="CJ43" s="385"/>
      <c r="CK43" s="385"/>
      <c r="CL43" s="385"/>
      <c r="CM43" s="385"/>
      <c r="CN43" s="385"/>
      <c r="CO43" s="385"/>
    </row>
    <row r="44" spans="1:93" ht="17.25" customHeight="1" x14ac:dyDescent="0.25">
      <c r="A44" s="2039" t="s">
        <v>151</v>
      </c>
      <c r="B44" s="1916" t="s">
        <v>496</v>
      </c>
      <c r="C44" s="1919" t="s">
        <v>31</v>
      </c>
      <c r="D44" s="1999" t="s">
        <v>94</v>
      </c>
      <c r="E44" s="2012" t="s">
        <v>147</v>
      </c>
      <c r="F44" s="2012"/>
      <c r="G44" s="2012"/>
      <c r="H44" s="2012"/>
      <c r="I44" s="2012"/>
      <c r="J44" s="2012"/>
      <c r="K44" s="2013"/>
      <c r="AO44" s="180"/>
      <c r="AS44" s="57"/>
      <c r="AZ44" s="180"/>
      <c r="BA44" s="180"/>
      <c r="BB44" s="180"/>
      <c r="BC44" s="308"/>
      <c r="BP44" s="1050"/>
      <c r="BQ44" s="1050"/>
      <c r="BR44" s="1050"/>
      <c r="BS44" s="308"/>
      <c r="CI44" s="385"/>
      <c r="CJ44" s="385"/>
      <c r="CK44" s="385"/>
      <c r="CL44" s="385"/>
      <c r="CM44" s="385"/>
      <c r="CN44" s="385"/>
      <c r="CO44" s="385"/>
    </row>
    <row r="45" spans="1:93" ht="82.5" customHeight="1" x14ac:dyDescent="0.25">
      <c r="A45" s="2040"/>
      <c r="B45" s="1916"/>
      <c r="C45" s="1919"/>
      <c r="D45" s="1999"/>
      <c r="E45" s="1436" t="s">
        <v>718</v>
      </c>
      <c r="F45" s="1437" t="s">
        <v>461</v>
      </c>
      <c r="G45" s="1437" t="s">
        <v>691</v>
      </c>
      <c r="H45" s="1438" t="s">
        <v>462</v>
      </c>
      <c r="I45" s="1438" t="s">
        <v>692</v>
      </c>
      <c r="J45" s="1438" t="s">
        <v>693</v>
      </c>
      <c r="K45" s="1438" t="s">
        <v>694</v>
      </c>
      <c r="AO45" s="180"/>
      <c r="AS45" s="57"/>
      <c r="AZ45" s="180"/>
      <c r="BA45" s="180"/>
      <c r="BB45" s="180"/>
      <c r="BC45" s="308"/>
      <c r="BP45" s="1050"/>
      <c r="BQ45" s="1050"/>
      <c r="BR45" s="1050"/>
      <c r="BS45" s="308"/>
      <c r="CI45" s="385"/>
      <c r="CJ45" s="385"/>
      <c r="CK45" s="385"/>
      <c r="CL45" s="385"/>
      <c r="CM45" s="385"/>
      <c r="CN45" s="385"/>
      <c r="CO45" s="385"/>
    </row>
    <row r="46" spans="1:93" ht="24" customHeight="1" x14ac:dyDescent="0.25">
      <c r="A46" s="1439" t="s">
        <v>152</v>
      </c>
      <c r="B46" s="1678">
        <f>SUM(C46:D46)</f>
        <v>0</v>
      </c>
      <c r="C46" s="893"/>
      <c r="D46" s="1307"/>
      <c r="E46" s="1306"/>
      <c r="F46" s="1440"/>
      <c r="G46" s="1440"/>
      <c r="H46" s="894"/>
      <c r="I46" s="894"/>
      <c r="J46" s="894"/>
      <c r="K46" s="894"/>
      <c r="L46" s="376" t="str">
        <f>CA46&amp;CB46&amp;CC46&amp;CD46&amp;CE46&amp;CF46&amp;CG46&amp;CH46</f>
        <v/>
      </c>
      <c r="AN46" s="59"/>
      <c r="AO46" s="180"/>
      <c r="AS46" s="57"/>
      <c r="AZ46" s="180"/>
      <c r="BA46" s="180"/>
      <c r="BB46" s="180"/>
      <c r="BC46" s="308"/>
      <c r="BP46" s="1050"/>
      <c r="BQ46" s="1050"/>
      <c r="BR46" s="1050"/>
      <c r="BS46" s="308"/>
      <c r="CC46" s="381" t="str">
        <f>IF((C46+$D46&gt;=$H46),"","* Los Cuidadores con apoyo monetario no debe ser mayor al Total de Cuidadores. ")</f>
        <v/>
      </c>
      <c r="CD46" s="381" t="str">
        <f>IF((C46+$D46&gt;=$E46),"","* Los Cuidadores Capacitados no debe ser mayor al Total Cuidadores. ")</f>
        <v/>
      </c>
      <c r="CE46" s="381"/>
      <c r="CF46" s="381"/>
      <c r="CG46" s="381"/>
      <c r="CI46" s="385"/>
      <c r="CJ46" s="385"/>
      <c r="CK46" s="391">
        <f>IF($D46&gt;=$H46,0,1)</f>
        <v>0</v>
      </c>
      <c r="CL46" s="391">
        <f>IF($D46&gt;=$E46,0,1)</f>
        <v>0</v>
      </c>
      <c r="CM46" s="391"/>
      <c r="CN46" s="391"/>
      <c r="CO46" s="391"/>
    </row>
    <row r="47" spans="1:93" ht="30.6" customHeight="1" x14ac:dyDescent="0.25">
      <c r="A47" s="2024" t="s">
        <v>153</v>
      </c>
      <c r="B47" s="2024"/>
      <c r="C47" s="2024"/>
      <c r="D47" s="2024"/>
      <c r="E47" s="2024"/>
      <c r="F47" s="2024"/>
      <c r="G47" s="2024"/>
      <c r="H47" s="2024"/>
      <c r="I47" s="2024"/>
      <c r="J47" s="2024"/>
      <c r="K47" s="2024"/>
      <c r="L47" s="2024"/>
      <c r="M47" s="2024"/>
      <c r="N47" s="2024"/>
      <c r="O47" s="2024"/>
      <c r="P47" s="2024"/>
      <c r="Q47" s="2024"/>
      <c r="R47" s="2024"/>
      <c r="S47" s="2024"/>
      <c r="T47" s="2024"/>
      <c r="U47" s="2024"/>
      <c r="V47" s="2024"/>
      <c r="W47" s="2024"/>
      <c r="X47" s="2024"/>
      <c r="Y47" s="2024"/>
      <c r="Z47" s="2024"/>
      <c r="AA47" s="2024"/>
      <c r="AB47" s="2024"/>
      <c r="AC47" s="2024"/>
      <c r="AD47" s="2024"/>
      <c r="AE47" s="2024"/>
      <c r="AF47" s="2024"/>
      <c r="AG47" s="2024"/>
      <c r="AH47" s="2024"/>
      <c r="AI47" s="2024"/>
      <c r="AJ47" s="2024"/>
      <c r="AK47" s="2024"/>
      <c r="AL47" s="2024"/>
      <c r="AM47" s="2024"/>
      <c r="CI47" s="385"/>
      <c r="CJ47" s="385"/>
      <c r="CK47" s="385"/>
      <c r="CL47" s="385"/>
      <c r="CM47" s="385"/>
      <c r="CN47" s="385"/>
      <c r="CO47" s="385"/>
    </row>
    <row r="48" spans="1:93" ht="21" customHeight="1" x14ac:dyDescent="0.25">
      <c r="A48" s="2032" t="s">
        <v>154</v>
      </c>
      <c r="B48" s="2033"/>
      <c r="C48" s="1985" t="s">
        <v>13</v>
      </c>
      <c r="D48" s="1985"/>
      <c r="E48" s="1985"/>
      <c r="F48" s="1977" t="s">
        <v>126</v>
      </c>
      <c r="G48" s="1977"/>
      <c r="H48" s="1977"/>
      <c r="I48" s="1977"/>
      <c r="J48" s="1977"/>
      <c r="K48" s="1977"/>
      <c r="L48" s="1977"/>
      <c r="M48" s="1977"/>
      <c r="N48" s="1977"/>
      <c r="O48" s="1977"/>
      <c r="P48" s="1977"/>
      <c r="Q48" s="1977"/>
      <c r="R48" s="1977"/>
      <c r="S48" s="1977"/>
      <c r="T48" s="1977"/>
      <c r="U48" s="1977"/>
      <c r="V48" s="1977"/>
      <c r="W48" s="1977"/>
      <c r="X48" s="1977"/>
      <c r="Y48" s="1977"/>
      <c r="Z48" s="1977"/>
      <c r="AA48" s="1977"/>
      <c r="AB48" s="1977"/>
      <c r="AC48" s="1977"/>
      <c r="AD48" s="1977"/>
      <c r="AE48" s="1977"/>
      <c r="AF48" s="1977"/>
      <c r="AG48" s="1977"/>
      <c r="AH48" s="1977"/>
      <c r="AI48" s="1977"/>
      <c r="AJ48" s="1977"/>
      <c r="AK48" s="1977"/>
      <c r="AL48" s="1977"/>
      <c r="AM48" s="1977"/>
      <c r="CI48" s="385"/>
      <c r="CJ48" s="385"/>
      <c r="CK48" s="385"/>
      <c r="CL48" s="385"/>
      <c r="CM48" s="385"/>
      <c r="CN48" s="385"/>
      <c r="CO48" s="385"/>
    </row>
    <row r="49" spans="1:93" ht="18" customHeight="1" x14ac:dyDescent="0.25">
      <c r="A49" s="2034"/>
      <c r="B49" s="1997"/>
      <c r="C49" s="1985"/>
      <c r="D49" s="1985"/>
      <c r="E49" s="1985"/>
      <c r="F49" s="1965" t="s">
        <v>206</v>
      </c>
      <c r="G49" s="1966"/>
      <c r="H49" s="1965" t="s">
        <v>207</v>
      </c>
      <c r="I49" s="1966"/>
      <c r="J49" s="1965" t="s">
        <v>128</v>
      </c>
      <c r="K49" s="1966"/>
      <c r="L49" s="1967" t="s">
        <v>17</v>
      </c>
      <c r="M49" s="1967"/>
      <c r="N49" s="1967" t="s">
        <v>18</v>
      </c>
      <c r="O49" s="1967"/>
      <c r="P49" s="1967" t="s">
        <v>19</v>
      </c>
      <c r="Q49" s="1967"/>
      <c r="R49" s="1968" t="s">
        <v>20</v>
      </c>
      <c r="S49" s="1969"/>
      <c r="T49" s="1967" t="s">
        <v>21</v>
      </c>
      <c r="U49" s="1967"/>
      <c r="V49" s="1968" t="s">
        <v>22</v>
      </c>
      <c r="W49" s="1969"/>
      <c r="X49" s="1967" t="s">
        <v>23</v>
      </c>
      <c r="Y49" s="1967"/>
      <c r="Z49" s="1968" t="s">
        <v>24</v>
      </c>
      <c r="AA49" s="1969"/>
      <c r="AB49" s="1967" t="s">
        <v>208</v>
      </c>
      <c r="AC49" s="1967"/>
      <c r="AD49" s="1968" t="s">
        <v>209</v>
      </c>
      <c r="AE49" s="1969"/>
      <c r="AF49" s="1970" t="s">
        <v>181</v>
      </c>
      <c r="AG49" s="1971"/>
      <c r="AH49" s="1970" t="s">
        <v>182</v>
      </c>
      <c r="AI49" s="1971"/>
      <c r="AJ49" s="1970" t="s">
        <v>183</v>
      </c>
      <c r="AK49" s="1971"/>
      <c r="AL49" s="1970" t="s">
        <v>195</v>
      </c>
      <c r="AM49" s="1971"/>
      <c r="CI49" s="385"/>
      <c r="CJ49" s="385"/>
      <c r="CK49" s="385"/>
      <c r="CL49" s="385"/>
      <c r="CM49" s="385"/>
      <c r="CN49" s="385"/>
      <c r="CO49" s="385"/>
    </row>
    <row r="50" spans="1:93" ht="32.450000000000003" customHeight="1" x14ac:dyDescent="0.25">
      <c r="A50" s="2035"/>
      <c r="B50" s="1998"/>
      <c r="C50" s="130" t="s">
        <v>93</v>
      </c>
      <c r="D50" s="131" t="s">
        <v>31</v>
      </c>
      <c r="E50" s="132" t="s">
        <v>94</v>
      </c>
      <c r="F50" s="133" t="s">
        <v>31</v>
      </c>
      <c r="G50" s="132" t="s">
        <v>94</v>
      </c>
      <c r="H50" s="133" t="s">
        <v>31</v>
      </c>
      <c r="I50" s="132" t="s">
        <v>94</v>
      </c>
      <c r="J50" s="133" t="s">
        <v>31</v>
      </c>
      <c r="K50" s="132" t="s">
        <v>94</v>
      </c>
      <c r="L50" s="134" t="s">
        <v>31</v>
      </c>
      <c r="M50" s="135" t="s">
        <v>94</v>
      </c>
      <c r="N50" s="134" t="s">
        <v>31</v>
      </c>
      <c r="O50" s="135" t="s">
        <v>94</v>
      </c>
      <c r="P50" s="134" t="s">
        <v>31</v>
      </c>
      <c r="Q50" s="135" t="s">
        <v>94</v>
      </c>
      <c r="R50" s="389" t="s">
        <v>31</v>
      </c>
      <c r="S50" s="390" t="s">
        <v>94</v>
      </c>
      <c r="T50" s="134" t="s">
        <v>31</v>
      </c>
      <c r="U50" s="135" t="s">
        <v>94</v>
      </c>
      <c r="V50" s="389" t="s">
        <v>31</v>
      </c>
      <c r="W50" s="390" t="s">
        <v>94</v>
      </c>
      <c r="X50" s="134" t="s">
        <v>31</v>
      </c>
      <c r="Y50" s="135" t="s">
        <v>94</v>
      </c>
      <c r="Z50" s="389" t="s">
        <v>31</v>
      </c>
      <c r="AA50" s="390" t="s">
        <v>94</v>
      </c>
      <c r="AB50" s="134" t="s">
        <v>31</v>
      </c>
      <c r="AC50" s="135" t="s">
        <v>94</v>
      </c>
      <c r="AD50" s="389" t="s">
        <v>31</v>
      </c>
      <c r="AE50" s="390" t="s">
        <v>94</v>
      </c>
      <c r="AF50" s="136" t="s">
        <v>129</v>
      </c>
      <c r="AG50" s="137" t="s">
        <v>94</v>
      </c>
      <c r="AH50" s="136" t="s">
        <v>129</v>
      </c>
      <c r="AI50" s="137" t="s">
        <v>94</v>
      </c>
      <c r="AJ50" s="136" t="s">
        <v>129</v>
      </c>
      <c r="AK50" s="137" t="s">
        <v>94</v>
      </c>
      <c r="AL50" s="136" t="s">
        <v>129</v>
      </c>
      <c r="AM50" s="137" t="s">
        <v>94</v>
      </c>
      <c r="CI50" s="385"/>
      <c r="CJ50" s="385"/>
      <c r="CK50" s="385"/>
      <c r="CL50" s="385"/>
      <c r="CM50" s="385"/>
      <c r="CN50" s="385"/>
      <c r="CO50" s="385"/>
    </row>
    <row r="51" spans="1:93" ht="21" customHeight="1" x14ac:dyDescent="0.25">
      <c r="A51" s="2036" t="s">
        <v>155</v>
      </c>
      <c r="B51" s="1220" t="s">
        <v>641</v>
      </c>
      <c r="C51" s="729">
        <f>SUM(D51:E51)</f>
        <v>0</v>
      </c>
      <c r="D51" s="729">
        <f>+F51+H51+J51+L51+N51+P51+R51+T51+V51+X51+Z51+AB51+AD51+AF51+AH51+AJ51+AL51</f>
        <v>0</v>
      </c>
      <c r="E51" s="730">
        <f>+G51+I51+K51+M51+O51+Q51+S51+U51+W51+Y51+AA51+AC51+AE51+AG51+AI51+AK51+AM51</f>
        <v>0</v>
      </c>
      <c r="F51" s="1209"/>
      <c r="G51" s="1210"/>
      <c r="H51" s="1211"/>
      <c r="I51" s="1210"/>
      <c r="J51" s="1211"/>
      <c r="K51" s="1210"/>
      <c r="L51" s="1211"/>
      <c r="M51" s="1210"/>
      <c r="N51" s="1211"/>
      <c r="O51" s="1210"/>
      <c r="P51" s="1211"/>
      <c r="Q51" s="1210"/>
      <c r="R51" s="1211"/>
      <c r="S51" s="1210"/>
      <c r="T51" s="1211"/>
      <c r="U51" s="1210"/>
      <c r="V51" s="1211"/>
      <c r="W51" s="1210"/>
      <c r="X51" s="1211"/>
      <c r="Y51" s="1210"/>
      <c r="Z51" s="1211"/>
      <c r="AA51" s="1210"/>
      <c r="AB51" s="1211"/>
      <c r="AC51" s="1210"/>
      <c r="AD51" s="1211"/>
      <c r="AE51" s="1210"/>
      <c r="AF51" s="1211"/>
      <c r="AG51" s="1210"/>
      <c r="AH51" s="1211"/>
      <c r="AI51" s="1210"/>
      <c r="AJ51" s="1211"/>
      <c r="AK51" s="1210"/>
      <c r="AL51" s="1211"/>
      <c r="AM51" s="1210"/>
      <c r="AN51" s="1689"/>
      <c r="CI51" s="385"/>
      <c r="CJ51" s="385"/>
      <c r="CK51" s="385"/>
      <c r="CL51" s="385"/>
      <c r="CM51" s="385"/>
      <c r="CN51" s="385"/>
      <c r="CO51" s="385"/>
    </row>
    <row r="52" spans="1:93" ht="21" customHeight="1" x14ac:dyDescent="0.25">
      <c r="A52" s="2037"/>
      <c r="B52" s="1221" t="s">
        <v>642</v>
      </c>
      <c r="C52" s="734">
        <f t="shared" ref="C52:C54" si="19">SUM(D52:E52)</f>
        <v>0</v>
      </c>
      <c r="D52" s="734">
        <f t="shared" ref="D52:D54" si="20">+F52+H52+J52+L52+N52+P52+R52+T52+V52+X52+Z52+AB52+AD52+AF52+AH52+AJ52+AL52</f>
        <v>0</v>
      </c>
      <c r="E52" s="718">
        <f>+G52+I52+K52+M52+O52+Q52+S52+U52+W52+Y52+AA52+AC52+AE52+AG52+AI52+AK52+AM52</f>
        <v>0</v>
      </c>
      <c r="F52" s="1212"/>
      <c r="G52" s="1215"/>
      <c r="H52" s="1214"/>
      <c r="I52" s="1215"/>
      <c r="J52" s="1214"/>
      <c r="K52" s="1215"/>
      <c r="L52" s="1214"/>
      <c r="M52" s="1215"/>
      <c r="N52" s="1214"/>
      <c r="O52" s="1215"/>
      <c r="P52" s="1214"/>
      <c r="Q52" s="1215"/>
      <c r="R52" s="1214"/>
      <c r="S52" s="1215"/>
      <c r="T52" s="1214"/>
      <c r="U52" s="1215"/>
      <c r="V52" s="1214"/>
      <c r="W52" s="1215"/>
      <c r="X52" s="1214"/>
      <c r="Y52" s="1215"/>
      <c r="Z52" s="1214"/>
      <c r="AA52" s="1215"/>
      <c r="AB52" s="1214"/>
      <c r="AC52" s="1215"/>
      <c r="AD52" s="1214"/>
      <c r="AE52" s="1215"/>
      <c r="AF52" s="1214"/>
      <c r="AG52" s="1215"/>
      <c r="AH52" s="1214"/>
      <c r="AI52" s="1215"/>
      <c r="AJ52" s="1214"/>
      <c r="AK52" s="1215"/>
      <c r="AL52" s="1214"/>
      <c r="AM52" s="1215"/>
      <c r="AN52" s="1689"/>
      <c r="CI52" s="385"/>
      <c r="CJ52" s="385"/>
      <c r="CK52" s="385"/>
      <c r="CL52" s="385"/>
      <c r="CM52" s="385"/>
      <c r="CN52" s="385"/>
      <c r="CO52" s="385"/>
    </row>
    <row r="53" spans="1:93" ht="21" customHeight="1" x14ac:dyDescent="0.25">
      <c r="A53" s="2037"/>
      <c r="B53" s="1221" t="s">
        <v>643</v>
      </c>
      <c r="C53" s="734">
        <f t="shared" si="19"/>
        <v>0</v>
      </c>
      <c r="D53" s="734">
        <f t="shared" si="20"/>
        <v>0</v>
      </c>
      <c r="E53" s="718">
        <f t="shared" ref="E53" si="21">+G53+I53+K53+M53+O53+Q53+S53+U53+W53+Y53+AA53+AC53+AE53+AG53+AI53+AK53+AM53</f>
        <v>0</v>
      </c>
      <c r="F53" s="1212"/>
      <c r="G53" s="1215"/>
      <c r="H53" s="1214"/>
      <c r="I53" s="1215"/>
      <c r="J53" s="1214"/>
      <c r="K53" s="1215"/>
      <c r="L53" s="1214"/>
      <c r="M53" s="1215"/>
      <c r="N53" s="1214"/>
      <c r="O53" s="1215"/>
      <c r="P53" s="1214"/>
      <c r="Q53" s="1215"/>
      <c r="R53" s="1214"/>
      <c r="S53" s="1215"/>
      <c r="T53" s="1214"/>
      <c r="U53" s="1215"/>
      <c r="V53" s="1214"/>
      <c r="W53" s="1215"/>
      <c r="X53" s="1214"/>
      <c r="Y53" s="1215"/>
      <c r="Z53" s="1214"/>
      <c r="AA53" s="1215"/>
      <c r="AB53" s="1214"/>
      <c r="AC53" s="1215"/>
      <c r="AD53" s="1214"/>
      <c r="AE53" s="1215"/>
      <c r="AF53" s="1214"/>
      <c r="AG53" s="1215"/>
      <c r="AH53" s="1214"/>
      <c r="AI53" s="1215"/>
      <c r="AJ53" s="1214"/>
      <c r="AK53" s="1215"/>
      <c r="AL53" s="1214"/>
      <c r="AM53" s="1215"/>
      <c r="AN53" s="1689"/>
      <c r="CI53" s="385"/>
      <c r="CJ53" s="385"/>
      <c r="CK53" s="385"/>
      <c r="CL53" s="385"/>
      <c r="CM53" s="385"/>
      <c r="CN53" s="385"/>
      <c r="CO53" s="385"/>
    </row>
    <row r="54" spans="1:93" ht="21" customHeight="1" x14ac:dyDescent="0.25">
      <c r="A54" s="2038"/>
      <c r="B54" s="1222" t="s">
        <v>644</v>
      </c>
      <c r="C54" s="923">
        <f t="shared" si="19"/>
        <v>0</v>
      </c>
      <c r="D54" s="923">
        <f t="shared" si="20"/>
        <v>0</v>
      </c>
      <c r="E54" s="1009">
        <f>+G54+I54+K54+M54+O54+Q54+S54+U54+W54+Y54+AA54+AC54+AE54+AG54+AI54+AK54+AM54</f>
        <v>0</v>
      </c>
      <c r="F54" s="1213"/>
      <c r="G54" s="1216"/>
      <c r="H54" s="1213"/>
      <c r="I54" s="1216"/>
      <c r="J54" s="1213"/>
      <c r="K54" s="1216"/>
      <c r="L54" s="1213"/>
      <c r="M54" s="1216"/>
      <c r="N54" s="1213"/>
      <c r="O54" s="1216"/>
      <c r="P54" s="1213"/>
      <c r="Q54" s="1216"/>
      <c r="R54" s="1213"/>
      <c r="S54" s="1216"/>
      <c r="T54" s="1213"/>
      <c r="U54" s="1216"/>
      <c r="V54" s="1213"/>
      <c r="W54" s="1216"/>
      <c r="X54" s="1213"/>
      <c r="Y54" s="1216"/>
      <c r="Z54" s="1213"/>
      <c r="AA54" s="1216"/>
      <c r="AB54" s="1213"/>
      <c r="AC54" s="1216"/>
      <c r="AD54" s="1213"/>
      <c r="AE54" s="1216"/>
      <c r="AF54" s="1213"/>
      <c r="AG54" s="1216"/>
      <c r="AH54" s="1213"/>
      <c r="AI54" s="1216"/>
      <c r="AJ54" s="1213"/>
      <c r="AK54" s="1216"/>
      <c r="AL54" s="1213"/>
      <c r="AM54" s="1216"/>
      <c r="AN54" s="1690"/>
      <c r="CI54" s="385"/>
      <c r="CJ54" s="385"/>
      <c r="CK54" s="385"/>
      <c r="CL54" s="385"/>
      <c r="CM54" s="385"/>
      <c r="CN54" s="385"/>
      <c r="CO54" s="385"/>
    </row>
    <row r="55" spans="1:93" ht="29.25" customHeight="1" x14ac:dyDescent="0.25">
      <c r="A55" s="1979" t="s">
        <v>323</v>
      </c>
      <c r="B55" s="1979"/>
      <c r="C55" s="1979"/>
      <c r="D55" s="1979"/>
      <c r="E55" s="1979"/>
      <c r="F55" s="1979"/>
      <c r="G55" s="1979"/>
      <c r="H55" s="1979"/>
      <c r="I55" s="1979"/>
      <c r="J55" s="1979"/>
      <c r="K55" s="1979"/>
      <c r="L55" s="1979"/>
      <c r="M55" s="1979"/>
      <c r="N55" s="1979"/>
      <c r="O55" s="1979"/>
      <c r="P55" s="1979"/>
      <c r="Q55" s="1979"/>
      <c r="R55" s="1979"/>
      <c r="S55" s="1979"/>
      <c r="T55" s="1979"/>
      <c r="U55" s="1979"/>
      <c r="V55" s="1979"/>
      <c r="W55" s="1979"/>
      <c r="X55" s="1979"/>
      <c r="Y55" s="1979"/>
      <c r="Z55" s="1979"/>
      <c r="AA55" s="1979"/>
      <c r="AB55" s="1979"/>
      <c r="AC55" s="1979"/>
      <c r="AD55" s="1979"/>
      <c r="AE55" s="1979"/>
      <c r="AF55" s="1979"/>
      <c r="AG55" s="1979"/>
      <c r="AH55" s="1979"/>
      <c r="AI55" s="1979"/>
      <c r="AJ55" s="1979"/>
      <c r="AK55" s="1979"/>
      <c r="AL55" s="1979"/>
      <c r="AM55" s="1979"/>
      <c r="CI55" s="385"/>
      <c r="CJ55" s="385"/>
      <c r="CK55" s="385"/>
      <c r="CL55" s="385"/>
      <c r="CM55" s="385"/>
      <c r="CN55" s="385"/>
      <c r="CO55" s="385"/>
    </row>
    <row r="56" spans="1:93" x14ac:dyDescent="0.25">
      <c r="A56" s="1983" t="s">
        <v>125</v>
      </c>
      <c r="B56" s="1983"/>
      <c r="C56" s="1829" t="s">
        <v>13</v>
      </c>
      <c r="D56" s="1830"/>
      <c r="E56" s="1831"/>
      <c r="F56" s="1984" t="s">
        <v>126</v>
      </c>
      <c r="G56" s="1984"/>
      <c r="H56" s="1984"/>
      <c r="I56" s="1984"/>
      <c r="J56" s="1984"/>
      <c r="K56" s="1984"/>
      <c r="L56" s="1984"/>
      <c r="M56" s="1984"/>
      <c r="N56" s="1984"/>
      <c r="O56" s="1984"/>
      <c r="P56" s="1984"/>
      <c r="Q56" s="1984"/>
      <c r="R56" s="1984"/>
      <c r="S56" s="1984"/>
      <c r="T56" s="1984"/>
      <c r="U56" s="1984"/>
      <c r="V56" s="1984"/>
      <c r="W56" s="1984"/>
      <c r="X56" s="1984"/>
      <c r="Y56" s="1984"/>
      <c r="Z56" s="1984"/>
      <c r="AA56" s="1984"/>
      <c r="AB56" s="1984"/>
      <c r="AC56" s="1984"/>
      <c r="AD56" s="1984"/>
      <c r="AE56" s="1984"/>
      <c r="AF56" s="1984"/>
      <c r="AG56" s="1984"/>
      <c r="AH56" s="1984"/>
      <c r="AI56" s="1984"/>
      <c r="AJ56" s="1984"/>
      <c r="AK56" s="1984"/>
      <c r="AL56" s="1984"/>
      <c r="AM56" s="1984"/>
      <c r="CI56" s="385"/>
      <c r="CJ56" s="385"/>
      <c r="CK56" s="385"/>
      <c r="CL56" s="385"/>
      <c r="CM56" s="385"/>
      <c r="CN56" s="385"/>
      <c r="CO56" s="385"/>
    </row>
    <row r="57" spans="1:93" ht="25.5" customHeight="1" x14ac:dyDescent="0.25">
      <c r="A57" s="1983"/>
      <c r="B57" s="1983"/>
      <c r="C57" s="1832"/>
      <c r="D57" s="1833"/>
      <c r="E57" s="1834"/>
      <c r="F57" s="1965" t="s">
        <v>206</v>
      </c>
      <c r="G57" s="1966"/>
      <c r="H57" s="1965" t="s">
        <v>207</v>
      </c>
      <c r="I57" s="1966"/>
      <c r="J57" s="1965" t="s">
        <v>128</v>
      </c>
      <c r="K57" s="1966"/>
      <c r="L57" s="1967" t="s">
        <v>17</v>
      </c>
      <c r="M57" s="1967"/>
      <c r="N57" s="1967" t="s">
        <v>18</v>
      </c>
      <c r="O57" s="1967"/>
      <c r="P57" s="1967" t="s">
        <v>19</v>
      </c>
      <c r="Q57" s="1967"/>
      <c r="R57" s="1968" t="s">
        <v>20</v>
      </c>
      <c r="S57" s="1969"/>
      <c r="T57" s="1967" t="s">
        <v>21</v>
      </c>
      <c r="U57" s="1967"/>
      <c r="V57" s="1968" t="s">
        <v>22</v>
      </c>
      <c r="W57" s="1969"/>
      <c r="X57" s="1967" t="s">
        <v>23</v>
      </c>
      <c r="Y57" s="1967"/>
      <c r="Z57" s="1968" t="s">
        <v>24</v>
      </c>
      <c r="AA57" s="1969"/>
      <c r="AB57" s="1967" t="s">
        <v>208</v>
      </c>
      <c r="AC57" s="1967"/>
      <c r="AD57" s="1968" t="s">
        <v>209</v>
      </c>
      <c r="AE57" s="1969"/>
      <c r="AF57" s="1970" t="s">
        <v>181</v>
      </c>
      <c r="AG57" s="1971"/>
      <c r="AH57" s="1970" t="s">
        <v>182</v>
      </c>
      <c r="AI57" s="1971"/>
      <c r="AJ57" s="1970" t="s">
        <v>183</v>
      </c>
      <c r="AK57" s="1971"/>
      <c r="AL57" s="1970" t="s">
        <v>195</v>
      </c>
      <c r="AM57" s="1971"/>
      <c r="CI57" s="385"/>
      <c r="CJ57" s="385"/>
      <c r="CK57" s="385"/>
      <c r="CL57" s="385"/>
      <c r="CM57" s="385"/>
      <c r="CN57" s="385"/>
      <c r="CO57" s="385"/>
    </row>
    <row r="58" spans="1:93" ht="36.75" customHeight="1" x14ac:dyDescent="0.25">
      <c r="A58" s="1983"/>
      <c r="B58" s="1983"/>
      <c r="C58" s="147" t="s">
        <v>93</v>
      </c>
      <c r="D58" s="131" t="s">
        <v>31</v>
      </c>
      <c r="E58" s="132" t="s">
        <v>94</v>
      </c>
      <c r="F58" s="148" t="s">
        <v>31</v>
      </c>
      <c r="G58" s="149" t="s">
        <v>94</v>
      </c>
      <c r="H58" s="148" t="s">
        <v>31</v>
      </c>
      <c r="I58" s="149" t="s">
        <v>94</v>
      </c>
      <c r="J58" s="148" t="s">
        <v>31</v>
      </c>
      <c r="K58" s="149" t="s">
        <v>94</v>
      </c>
      <c r="L58" s="150" t="s">
        <v>31</v>
      </c>
      <c r="M58" s="151" t="s">
        <v>94</v>
      </c>
      <c r="N58" s="150" t="s">
        <v>31</v>
      </c>
      <c r="O58" s="151" t="s">
        <v>94</v>
      </c>
      <c r="P58" s="150" t="s">
        <v>31</v>
      </c>
      <c r="Q58" s="151" t="s">
        <v>94</v>
      </c>
      <c r="R58" s="389" t="s">
        <v>31</v>
      </c>
      <c r="S58" s="390" t="s">
        <v>94</v>
      </c>
      <c r="T58" s="150" t="s">
        <v>31</v>
      </c>
      <c r="U58" s="151" t="s">
        <v>94</v>
      </c>
      <c r="V58" s="389" t="s">
        <v>31</v>
      </c>
      <c r="W58" s="390" t="s">
        <v>94</v>
      </c>
      <c r="X58" s="150" t="s">
        <v>31</v>
      </c>
      <c r="Y58" s="151" t="s">
        <v>94</v>
      </c>
      <c r="Z58" s="389" t="s">
        <v>31</v>
      </c>
      <c r="AA58" s="390" t="s">
        <v>94</v>
      </c>
      <c r="AB58" s="150" t="s">
        <v>31</v>
      </c>
      <c r="AC58" s="151" t="s">
        <v>94</v>
      </c>
      <c r="AD58" s="389" t="s">
        <v>31</v>
      </c>
      <c r="AE58" s="390" t="s">
        <v>94</v>
      </c>
      <c r="AF58" s="136" t="s">
        <v>129</v>
      </c>
      <c r="AG58" s="137" t="s">
        <v>94</v>
      </c>
      <c r="AH58" s="136" t="s">
        <v>129</v>
      </c>
      <c r="AI58" s="137" t="s">
        <v>94</v>
      </c>
      <c r="AJ58" s="136" t="s">
        <v>129</v>
      </c>
      <c r="AK58" s="137" t="s">
        <v>94</v>
      </c>
      <c r="AL58" s="136" t="s">
        <v>129</v>
      </c>
      <c r="AM58" s="137" t="s">
        <v>94</v>
      </c>
      <c r="CI58" s="385"/>
      <c r="CJ58" s="385"/>
      <c r="CK58" s="385"/>
      <c r="CL58" s="385"/>
      <c r="CM58" s="385"/>
      <c r="CN58" s="385"/>
      <c r="CO58" s="385"/>
    </row>
    <row r="59" spans="1:93" ht="21" customHeight="1" x14ac:dyDescent="0.25">
      <c r="A59" s="1980" t="s">
        <v>132</v>
      </c>
      <c r="B59" s="152" t="s">
        <v>324</v>
      </c>
      <c r="C59" s="714">
        <f>+D59+E59</f>
        <v>0</v>
      </c>
      <c r="D59" s="715">
        <f>+F59+H59+J59+L59+N59+P59+R59++T59+V59+X59+Z59+AB59+AD59++AF59+AH59+AJ59+AL59</f>
        <v>0</v>
      </c>
      <c r="E59" s="715">
        <f>+G59+I59+K59+M59+O59+Q59+S59++U59+W59+Y59+AA59+AC59+AE59++AG59+AI59+AK59+AM59</f>
        <v>0</v>
      </c>
      <c r="F59" s="731"/>
      <c r="G59" s="756"/>
      <c r="H59" s="731"/>
      <c r="I59" s="756"/>
      <c r="J59" s="731"/>
      <c r="K59" s="756"/>
      <c r="L59" s="755"/>
      <c r="M59" s="756"/>
      <c r="N59" s="731"/>
      <c r="O59" s="775"/>
      <c r="P59" s="731"/>
      <c r="Q59" s="775"/>
      <c r="R59" s="731"/>
      <c r="S59" s="775"/>
      <c r="T59" s="731"/>
      <c r="U59" s="775"/>
      <c r="V59" s="731"/>
      <c r="W59" s="775"/>
      <c r="X59" s="731"/>
      <c r="Y59" s="775"/>
      <c r="Z59" s="731"/>
      <c r="AA59" s="775"/>
      <c r="AB59" s="731"/>
      <c r="AC59" s="775"/>
      <c r="AD59" s="731"/>
      <c r="AE59" s="775"/>
      <c r="AF59" s="731"/>
      <c r="AG59" s="775"/>
      <c r="AH59" s="731"/>
      <c r="AI59" s="775"/>
      <c r="AJ59" s="731"/>
      <c r="AK59" s="775"/>
      <c r="AL59" s="731"/>
      <c r="AM59" s="775"/>
      <c r="AN59" s="376" t="str">
        <f>CA59&amp;CB59&amp;CC59&amp;CD59&amp;CE59&amp;CF59&amp;CG59&amp;CH59</f>
        <v/>
      </c>
      <c r="CI59" s="385"/>
      <c r="CJ59" s="385"/>
      <c r="CK59" s="385"/>
      <c r="CL59" s="385"/>
      <c r="CM59" s="385"/>
      <c r="CN59" s="385"/>
      <c r="CO59" s="385"/>
    </row>
    <row r="60" spans="1:93" ht="21" customHeight="1" x14ac:dyDescent="0.25">
      <c r="A60" s="1982"/>
      <c r="B60" s="153" t="s">
        <v>325</v>
      </c>
      <c r="C60" s="716">
        <f t="shared" ref="C60:C65" si="22">+D60+E60</f>
        <v>0</v>
      </c>
      <c r="D60" s="717">
        <f>+F60+H60+J60+L60+N60+P60+R60++T60+V60+X60+Z60+AB60+AD60++AF60+AH60+AJ60+AL60</f>
        <v>0</v>
      </c>
      <c r="E60" s="718">
        <f t="shared" ref="D60:E62" si="23">+G60+I60+K60+M60+O60+Q60+S60++U60+W60+Y60+AA60+AC60+AE60++AG60+AI60+AK60+AM60</f>
        <v>0</v>
      </c>
      <c r="F60" s="755"/>
      <c r="G60" s="756"/>
      <c r="H60" s="755"/>
      <c r="I60" s="756"/>
      <c r="J60" s="755"/>
      <c r="K60" s="756"/>
      <c r="L60" s="755"/>
      <c r="M60" s="756"/>
      <c r="N60" s="755"/>
      <c r="O60" s="775"/>
      <c r="P60" s="755"/>
      <c r="Q60" s="775"/>
      <c r="R60" s="755"/>
      <c r="S60" s="775"/>
      <c r="T60" s="755"/>
      <c r="U60" s="775"/>
      <c r="V60" s="755"/>
      <c r="W60" s="775"/>
      <c r="X60" s="755"/>
      <c r="Y60" s="775"/>
      <c r="Z60" s="755"/>
      <c r="AA60" s="775"/>
      <c r="AB60" s="755"/>
      <c r="AC60" s="775"/>
      <c r="AD60" s="755"/>
      <c r="AE60" s="775"/>
      <c r="AF60" s="755"/>
      <c r="AG60" s="775"/>
      <c r="AH60" s="755"/>
      <c r="AI60" s="775"/>
      <c r="AJ60" s="755"/>
      <c r="AK60" s="775"/>
      <c r="AL60" s="755"/>
      <c r="AM60" s="775"/>
      <c r="AN60" s="376" t="str">
        <f t="shared" ref="AN60:AN65" si="24">CA60&amp;CB60&amp;CC60&amp;CD60&amp;CE60&amp;CF60&amp;CG60&amp;CH60</f>
        <v/>
      </c>
      <c r="CI60" s="385"/>
      <c r="CJ60" s="385"/>
      <c r="CK60" s="385"/>
      <c r="CL60" s="385"/>
      <c r="CM60" s="385"/>
      <c r="CN60" s="385"/>
      <c r="CO60" s="385"/>
    </row>
    <row r="61" spans="1:93" ht="21" customHeight="1" x14ac:dyDescent="0.25">
      <c r="A61" s="1982"/>
      <c r="B61" s="153" t="s">
        <v>326</v>
      </c>
      <c r="C61" s="716">
        <f t="shared" si="22"/>
        <v>0</v>
      </c>
      <c r="D61" s="717">
        <f t="shared" si="23"/>
        <v>0</v>
      </c>
      <c r="E61" s="718">
        <f t="shared" si="23"/>
        <v>0</v>
      </c>
      <c r="F61" s="755"/>
      <c r="G61" s="756"/>
      <c r="H61" s="755"/>
      <c r="I61" s="756"/>
      <c r="J61" s="755"/>
      <c r="K61" s="756"/>
      <c r="L61" s="755"/>
      <c r="M61" s="756"/>
      <c r="N61" s="755"/>
      <c r="O61" s="775"/>
      <c r="P61" s="755"/>
      <c r="Q61" s="775"/>
      <c r="R61" s="755"/>
      <c r="S61" s="775"/>
      <c r="T61" s="755"/>
      <c r="U61" s="775"/>
      <c r="V61" s="755"/>
      <c r="W61" s="775"/>
      <c r="X61" s="755"/>
      <c r="Y61" s="775"/>
      <c r="Z61" s="755"/>
      <c r="AA61" s="775"/>
      <c r="AB61" s="755"/>
      <c r="AC61" s="775"/>
      <c r="AD61" s="755"/>
      <c r="AE61" s="775"/>
      <c r="AF61" s="755"/>
      <c r="AG61" s="775"/>
      <c r="AH61" s="755"/>
      <c r="AI61" s="775"/>
      <c r="AJ61" s="755"/>
      <c r="AK61" s="775"/>
      <c r="AL61" s="755"/>
      <c r="AM61" s="775"/>
      <c r="AN61" s="376" t="str">
        <f t="shared" si="24"/>
        <v/>
      </c>
      <c r="CI61" s="385"/>
      <c r="CJ61" s="385"/>
      <c r="CK61" s="385"/>
      <c r="CL61" s="385"/>
      <c r="CM61" s="385"/>
      <c r="CN61" s="385"/>
      <c r="CO61" s="385"/>
    </row>
    <row r="62" spans="1:93" ht="21" customHeight="1" x14ac:dyDescent="0.25">
      <c r="A62" s="1737"/>
      <c r="B62" s="153" t="s">
        <v>327</v>
      </c>
      <c r="C62" s="719">
        <f t="shared" si="22"/>
        <v>0</v>
      </c>
      <c r="D62" s="720">
        <f t="shared" si="23"/>
        <v>0</v>
      </c>
      <c r="E62" s="721">
        <f t="shared" si="23"/>
        <v>0</v>
      </c>
      <c r="F62" s="755"/>
      <c r="G62" s="756"/>
      <c r="H62" s="755"/>
      <c r="I62" s="756"/>
      <c r="J62" s="755"/>
      <c r="K62" s="756"/>
      <c r="L62" s="755"/>
      <c r="M62" s="756"/>
      <c r="N62" s="751"/>
      <c r="O62" s="775"/>
      <c r="P62" s="755"/>
      <c r="Q62" s="775"/>
      <c r="R62" s="755"/>
      <c r="S62" s="775"/>
      <c r="T62" s="755"/>
      <c r="U62" s="775"/>
      <c r="V62" s="755"/>
      <c r="W62" s="775"/>
      <c r="X62" s="755"/>
      <c r="Y62" s="775"/>
      <c r="Z62" s="755"/>
      <c r="AA62" s="775"/>
      <c r="AB62" s="755"/>
      <c r="AC62" s="775"/>
      <c r="AD62" s="755"/>
      <c r="AE62" s="775"/>
      <c r="AF62" s="755"/>
      <c r="AG62" s="775"/>
      <c r="AH62" s="755"/>
      <c r="AI62" s="775"/>
      <c r="AJ62" s="755"/>
      <c r="AK62" s="775"/>
      <c r="AL62" s="755"/>
      <c r="AM62" s="775"/>
      <c r="AN62" s="376" t="str">
        <f t="shared" si="24"/>
        <v/>
      </c>
      <c r="CB62" s="381" t="str">
        <f>IF(SUM(C15:C17)&gt;=SUM(C59:C62),"","* El total de Asma Bronquial en ambos sexo no puede ser mayor al total de Asma Bronquial de ambos sexo de la Sección A. ")</f>
        <v/>
      </c>
      <c r="CI62" s="385"/>
      <c r="CJ62" s="391">
        <f>IF(SUM(C15:C17)&gt;=SUM(C59:C62),0,1)</f>
        <v>0</v>
      </c>
      <c r="CK62" s="385"/>
      <c r="CL62" s="385"/>
      <c r="CM62" s="385"/>
      <c r="CN62" s="385"/>
      <c r="CO62" s="385"/>
    </row>
    <row r="63" spans="1:93" ht="21" customHeight="1" x14ac:dyDescent="0.25">
      <c r="A63" s="1980" t="s">
        <v>133</v>
      </c>
      <c r="B63" s="154" t="s">
        <v>328</v>
      </c>
      <c r="C63" s="722">
        <f t="shared" si="22"/>
        <v>0</v>
      </c>
      <c r="D63" s="723">
        <f>+V63+X63+Z63+AB63+AD63+AF63+AH63+AJ63+AL63</f>
        <v>0</v>
      </c>
      <c r="E63" s="724">
        <f>+W63+Y63+AA63+AC63+AE63+AG63+AI63+AK63+AM63</f>
        <v>0</v>
      </c>
      <c r="F63" s="776"/>
      <c r="G63" s="777"/>
      <c r="H63" s="776"/>
      <c r="I63" s="777"/>
      <c r="J63" s="776"/>
      <c r="K63" s="777"/>
      <c r="L63" s="776"/>
      <c r="M63" s="777"/>
      <c r="N63" s="776"/>
      <c r="O63" s="778"/>
      <c r="P63" s="776"/>
      <c r="Q63" s="778"/>
      <c r="R63" s="776"/>
      <c r="S63" s="778"/>
      <c r="T63" s="776"/>
      <c r="U63" s="778"/>
      <c r="V63" s="755"/>
      <c r="W63" s="775"/>
      <c r="X63" s="755"/>
      <c r="Y63" s="775"/>
      <c r="Z63" s="755"/>
      <c r="AA63" s="775"/>
      <c r="AB63" s="755"/>
      <c r="AC63" s="775"/>
      <c r="AD63" s="755"/>
      <c r="AE63" s="775"/>
      <c r="AF63" s="755"/>
      <c r="AG63" s="775"/>
      <c r="AH63" s="755"/>
      <c r="AI63" s="775"/>
      <c r="AJ63" s="755"/>
      <c r="AK63" s="775"/>
      <c r="AL63" s="755"/>
      <c r="AM63" s="775"/>
      <c r="AN63" s="376" t="str">
        <f t="shared" si="24"/>
        <v/>
      </c>
      <c r="CI63" s="385"/>
      <c r="CJ63" s="385"/>
      <c r="CK63" s="385"/>
      <c r="CL63" s="385"/>
      <c r="CM63" s="385"/>
      <c r="CN63" s="385"/>
      <c r="CO63" s="385"/>
    </row>
    <row r="64" spans="1:93" ht="21" customHeight="1" x14ac:dyDescent="0.25">
      <c r="A64" s="1981"/>
      <c r="B64" s="139" t="s">
        <v>329</v>
      </c>
      <c r="C64" s="725">
        <f t="shared" si="22"/>
        <v>0</v>
      </c>
      <c r="D64" s="726">
        <f>+V64+X64+Z64+AB64+AD64+AF64+AH64+AJ64+AL64</f>
        <v>0</v>
      </c>
      <c r="E64" s="727">
        <f t="shared" ref="D64:E65" si="25">+W64+Y64+AA64+AC64+AE64+AG64+AI64+AK64+AM64</f>
        <v>0</v>
      </c>
      <c r="F64" s="779"/>
      <c r="G64" s="780"/>
      <c r="H64" s="779"/>
      <c r="I64" s="780"/>
      <c r="J64" s="779"/>
      <c r="K64" s="780"/>
      <c r="L64" s="779"/>
      <c r="M64" s="780"/>
      <c r="N64" s="779"/>
      <c r="O64" s="781"/>
      <c r="P64" s="779"/>
      <c r="Q64" s="781"/>
      <c r="R64" s="779"/>
      <c r="S64" s="781"/>
      <c r="T64" s="779"/>
      <c r="U64" s="781"/>
      <c r="V64" s="755"/>
      <c r="W64" s="775"/>
      <c r="X64" s="755"/>
      <c r="Y64" s="775"/>
      <c r="Z64" s="755"/>
      <c r="AA64" s="775"/>
      <c r="AB64" s="755"/>
      <c r="AC64" s="775"/>
      <c r="AD64" s="755"/>
      <c r="AE64" s="775"/>
      <c r="AF64" s="755"/>
      <c r="AG64" s="775"/>
      <c r="AH64" s="755"/>
      <c r="AI64" s="775"/>
      <c r="AJ64" s="755"/>
      <c r="AK64" s="775"/>
      <c r="AL64" s="755"/>
      <c r="AM64" s="775"/>
      <c r="AN64" s="376" t="str">
        <f t="shared" si="24"/>
        <v/>
      </c>
      <c r="CI64" s="385"/>
      <c r="CJ64" s="385"/>
      <c r="CK64" s="385"/>
      <c r="CL64" s="385"/>
      <c r="CM64" s="385"/>
      <c r="CN64" s="385"/>
      <c r="CO64" s="385"/>
    </row>
    <row r="65" spans="1:94" ht="21" customHeight="1" x14ac:dyDescent="0.25">
      <c r="A65" s="1737"/>
      <c r="B65" s="155" t="s">
        <v>327</v>
      </c>
      <c r="C65" s="719">
        <f t="shared" si="22"/>
        <v>0</v>
      </c>
      <c r="D65" s="728">
        <f t="shared" si="25"/>
        <v>0</v>
      </c>
      <c r="E65" s="721">
        <f t="shared" si="25"/>
        <v>0</v>
      </c>
      <c r="F65" s="782"/>
      <c r="G65" s="783"/>
      <c r="H65" s="782"/>
      <c r="I65" s="783"/>
      <c r="J65" s="782"/>
      <c r="K65" s="783"/>
      <c r="L65" s="782"/>
      <c r="M65" s="783"/>
      <c r="N65" s="782"/>
      <c r="O65" s="784"/>
      <c r="P65" s="782"/>
      <c r="Q65" s="784"/>
      <c r="R65" s="782"/>
      <c r="S65" s="784"/>
      <c r="T65" s="782"/>
      <c r="U65" s="784"/>
      <c r="V65" s="740"/>
      <c r="W65" s="785"/>
      <c r="X65" s="740"/>
      <c r="Y65" s="785"/>
      <c r="Z65" s="740"/>
      <c r="AA65" s="785"/>
      <c r="AB65" s="740"/>
      <c r="AC65" s="785"/>
      <c r="AD65" s="740"/>
      <c r="AE65" s="785"/>
      <c r="AF65" s="740"/>
      <c r="AG65" s="785"/>
      <c r="AH65" s="740"/>
      <c r="AI65" s="785"/>
      <c r="AJ65" s="740"/>
      <c r="AK65" s="785"/>
      <c r="AL65" s="740"/>
      <c r="AM65" s="785"/>
      <c r="AN65" s="376" t="str">
        <f t="shared" si="24"/>
        <v/>
      </c>
      <c r="CB65" s="381" t="str">
        <f>IF(SUM(C63:C65)&gt;SUM(C18:C19),"* El total de EPOC en ambos sexos no puede ser superior al total de EPOC en ambos sexos de la sección A. ","")</f>
        <v/>
      </c>
      <c r="CI65" s="385"/>
      <c r="CJ65" s="391">
        <f>IF(SUM(C63:C65)&gt;SUM(C18:C19),1,0)</f>
        <v>0</v>
      </c>
      <c r="CK65" s="385"/>
      <c r="CL65" s="385"/>
      <c r="CM65" s="385"/>
      <c r="CN65" s="385"/>
      <c r="CO65" s="385"/>
    </row>
    <row r="66" spans="1:94" ht="27.6" customHeight="1" x14ac:dyDescent="0.25">
      <c r="A66" s="1238" t="s">
        <v>627</v>
      </c>
      <c r="B66" s="1239"/>
      <c r="C66" s="1050"/>
      <c r="D66" s="1050"/>
      <c r="E66" s="1050"/>
      <c r="F66" s="1050"/>
      <c r="G66" s="1050"/>
      <c r="H66" s="1050"/>
      <c r="I66" s="1050"/>
      <c r="J66" s="1050"/>
      <c r="K66" s="1050"/>
      <c r="L66" s="1050"/>
      <c r="M66" s="1050"/>
      <c r="N66" s="1050"/>
      <c r="O66" s="1050"/>
      <c r="P66" s="1050"/>
      <c r="Q66" s="1050"/>
      <c r="R66" s="1050"/>
      <c r="S66" s="1050"/>
      <c r="T66" s="1050"/>
      <c r="U66" s="1050"/>
      <c r="V66" s="1050"/>
      <c r="W66" s="1050"/>
      <c r="X66" s="1050"/>
      <c r="Y66" s="1050"/>
      <c r="Z66" s="1050"/>
      <c r="AA66" s="1050"/>
      <c r="AB66" s="1050"/>
      <c r="AC66" s="1050"/>
      <c r="AD66" s="1050"/>
      <c r="AE66" s="1050"/>
      <c r="AF66" s="1050"/>
      <c r="AG66" s="1050"/>
      <c r="AH66" s="1050"/>
      <c r="AI66" s="1050"/>
      <c r="AJ66" s="1050"/>
      <c r="AK66" s="1050"/>
      <c r="AL66" s="1050"/>
      <c r="AN66" s="376"/>
      <c r="CI66" s="385"/>
      <c r="CJ66" s="385"/>
      <c r="CK66" s="385"/>
      <c r="CL66" s="385"/>
      <c r="CM66" s="385"/>
      <c r="CN66" s="385"/>
      <c r="CO66" s="385"/>
    </row>
    <row r="67" spans="1:94" x14ac:dyDescent="0.25">
      <c r="A67" s="2026" t="s">
        <v>645</v>
      </c>
      <c r="B67" s="2019" t="s">
        <v>646</v>
      </c>
      <c r="C67" s="2020" t="s">
        <v>13</v>
      </c>
      <c r="D67" s="2020"/>
      <c r="E67" s="2020"/>
      <c r="F67" s="2041" t="s">
        <v>126</v>
      </c>
      <c r="G67" s="2042"/>
      <c r="H67" s="2042"/>
      <c r="I67" s="2042"/>
      <c r="J67" s="2042"/>
      <c r="K67" s="2042"/>
      <c r="L67" s="2042"/>
      <c r="M67" s="2042"/>
      <c r="N67" s="2042"/>
      <c r="O67" s="2042"/>
      <c r="P67" s="2042"/>
      <c r="Q67" s="2042"/>
      <c r="R67" s="2042"/>
      <c r="S67" s="2042"/>
      <c r="T67" s="2042"/>
      <c r="U67" s="2042"/>
      <c r="V67" s="2042"/>
      <c r="W67" s="2042"/>
      <c r="X67" s="2042"/>
      <c r="Y67" s="2042"/>
      <c r="Z67" s="2042"/>
      <c r="AA67" s="2042"/>
      <c r="AB67" s="2042"/>
      <c r="AC67" s="2042"/>
      <c r="AD67" s="2042"/>
      <c r="AE67" s="2042"/>
      <c r="AF67" s="2042"/>
      <c r="AG67" s="2042"/>
      <c r="AH67" s="2042"/>
      <c r="AI67" s="2042"/>
      <c r="AJ67" s="2042"/>
      <c r="AK67" s="2042"/>
      <c r="AL67" s="2042"/>
      <c r="AM67" s="2043"/>
      <c r="AN67" s="376"/>
      <c r="AO67" s="180"/>
      <c r="AP67" s="57"/>
      <c r="AZ67" s="180"/>
      <c r="BA67" s="308"/>
      <c r="BP67" s="1050"/>
      <c r="BQ67" s="308"/>
      <c r="CA67" s="180"/>
      <c r="CJ67" s="385"/>
      <c r="CK67" s="385"/>
      <c r="CL67" s="385"/>
      <c r="CM67" s="385"/>
      <c r="CN67" s="385"/>
      <c r="CO67" s="385"/>
      <c r="CP67" s="385"/>
    </row>
    <row r="68" spans="1:94" ht="19.5" customHeight="1" x14ac:dyDescent="0.25">
      <c r="A68" s="2027"/>
      <c r="B68" s="2019"/>
      <c r="C68" s="2020"/>
      <c r="D68" s="2020"/>
      <c r="E68" s="2020"/>
      <c r="F68" s="1975" t="s">
        <v>206</v>
      </c>
      <c r="G68" s="2046"/>
      <c r="H68" s="1975" t="s">
        <v>628</v>
      </c>
      <c r="I68" s="2046"/>
      <c r="J68" s="2047" t="s">
        <v>629</v>
      </c>
      <c r="K68" s="2047"/>
      <c r="L68" s="1975" t="s">
        <v>630</v>
      </c>
      <c r="M68" s="2046"/>
      <c r="N68" s="2014" t="s">
        <v>631</v>
      </c>
      <c r="O68" s="2014"/>
      <c r="P68" s="2014" t="s">
        <v>19</v>
      </c>
      <c r="Q68" s="2014"/>
      <c r="R68" s="2014" t="s">
        <v>20</v>
      </c>
      <c r="S68" s="2014"/>
      <c r="T68" s="2014" t="s">
        <v>21</v>
      </c>
      <c r="U68" s="2014"/>
      <c r="V68" s="2044" t="s">
        <v>632</v>
      </c>
      <c r="W68" s="2045"/>
      <c r="X68" s="2014" t="s">
        <v>633</v>
      </c>
      <c r="Y68" s="2014"/>
      <c r="Z68" s="2044" t="s">
        <v>634</v>
      </c>
      <c r="AA68" s="2045"/>
      <c r="AB68" s="2014" t="s">
        <v>635</v>
      </c>
      <c r="AC68" s="2014"/>
      <c r="AD68" s="2044" t="s">
        <v>636</v>
      </c>
      <c r="AE68" s="2045"/>
      <c r="AF68" s="2014" t="s">
        <v>637</v>
      </c>
      <c r="AG68" s="2014"/>
      <c r="AH68" s="2044" t="s">
        <v>638</v>
      </c>
      <c r="AI68" s="2045"/>
      <c r="AJ68" s="2014" t="s">
        <v>639</v>
      </c>
      <c r="AK68" s="2014"/>
      <c r="AL68" s="2044" t="s">
        <v>640</v>
      </c>
      <c r="AM68" s="2045"/>
      <c r="AN68" s="376"/>
      <c r="AO68" s="180"/>
      <c r="AP68" s="57"/>
      <c r="AZ68" s="180"/>
      <c r="BA68" s="308"/>
      <c r="BP68" s="1050"/>
      <c r="BQ68" s="308"/>
      <c r="CA68" s="180"/>
      <c r="CJ68" s="385"/>
      <c r="CK68" s="385"/>
      <c r="CL68" s="385"/>
      <c r="CM68" s="385"/>
      <c r="CN68" s="385"/>
      <c r="CO68" s="385"/>
      <c r="CP68" s="385"/>
    </row>
    <row r="69" spans="1:94" ht="18" customHeight="1" x14ac:dyDescent="0.25">
      <c r="A69" s="2028"/>
      <c r="B69" s="2019"/>
      <c r="C69" s="1240" t="s">
        <v>367</v>
      </c>
      <c r="D69" s="1241" t="s">
        <v>31</v>
      </c>
      <c r="E69" s="1242" t="s">
        <v>94</v>
      </c>
      <c r="F69" s="1135" t="s">
        <v>31</v>
      </c>
      <c r="G69" s="390" t="s">
        <v>94</v>
      </c>
      <c r="H69" s="1135" t="s">
        <v>31</v>
      </c>
      <c r="I69" s="390" t="s">
        <v>94</v>
      </c>
      <c r="J69" s="1135" t="s">
        <v>31</v>
      </c>
      <c r="K69" s="390" t="s">
        <v>94</v>
      </c>
      <c r="L69" s="1135" t="s">
        <v>31</v>
      </c>
      <c r="M69" s="390" t="s">
        <v>94</v>
      </c>
      <c r="N69" s="1135" t="s">
        <v>31</v>
      </c>
      <c r="O69" s="390" t="s">
        <v>94</v>
      </c>
      <c r="P69" s="1135" t="s">
        <v>31</v>
      </c>
      <c r="Q69" s="390" t="s">
        <v>94</v>
      </c>
      <c r="R69" s="1135" t="s">
        <v>31</v>
      </c>
      <c r="S69" s="390" t="s">
        <v>94</v>
      </c>
      <c r="T69" s="1135" t="s">
        <v>31</v>
      </c>
      <c r="U69" s="390" t="s">
        <v>94</v>
      </c>
      <c r="V69" s="1135" t="s">
        <v>31</v>
      </c>
      <c r="W69" s="390" t="s">
        <v>94</v>
      </c>
      <c r="X69" s="1135" t="s">
        <v>31</v>
      </c>
      <c r="Y69" s="390" t="s">
        <v>94</v>
      </c>
      <c r="Z69" s="1135" t="s">
        <v>31</v>
      </c>
      <c r="AA69" s="390" t="s">
        <v>94</v>
      </c>
      <c r="AB69" s="1135" t="s">
        <v>31</v>
      </c>
      <c r="AC69" s="390" t="s">
        <v>94</v>
      </c>
      <c r="AD69" s="1135" t="s">
        <v>31</v>
      </c>
      <c r="AE69" s="390" t="s">
        <v>94</v>
      </c>
      <c r="AF69" s="1135" t="s">
        <v>31</v>
      </c>
      <c r="AG69" s="390" t="s">
        <v>94</v>
      </c>
      <c r="AH69" s="1135" t="s">
        <v>31</v>
      </c>
      <c r="AI69" s="390" t="s">
        <v>94</v>
      </c>
      <c r="AJ69" s="1135" t="s">
        <v>31</v>
      </c>
      <c r="AK69" s="390" t="s">
        <v>94</v>
      </c>
      <c r="AL69" s="1135" t="s">
        <v>31</v>
      </c>
      <c r="AM69" s="1128" t="s">
        <v>94</v>
      </c>
      <c r="AN69" s="376"/>
      <c r="AO69" s="180"/>
      <c r="AP69" s="57"/>
      <c r="AZ69" s="180"/>
      <c r="BA69" s="308"/>
      <c r="BP69" s="1050"/>
      <c r="BQ69" s="308"/>
      <c r="CA69" s="180"/>
      <c r="CJ69" s="385"/>
      <c r="CK69" s="385"/>
      <c r="CL69" s="385"/>
      <c r="CM69" s="385"/>
      <c r="CN69" s="385"/>
      <c r="CO69" s="385"/>
      <c r="CP69" s="385"/>
    </row>
    <row r="70" spans="1:94" ht="24" customHeight="1" x14ac:dyDescent="0.25">
      <c r="A70" s="1736" t="s">
        <v>133</v>
      </c>
      <c r="B70" s="1319" t="s">
        <v>649</v>
      </c>
      <c r="C70" s="1606">
        <f>SUM(D70:E70)</f>
        <v>0</v>
      </c>
      <c r="D70" s="1607">
        <f>+V70+X70+Z70+AB70+AD70+AF70+AH70+AJ70+AL70</f>
        <v>0</v>
      </c>
      <c r="E70" s="1608">
        <f>+W70+Y70+AA70+AC70+AE70+AG70+AI70+AK70+AM70</f>
        <v>0</v>
      </c>
      <c r="F70" s="1668"/>
      <c r="G70" s="1669"/>
      <c r="H70" s="1668"/>
      <c r="I70" s="1669"/>
      <c r="J70" s="1668"/>
      <c r="K70" s="1669"/>
      <c r="L70" s="1668"/>
      <c r="M70" s="1669"/>
      <c r="N70" s="1668"/>
      <c r="O70" s="1669"/>
      <c r="P70" s="1668"/>
      <c r="Q70" s="1669"/>
      <c r="R70" s="1668"/>
      <c r="S70" s="1669"/>
      <c r="T70" s="1668"/>
      <c r="U70" s="1669"/>
      <c r="V70" s="549"/>
      <c r="W70" s="1207"/>
      <c r="X70" s="549"/>
      <c r="Y70" s="1207"/>
      <c r="Z70" s="549"/>
      <c r="AA70" s="1207"/>
      <c r="AB70" s="549"/>
      <c r="AC70" s="1207"/>
      <c r="AD70" s="549"/>
      <c r="AE70" s="1207"/>
      <c r="AF70" s="549"/>
      <c r="AG70" s="1207"/>
      <c r="AH70" s="549"/>
      <c r="AI70" s="1207"/>
      <c r="AJ70" s="549"/>
      <c r="AK70" s="1207"/>
      <c r="AL70" s="561"/>
      <c r="AM70" s="1207"/>
      <c r="AN70" s="376"/>
      <c r="AO70" s="180"/>
      <c r="AP70" s="57"/>
      <c r="AZ70" s="180"/>
      <c r="BA70" s="308"/>
      <c r="BP70" s="1050"/>
      <c r="BQ70" s="308"/>
      <c r="CA70" s="180"/>
      <c r="CJ70" s="385"/>
      <c r="CK70" s="385"/>
      <c r="CL70" s="385"/>
      <c r="CM70" s="385"/>
      <c r="CN70" s="385"/>
      <c r="CO70" s="385"/>
      <c r="CP70" s="385"/>
    </row>
    <row r="71" spans="1:94" ht="24" customHeight="1" x14ac:dyDescent="0.25">
      <c r="A71" s="1982"/>
      <c r="B71" s="1317" t="s">
        <v>647</v>
      </c>
      <c r="C71" s="1609">
        <f>SUM(D71:E71)</f>
        <v>0</v>
      </c>
      <c r="D71" s="1610">
        <f>+V71+X71+Z71+AB71+AD71+AF71+AH71+AJ71+AL71</f>
        <v>0</v>
      </c>
      <c r="E71" s="1611">
        <f t="shared" ref="E71" si="26">+W71+Y71+AA71+AC71+AE71+AG71+AI71+AK71+AM71</f>
        <v>0</v>
      </c>
      <c r="F71" s="1670"/>
      <c r="G71" s="1671"/>
      <c r="H71" s="1670"/>
      <c r="I71" s="1671"/>
      <c r="J71" s="1670"/>
      <c r="K71" s="1671"/>
      <c r="L71" s="1670"/>
      <c r="M71" s="1671"/>
      <c r="N71" s="1670"/>
      <c r="O71" s="1671"/>
      <c r="P71" s="1670"/>
      <c r="Q71" s="1671"/>
      <c r="R71" s="1670"/>
      <c r="S71" s="1671"/>
      <c r="T71" s="1670"/>
      <c r="U71" s="1671"/>
      <c r="V71" s="564"/>
      <c r="W71" s="620"/>
      <c r="X71" s="564"/>
      <c r="Y71" s="620"/>
      <c r="Z71" s="564"/>
      <c r="AA71" s="620"/>
      <c r="AB71" s="564"/>
      <c r="AC71" s="620"/>
      <c r="AD71" s="564"/>
      <c r="AE71" s="620"/>
      <c r="AF71" s="564"/>
      <c r="AG71" s="620"/>
      <c r="AH71" s="564"/>
      <c r="AI71" s="620"/>
      <c r="AJ71" s="564"/>
      <c r="AK71" s="620"/>
      <c r="AL71" s="564"/>
      <c r="AM71" s="620"/>
      <c r="AN71" s="376"/>
      <c r="AO71" s="180"/>
      <c r="AP71" s="57"/>
      <c r="AZ71" s="180"/>
      <c r="BA71" s="308"/>
      <c r="BP71" s="1050"/>
      <c r="BQ71" s="308"/>
      <c r="CA71" s="180"/>
      <c r="CJ71" s="385"/>
      <c r="CK71" s="385"/>
      <c r="CL71" s="385"/>
      <c r="CM71" s="385"/>
      <c r="CN71" s="385"/>
      <c r="CO71" s="385"/>
      <c r="CP71" s="385"/>
    </row>
    <row r="72" spans="1:94" ht="24" customHeight="1" x14ac:dyDescent="0.25">
      <c r="A72" s="1737"/>
      <c r="B72" s="1318" t="s">
        <v>648</v>
      </c>
      <c r="C72" s="1612">
        <f t="shared" ref="C72:C78" si="27">SUM(D72:E72)</f>
        <v>0</v>
      </c>
      <c r="D72" s="1613">
        <f t="shared" ref="D72" si="28">+V72+X72+Z72+AB72+AD72+AF72+AH72+AJ72+AL72</f>
        <v>0</v>
      </c>
      <c r="E72" s="1598">
        <f>+W72+Y72+AA72+AC72+AE72+AG72+AI72+AK72+AM72</f>
        <v>0</v>
      </c>
      <c r="F72" s="1672"/>
      <c r="G72" s="1673"/>
      <c r="H72" s="1672"/>
      <c r="I72" s="1673"/>
      <c r="J72" s="1672"/>
      <c r="K72" s="1673"/>
      <c r="L72" s="1672"/>
      <c r="M72" s="1673"/>
      <c r="N72" s="1672"/>
      <c r="O72" s="1673"/>
      <c r="P72" s="1672"/>
      <c r="Q72" s="1673"/>
      <c r="R72" s="1672"/>
      <c r="S72" s="1673"/>
      <c r="T72" s="1672"/>
      <c r="U72" s="1673"/>
      <c r="V72" s="554"/>
      <c r="W72" s="1206"/>
      <c r="X72" s="554"/>
      <c r="Y72" s="1206"/>
      <c r="Z72" s="554"/>
      <c r="AA72" s="1206"/>
      <c r="AB72" s="554"/>
      <c r="AC72" s="1206"/>
      <c r="AD72" s="554"/>
      <c r="AE72" s="1206"/>
      <c r="AF72" s="554"/>
      <c r="AG72" s="1206"/>
      <c r="AH72" s="554"/>
      <c r="AI72" s="1206"/>
      <c r="AJ72" s="554"/>
      <c r="AK72" s="1206"/>
      <c r="AL72" s="554"/>
      <c r="AM72" s="1206"/>
      <c r="AN72" s="376"/>
      <c r="AO72" s="180"/>
      <c r="AP72" s="57"/>
      <c r="AZ72" s="180"/>
      <c r="BA72" s="308"/>
      <c r="BP72" s="1050"/>
      <c r="BQ72" s="308"/>
      <c r="CA72" s="180"/>
      <c r="CJ72" s="385"/>
      <c r="CK72" s="385"/>
      <c r="CL72" s="385"/>
      <c r="CM72" s="385"/>
      <c r="CN72" s="385"/>
      <c r="CO72" s="385"/>
      <c r="CP72" s="385"/>
    </row>
    <row r="73" spans="1:94" ht="24" customHeight="1" x14ac:dyDescent="0.25">
      <c r="A73" s="1736" t="s">
        <v>132</v>
      </c>
      <c r="B73" s="1319" t="s">
        <v>649</v>
      </c>
      <c r="C73" s="1606">
        <f t="shared" si="27"/>
        <v>0</v>
      </c>
      <c r="D73" s="1607">
        <f>+F73+H73+J73+L73+N73+P73+R73+T73+V73+X73+Z73+AB73+AD73+AF73+AH73+AJ73+AL73</f>
        <v>0</v>
      </c>
      <c r="E73" s="1608">
        <f>+G73+I73+K73+M73+O73+Q73+S73+U73+W73+Y73+AA73+AC73+AE73+AG73+AI73+AK73+AM73</f>
        <v>0</v>
      </c>
      <c r="F73" s="549"/>
      <c r="G73" s="618"/>
      <c r="H73" s="549"/>
      <c r="I73" s="618"/>
      <c r="J73" s="549"/>
      <c r="K73" s="618"/>
      <c r="L73" s="549"/>
      <c r="M73" s="618"/>
      <c r="N73" s="549"/>
      <c r="O73" s="618"/>
      <c r="P73" s="549"/>
      <c r="Q73" s="618"/>
      <c r="R73" s="549"/>
      <c r="S73" s="618"/>
      <c r="T73" s="549"/>
      <c r="U73" s="618"/>
      <c r="V73" s="549"/>
      <c r="W73" s="618"/>
      <c r="X73" s="549"/>
      <c r="Y73" s="618"/>
      <c r="Z73" s="549"/>
      <c r="AA73" s="618"/>
      <c r="AB73" s="549"/>
      <c r="AC73" s="618"/>
      <c r="AD73" s="549"/>
      <c r="AE73" s="618"/>
      <c r="AF73" s="549"/>
      <c r="AG73" s="618"/>
      <c r="AH73" s="549"/>
      <c r="AI73" s="618"/>
      <c r="AJ73" s="549"/>
      <c r="AK73" s="618"/>
      <c r="AL73" s="549"/>
      <c r="AM73" s="618"/>
      <c r="AN73" s="376"/>
      <c r="AO73" s="180"/>
      <c r="AP73" s="57"/>
      <c r="AZ73" s="180"/>
      <c r="BA73" s="308"/>
      <c r="BP73" s="1050"/>
      <c r="BQ73" s="308"/>
      <c r="CA73" s="180"/>
      <c r="CJ73" s="385"/>
      <c r="CK73" s="385"/>
      <c r="CL73" s="385"/>
      <c r="CM73" s="385"/>
      <c r="CN73" s="385"/>
      <c r="CO73" s="385"/>
      <c r="CP73" s="385"/>
    </row>
    <row r="74" spans="1:94" ht="24" customHeight="1" x14ac:dyDescent="0.25">
      <c r="A74" s="1982"/>
      <c r="B74" s="1317" t="s">
        <v>647</v>
      </c>
      <c r="C74" s="1614">
        <f t="shared" si="27"/>
        <v>0</v>
      </c>
      <c r="D74" s="1615">
        <f t="shared" ref="D74:D75" si="29">+F74+H74+J74+L74+N74+P74+R74+T74+V74+X74+Z74+AB74+AD74+AF74+AH74+AJ74+AL74</f>
        <v>0</v>
      </c>
      <c r="E74" s="1616">
        <f t="shared" ref="E74:E75" si="30">+G74+I74+K74+M74+O74+Q74+S74+U74+W74+Y74+AA74+AC74+AE74+AG74+AI74+AK74+AM74</f>
        <v>0</v>
      </c>
      <c r="F74" s="564"/>
      <c r="G74" s="620"/>
      <c r="H74" s="564"/>
      <c r="I74" s="620"/>
      <c r="J74" s="564"/>
      <c r="K74" s="620"/>
      <c r="L74" s="564"/>
      <c r="M74" s="620"/>
      <c r="N74" s="564"/>
      <c r="O74" s="620"/>
      <c r="P74" s="564"/>
      <c r="Q74" s="620"/>
      <c r="R74" s="564"/>
      <c r="S74" s="620"/>
      <c r="T74" s="564"/>
      <c r="U74" s="620"/>
      <c r="V74" s="564"/>
      <c r="W74" s="620"/>
      <c r="X74" s="564"/>
      <c r="Y74" s="620"/>
      <c r="Z74" s="564"/>
      <c r="AA74" s="620"/>
      <c r="AB74" s="564"/>
      <c r="AC74" s="620"/>
      <c r="AD74" s="564"/>
      <c r="AE74" s="620"/>
      <c r="AF74" s="564"/>
      <c r="AG74" s="620"/>
      <c r="AH74" s="564"/>
      <c r="AI74" s="620"/>
      <c r="AJ74" s="564"/>
      <c r="AK74" s="620"/>
      <c r="AL74" s="564"/>
      <c r="AM74" s="620"/>
      <c r="AN74" s="376"/>
      <c r="AO74" s="180"/>
      <c r="AP74" s="57"/>
      <c r="AZ74" s="180"/>
      <c r="BA74" s="308"/>
      <c r="BP74" s="1050"/>
      <c r="BQ74" s="308"/>
      <c r="CA74" s="180"/>
      <c r="CJ74" s="385"/>
      <c r="CK74" s="385"/>
      <c r="CL74" s="385"/>
      <c r="CM74" s="385"/>
      <c r="CN74" s="385"/>
      <c r="CO74" s="385"/>
      <c r="CP74" s="385"/>
    </row>
    <row r="75" spans="1:94" ht="24" customHeight="1" x14ac:dyDescent="0.25">
      <c r="A75" s="1737"/>
      <c r="B75" s="1318" t="s">
        <v>648</v>
      </c>
      <c r="C75" s="1612">
        <f t="shared" si="27"/>
        <v>0</v>
      </c>
      <c r="D75" s="1613">
        <f t="shared" si="29"/>
        <v>0</v>
      </c>
      <c r="E75" s="1598">
        <f t="shared" si="30"/>
        <v>0</v>
      </c>
      <c r="F75" s="554"/>
      <c r="G75" s="1206"/>
      <c r="H75" s="554"/>
      <c r="I75" s="1206"/>
      <c r="J75" s="554"/>
      <c r="K75" s="1206"/>
      <c r="L75" s="554"/>
      <c r="M75" s="1206"/>
      <c r="N75" s="554"/>
      <c r="O75" s="1206"/>
      <c r="P75" s="554"/>
      <c r="Q75" s="1206"/>
      <c r="R75" s="554"/>
      <c r="S75" s="1206"/>
      <c r="T75" s="554"/>
      <c r="U75" s="1206"/>
      <c r="V75" s="554"/>
      <c r="W75" s="1206"/>
      <c r="X75" s="554"/>
      <c r="Y75" s="1206"/>
      <c r="Z75" s="554"/>
      <c r="AA75" s="1206"/>
      <c r="AB75" s="554"/>
      <c r="AC75" s="1206"/>
      <c r="AD75" s="554"/>
      <c r="AE75" s="1206"/>
      <c r="AF75" s="554"/>
      <c r="AG75" s="1206"/>
      <c r="AH75" s="554"/>
      <c r="AI75" s="1206"/>
      <c r="AJ75" s="554"/>
      <c r="AK75" s="1206"/>
      <c r="AL75" s="554"/>
      <c r="AM75" s="1206"/>
      <c r="AN75" s="376"/>
      <c r="AO75" s="180"/>
      <c r="AP75" s="57"/>
      <c r="AZ75" s="180"/>
      <c r="BA75" s="308"/>
      <c r="BP75" s="1050"/>
      <c r="BQ75" s="308"/>
      <c r="CA75" s="180"/>
      <c r="CJ75" s="385"/>
      <c r="CK75" s="385"/>
      <c r="CL75" s="385"/>
      <c r="CM75" s="385"/>
      <c r="CN75" s="385"/>
      <c r="CO75" s="385"/>
      <c r="CP75" s="385"/>
    </row>
    <row r="76" spans="1:94" ht="24" customHeight="1" x14ac:dyDescent="0.25">
      <c r="A76" s="2029" t="s">
        <v>651</v>
      </c>
      <c r="B76" s="1319" t="s">
        <v>649</v>
      </c>
      <c r="C76" s="1606">
        <f t="shared" si="27"/>
        <v>0</v>
      </c>
      <c r="D76" s="1607">
        <f t="shared" ref="D76:D78" si="31">+F76+H76+J76+L76+N76+P76+R76+T76+V76+X76+Z76+AB76+AD76+AF76+AH76+AJ76+AL76</f>
        <v>0</v>
      </c>
      <c r="E76" s="1608">
        <f t="shared" ref="E76:E78" si="32">+G76+I76+K76+M76+O76+Q76+S76+U76+W76+Y76+AA76+AC76+AE76+AG76+AI76+AK76+AM76</f>
        <v>0</v>
      </c>
      <c r="F76" s="549"/>
      <c r="G76" s="1207"/>
      <c r="H76" s="549"/>
      <c r="I76" s="1207"/>
      <c r="J76" s="549"/>
      <c r="K76" s="1207"/>
      <c r="L76" s="549"/>
      <c r="M76" s="1207"/>
      <c r="N76" s="549"/>
      <c r="O76" s="1207"/>
      <c r="P76" s="549"/>
      <c r="Q76" s="1207"/>
      <c r="R76" s="549"/>
      <c r="S76" s="1207"/>
      <c r="T76" s="549"/>
      <c r="U76" s="1207"/>
      <c r="V76" s="549"/>
      <c r="W76" s="1207"/>
      <c r="X76" s="549"/>
      <c r="Y76" s="1207"/>
      <c r="Z76" s="549"/>
      <c r="AA76" s="1207"/>
      <c r="AB76" s="549"/>
      <c r="AC76" s="1207"/>
      <c r="AD76" s="549"/>
      <c r="AE76" s="1207"/>
      <c r="AF76" s="549"/>
      <c r="AG76" s="1207"/>
      <c r="AH76" s="549"/>
      <c r="AI76" s="1207"/>
      <c r="AJ76" s="549"/>
      <c r="AK76" s="1207"/>
      <c r="AL76" s="561"/>
      <c r="AM76" s="1207"/>
      <c r="AN76" s="376"/>
      <c r="AO76" s="180"/>
      <c r="AP76" s="57"/>
      <c r="AZ76" s="180"/>
      <c r="BA76" s="308"/>
      <c r="BP76" s="1050"/>
      <c r="BQ76" s="308"/>
      <c r="CA76" s="180"/>
      <c r="CJ76" s="385"/>
      <c r="CK76" s="385"/>
      <c r="CL76" s="385"/>
      <c r="CM76" s="385"/>
      <c r="CN76" s="385"/>
      <c r="CO76" s="385"/>
      <c r="CP76" s="385"/>
    </row>
    <row r="77" spans="1:94" ht="24" customHeight="1" x14ac:dyDescent="0.25">
      <c r="A77" s="2030"/>
      <c r="B77" s="1317" t="s">
        <v>893</v>
      </c>
      <c r="C77" s="1609">
        <f t="shared" si="27"/>
        <v>0</v>
      </c>
      <c r="D77" s="1610">
        <f t="shared" si="31"/>
        <v>0</v>
      </c>
      <c r="E77" s="1611">
        <f>+G77+I77+K77+M77+O77+Q77+S77+U77+W77+Y77+AA77+AC77+AE77+AG77+AI77+AK77+AM77</f>
        <v>0</v>
      </c>
      <c r="F77" s="568"/>
      <c r="G77" s="703"/>
      <c r="H77" s="568"/>
      <c r="I77" s="703"/>
      <c r="J77" s="568"/>
      <c r="K77" s="703"/>
      <c r="L77" s="568"/>
      <c r="M77" s="703"/>
      <c r="N77" s="568"/>
      <c r="O77" s="703"/>
      <c r="P77" s="568"/>
      <c r="Q77" s="703"/>
      <c r="R77" s="568"/>
      <c r="S77" s="703"/>
      <c r="T77" s="568"/>
      <c r="U77" s="703"/>
      <c r="V77" s="568"/>
      <c r="W77" s="703"/>
      <c r="X77" s="568"/>
      <c r="Y77" s="703"/>
      <c r="Z77" s="568"/>
      <c r="AA77" s="703"/>
      <c r="AB77" s="568"/>
      <c r="AC77" s="703"/>
      <c r="AD77" s="568"/>
      <c r="AE77" s="703"/>
      <c r="AF77" s="568"/>
      <c r="AG77" s="703"/>
      <c r="AH77" s="568"/>
      <c r="AI77" s="703"/>
      <c r="AJ77" s="568"/>
      <c r="AK77" s="703"/>
      <c r="AL77" s="568"/>
      <c r="AM77" s="703"/>
      <c r="AN77" s="376"/>
      <c r="AO77" s="180"/>
      <c r="AP77" s="57"/>
      <c r="AZ77" s="180"/>
      <c r="BA77" s="308"/>
      <c r="BP77" s="1050"/>
      <c r="BQ77" s="308"/>
      <c r="CA77" s="180"/>
      <c r="CJ77" s="385"/>
      <c r="CK77" s="385"/>
      <c r="CL77" s="385"/>
      <c r="CM77" s="385"/>
      <c r="CN77" s="385"/>
      <c r="CO77" s="385"/>
      <c r="CP77" s="385"/>
    </row>
    <row r="78" spans="1:94" ht="24" customHeight="1" x14ac:dyDescent="0.25">
      <c r="A78" s="2031"/>
      <c r="B78" s="1318" t="s">
        <v>648</v>
      </c>
      <c r="C78" s="1612">
        <f t="shared" si="27"/>
        <v>0</v>
      </c>
      <c r="D78" s="1613">
        <f t="shared" si="31"/>
        <v>0</v>
      </c>
      <c r="E78" s="1598">
        <f t="shared" si="32"/>
        <v>0</v>
      </c>
      <c r="F78" s="555"/>
      <c r="G78" s="621"/>
      <c r="H78" s="555"/>
      <c r="I78" s="621"/>
      <c r="J78" s="555"/>
      <c r="K78" s="621"/>
      <c r="L78" s="555"/>
      <c r="M78" s="621"/>
      <c r="N78" s="555"/>
      <c r="O78" s="621"/>
      <c r="P78" s="555"/>
      <c r="Q78" s="621"/>
      <c r="R78" s="555"/>
      <c r="S78" s="621"/>
      <c r="T78" s="555"/>
      <c r="U78" s="621"/>
      <c r="V78" s="555"/>
      <c r="W78" s="621"/>
      <c r="X78" s="555"/>
      <c r="Y78" s="621"/>
      <c r="Z78" s="555"/>
      <c r="AA78" s="621"/>
      <c r="AB78" s="555"/>
      <c r="AC78" s="621"/>
      <c r="AD78" s="555"/>
      <c r="AE78" s="621"/>
      <c r="AF78" s="555"/>
      <c r="AG78" s="621"/>
      <c r="AH78" s="555"/>
      <c r="AI78" s="621"/>
      <c r="AJ78" s="555"/>
      <c r="AK78" s="621"/>
      <c r="AL78" s="555"/>
      <c r="AM78" s="621"/>
      <c r="AN78" s="376"/>
      <c r="AO78" s="180"/>
      <c r="AP78" s="57"/>
      <c r="AZ78" s="180"/>
      <c r="BA78" s="308"/>
      <c r="BP78" s="1050"/>
      <c r="BQ78" s="308"/>
      <c r="CA78" s="180"/>
      <c r="CJ78" s="385"/>
      <c r="CK78" s="385"/>
      <c r="CL78" s="385"/>
      <c r="CM78" s="385"/>
      <c r="CN78" s="385"/>
      <c r="CO78" s="385"/>
      <c r="CP78" s="385"/>
    </row>
    <row r="87" spans="1:85" s="387" customFormat="1" ht="14.45" hidden="1" customHeight="1" x14ac:dyDescent="0.15">
      <c r="A87" s="1286">
        <f>SUM(C12:AR41,C46:K46,C51:AM54,C59:AM65,C70:AM78)</f>
        <v>0</v>
      </c>
      <c r="B87" s="381" t="s">
        <v>317</v>
      </c>
      <c r="AO87" s="325"/>
      <c r="CG87" s="1617"/>
    </row>
    <row r="88" spans="1:85" s="387" customFormat="1" ht="14.45" hidden="1" customHeight="1" x14ac:dyDescent="0.15">
      <c r="A88" s="1286">
        <f>SUM(CI11:CP78)</f>
        <v>0</v>
      </c>
      <c r="B88" s="381" t="s">
        <v>318</v>
      </c>
      <c r="AO88" s="325"/>
    </row>
    <row r="89" spans="1:85" ht="14.45" customHeight="1" x14ac:dyDescent="0.25"/>
  </sheetData>
  <sheetProtection algorithmName="SHA-512" hashValue="DwoeIrT3XocuBDbrUN589/c8Q/Ig0/wRLARFOmWcPDYPKxYyUnuGjjo6rnSZfqREjVSBkN0qmDLhvkVEs3gmlw==" saltValue="YuWqiWGg9OG9yyg727lIZA==" spinCount="100000" sheet="1" objects="1" scenarios="1"/>
  <mergeCells count="115">
    <mergeCell ref="A67:A69"/>
    <mergeCell ref="A70:A72"/>
    <mergeCell ref="A73:A75"/>
    <mergeCell ref="A76:A78"/>
    <mergeCell ref="A48:B50"/>
    <mergeCell ref="A51:A54"/>
    <mergeCell ref="A44:A45"/>
    <mergeCell ref="F67:AM67"/>
    <mergeCell ref="AL68:AM68"/>
    <mergeCell ref="R68:S68"/>
    <mergeCell ref="T68:U68"/>
    <mergeCell ref="F68:G68"/>
    <mergeCell ref="H68:I68"/>
    <mergeCell ref="J68:K68"/>
    <mergeCell ref="L68:M68"/>
    <mergeCell ref="N68:O68"/>
    <mergeCell ref="P68:Q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O9:AP10"/>
    <mergeCell ref="B67:B69"/>
    <mergeCell ref="C67:E68"/>
    <mergeCell ref="A7:Y7"/>
    <mergeCell ref="A9:B11"/>
    <mergeCell ref="C9:E10"/>
    <mergeCell ref="T10:U10"/>
    <mergeCell ref="F10:G10"/>
    <mergeCell ref="X10:Y10"/>
    <mergeCell ref="V10:W10"/>
    <mergeCell ref="A47:AM47"/>
    <mergeCell ref="N49:O49"/>
    <mergeCell ref="AJ49:AK49"/>
    <mergeCell ref="X49:Y49"/>
    <mergeCell ref="T49:U49"/>
    <mergeCell ref="V49:W49"/>
    <mergeCell ref="Z49:AA49"/>
    <mergeCell ref="P49:Q49"/>
    <mergeCell ref="AL49:AM49"/>
    <mergeCell ref="F48:AM48"/>
    <mergeCell ref="AB49:AC49"/>
    <mergeCell ref="AB10:AC10"/>
    <mergeCell ref="A20:B20"/>
    <mergeCell ref="A12:A14"/>
    <mergeCell ref="A15:A17"/>
    <mergeCell ref="A18:A19"/>
    <mergeCell ref="A26:B26"/>
    <mergeCell ref="A31:B31"/>
    <mergeCell ref="A21:B21"/>
    <mergeCell ref="A35:A41"/>
    <mergeCell ref="D44:D45"/>
    <mergeCell ref="A29:B29"/>
    <mergeCell ref="A30:B30"/>
    <mergeCell ref="A22:B22"/>
    <mergeCell ref="A23:B23"/>
    <mergeCell ref="A24:B24"/>
    <mergeCell ref="A32:A34"/>
    <mergeCell ref="A27:B27"/>
    <mergeCell ref="A28:B28"/>
    <mergeCell ref="A43:AP43"/>
    <mergeCell ref="E44:K44"/>
    <mergeCell ref="B44:B45"/>
    <mergeCell ref="C44:C45"/>
    <mergeCell ref="L49:M49"/>
    <mergeCell ref="A55:AM55"/>
    <mergeCell ref="J49:K49"/>
    <mergeCell ref="A63:A65"/>
    <mergeCell ref="AB57:AC57"/>
    <mergeCell ref="AD57:AE57"/>
    <mergeCell ref="H57:I57"/>
    <mergeCell ref="J57:K57"/>
    <mergeCell ref="L57:M57"/>
    <mergeCell ref="N57:O57"/>
    <mergeCell ref="P57:Q57"/>
    <mergeCell ref="R57:S57"/>
    <mergeCell ref="T57:U57"/>
    <mergeCell ref="A59:A62"/>
    <mergeCell ref="F57:G57"/>
    <mergeCell ref="H49:I49"/>
    <mergeCell ref="AF57:AG57"/>
    <mergeCell ref="AH57:AI57"/>
    <mergeCell ref="A56:B58"/>
    <mergeCell ref="C56:E57"/>
    <mergeCell ref="F56:AM56"/>
    <mergeCell ref="AD49:AE49"/>
    <mergeCell ref="C48:E49"/>
    <mergeCell ref="AQ9:AR10"/>
    <mergeCell ref="F49:G49"/>
    <mergeCell ref="X57:Y57"/>
    <mergeCell ref="Z57:AA57"/>
    <mergeCell ref="AJ57:AK57"/>
    <mergeCell ref="AL57:AM57"/>
    <mergeCell ref="R49:S49"/>
    <mergeCell ref="V57:W57"/>
    <mergeCell ref="AF49:AG49"/>
    <mergeCell ref="AH49:AI49"/>
    <mergeCell ref="AN9:AN11"/>
    <mergeCell ref="H10:I10"/>
    <mergeCell ref="J10:K10"/>
    <mergeCell ref="L10:M10"/>
    <mergeCell ref="N10:O10"/>
    <mergeCell ref="AF10:AG10"/>
    <mergeCell ref="AH10:AI10"/>
    <mergeCell ref="F9:AM9"/>
    <mergeCell ref="AJ10:AK10"/>
    <mergeCell ref="R10:S10"/>
    <mergeCell ref="AL10:AM10"/>
    <mergeCell ref="P10:Q10"/>
    <mergeCell ref="AD10:AE10"/>
    <mergeCell ref="Z10:AA10"/>
  </mergeCells>
  <phoneticPr fontId="26" type="noConversion"/>
  <dataValidations count="2">
    <dataValidation allowBlank="1" showInputMessage="1" showErrorMessage="1" errorTitle=" Error de ingreso" error="Debe ingresar sólo números enteros positivos." sqref="B51:B1048576 A70 A73 A76 A79:A1048576 B47 A51 A55:A67 F45:K45 A46:A48 CS44:XFD46 A1:A44 F55:AM58 M44:CO44 C44:E45 C47:E1048576 AN47:XFD1048576 F79:AM1048576 F66:AM69 F47:AM50 L45:CO46 B44:B46 B1:E43 AS1:XFD43 F1:AR11 F42:AR43" xr:uid="{00000000-0002-0000-0300-000000000000}"/>
    <dataValidation type="whole" operator="greaterThanOrEqual" allowBlank="1" showInputMessage="1" showErrorMessage="1" errorTitle=" Error de ingreso" error="Debe ingresar sólo números enteros positivos." sqref="F12:AR41 C46:K46 F51:AM54 F59:AM65 F70:AM78" xr:uid="{48A5641E-000E-45DA-B382-AE5DEB0914C2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50" pageOrder="overThenDown" orientation="landscape" r:id="rId1"/>
  <rowBreaks count="1" manualBreakCount="1">
    <brk id="42" max="16383" man="1"/>
  </rowBreaks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DZ101"/>
  <sheetViews>
    <sheetView showGridLines="0" zoomScaleNormal="100" workbookViewId="0">
      <selection activeCell="A7" sqref="A7:U7"/>
    </sheetView>
  </sheetViews>
  <sheetFormatPr baseColWidth="10" defaultColWidth="11.42578125" defaultRowHeight="10.5" x14ac:dyDescent="0.15"/>
  <cols>
    <col min="1" max="1" width="32.28515625" style="180" customWidth="1"/>
    <col min="2" max="2" width="52.5703125" style="180" customWidth="1"/>
    <col min="3" max="3" width="12.5703125" style="180" customWidth="1"/>
    <col min="4" max="4" width="10.140625" style="180" customWidth="1"/>
    <col min="5" max="5" width="9.7109375" style="180" customWidth="1"/>
    <col min="6" max="36" width="8.85546875" style="180" customWidth="1"/>
    <col min="37" max="37" width="9.5703125" style="180" customWidth="1"/>
    <col min="38" max="38" width="16.42578125" style="180" customWidth="1"/>
    <col min="39" max="39" width="22" style="180" customWidth="1"/>
    <col min="40" max="49" width="11.42578125" style="180" customWidth="1"/>
    <col min="50" max="50" width="10.85546875" style="180" customWidth="1"/>
    <col min="51" max="52" width="11.42578125" style="180" customWidth="1"/>
    <col min="53" max="123" width="16.42578125" style="387" hidden="1" customWidth="1"/>
    <col min="124" max="124" width="16.42578125" style="180" hidden="1" customWidth="1"/>
    <col min="125" max="130" width="11.42578125" style="180" hidden="1" customWidth="1"/>
    <col min="131" max="16384" width="11.42578125" style="180"/>
  </cols>
  <sheetData>
    <row r="1" spans="1:123" s="57" customFormat="1" ht="13.5" customHeight="1" x14ac:dyDescent="0.15">
      <c r="A1" s="125" t="s">
        <v>0</v>
      </c>
      <c r="BA1" s="325"/>
      <c r="BB1" s="325"/>
      <c r="BC1" s="325"/>
      <c r="BD1" s="325"/>
      <c r="BE1" s="325"/>
      <c r="BF1" s="325"/>
      <c r="BG1" s="325"/>
      <c r="BH1" s="325"/>
      <c r="BI1" s="325"/>
      <c r="BJ1" s="325"/>
      <c r="BK1" s="325"/>
      <c r="BL1" s="325"/>
      <c r="BM1" s="325"/>
      <c r="BN1" s="325"/>
      <c r="BO1" s="325"/>
      <c r="BP1" s="325"/>
      <c r="BQ1" s="325"/>
      <c r="BR1" s="325"/>
      <c r="BS1" s="325"/>
      <c r="BT1" s="325"/>
      <c r="BU1" s="325"/>
      <c r="BV1" s="325"/>
      <c r="BW1" s="325"/>
      <c r="BX1" s="325"/>
      <c r="BY1" s="325"/>
      <c r="BZ1" s="325"/>
      <c r="CA1" s="325"/>
      <c r="CB1" s="325"/>
      <c r="CC1" s="325"/>
      <c r="CD1" s="325"/>
      <c r="CE1" s="325"/>
      <c r="CF1" s="325"/>
      <c r="CG1" s="325"/>
      <c r="CH1" s="325"/>
      <c r="CI1" s="325"/>
      <c r="CJ1" s="325"/>
      <c r="CK1" s="325"/>
      <c r="CL1" s="325"/>
      <c r="CM1" s="325"/>
      <c r="CN1" s="325"/>
      <c r="CO1" s="325"/>
      <c r="CP1" s="325"/>
      <c r="CQ1" s="325"/>
      <c r="CR1" s="325"/>
      <c r="CS1" s="325"/>
      <c r="CT1" s="325"/>
      <c r="CU1" s="325"/>
      <c r="CV1" s="325"/>
      <c r="CW1" s="325"/>
      <c r="CX1" s="325"/>
      <c r="CY1" s="325"/>
      <c r="CZ1" s="325"/>
      <c r="DA1" s="325"/>
      <c r="DB1" s="325"/>
      <c r="DC1" s="325"/>
      <c r="DD1" s="325"/>
      <c r="DE1" s="325"/>
      <c r="DF1" s="325"/>
      <c r="DG1" s="325"/>
      <c r="DH1" s="325"/>
      <c r="DI1" s="325"/>
      <c r="DJ1" s="325"/>
      <c r="DK1" s="325"/>
      <c r="DL1" s="325"/>
      <c r="DM1" s="325"/>
      <c r="DN1" s="325"/>
      <c r="DO1" s="325"/>
      <c r="DP1" s="325"/>
      <c r="DQ1" s="325"/>
      <c r="DR1" s="325"/>
      <c r="DS1" s="325"/>
    </row>
    <row r="2" spans="1:123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BA2" s="325"/>
      <c r="BB2" s="325"/>
      <c r="BC2" s="325"/>
      <c r="BD2" s="325"/>
      <c r="BE2" s="325"/>
      <c r="BF2" s="325"/>
      <c r="BG2" s="325"/>
      <c r="BH2" s="325"/>
      <c r="BI2" s="325"/>
      <c r="BJ2" s="325"/>
      <c r="BK2" s="325"/>
      <c r="BL2" s="325"/>
      <c r="BM2" s="325"/>
      <c r="BN2" s="325"/>
      <c r="BO2" s="325"/>
      <c r="BP2" s="325"/>
      <c r="BQ2" s="325"/>
      <c r="BR2" s="325"/>
      <c r="BS2" s="325"/>
      <c r="BT2" s="325"/>
      <c r="BU2" s="325"/>
      <c r="BV2" s="325"/>
      <c r="BW2" s="325"/>
      <c r="BX2" s="325"/>
      <c r="BY2" s="325"/>
      <c r="BZ2" s="325"/>
      <c r="CA2" s="325"/>
      <c r="CB2" s="325"/>
      <c r="CC2" s="325"/>
      <c r="CD2" s="325"/>
      <c r="CE2" s="325"/>
      <c r="CF2" s="325"/>
      <c r="CG2" s="325"/>
      <c r="CH2" s="325"/>
      <c r="CI2" s="325"/>
      <c r="CJ2" s="325"/>
      <c r="CK2" s="325"/>
      <c r="CL2" s="325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25"/>
      <c r="DB2" s="325"/>
      <c r="DC2" s="325"/>
      <c r="DD2" s="325"/>
      <c r="DE2" s="325"/>
      <c r="DF2" s="325"/>
      <c r="DG2" s="325"/>
      <c r="DH2" s="325"/>
      <c r="DI2" s="325"/>
      <c r="DJ2" s="325"/>
      <c r="DK2" s="325"/>
      <c r="DL2" s="325"/>
      <c r="DM2" s="325"/>
      <c r="DN2" s="325"/>
      <c r="DO2" s="325"/>
      <c r="DP2" s="325"/>
      <c r="DQ2" s="325"/>
      <c r="DR2" s="325"/>
      <c r="DS2" s="325"/>
    </row>
    <row r="3" spans="1:123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  <c r="BA3" s="325"/>
      <c r="BB3" s="325"/>
      <c r="BC3" s="325"/>
      <c r="BD3" s="325"/>
      <c r="BE3" s="325"/>
      <c r="BF3" s="325"/>
      <c r="BG3" s="325"/>
      <c r="BH3" s="325"/>
      <c r="BI3" s="325"/>
      <c r="BJ3" s="325"/>
      <c r="BK3" s="325"/>
      <c r="BL3" s="325"/>
      <c r="BM3" s="325"/>
      <c r="BN3" s="325"/>
      <c r="BO3" s="325"/>
      <c r="BP3" s="325"/>
      <c r="BQ3" s="325"/>
      <c r="BR3" s="325"/>
      <c r="BS3" s="325"/>
      <c r="BT3" s="325"/>
      <c r="BU3" s="325"/>
      <c r="BV3" s="325"/>
      <c r="BW3" s="325"/>
      <c r="BX3" s="325"/>
      <c r="BY3" s="325"/>
      <c r="BZ3" s="325"/>
      <c r="CA3" s="325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25"/>
      <c r="DD3" s="325"/>
      <c r="DE3" s="325"/>
      <c r="DF3" s="325"/>
      <c r="DG3" s="325"/>
      <c r="DH3" s="325"/>
      <c r="DI3" s="325"/>
      <c r="DJ3" s="325"/>
      <c r="DK3" s="325"/>
      <c r="DL3" s="325"/>
      <c r="DM3" s="325"/>
      <c r="DN3" s="325"/>
      <c r="DO3" s="325"/>
      <c r="DP3" s="325"/>
      <c r="DQ3" s="325"/>
      <c r="DR3" s="325"/>
      <c r="DS3" s="325"/>
    </row>
    <row r="4" spans="1:123" s="57" customFormat="1" ht="13.5" customHeight="1" x14ac:dyDescent="0.15">
      <c r="A4" s="125" t="str">
        <f>CONCATENATE("MES: ",NOMBRE!$B$6," - ","( ",NOMBRE!$C$6,NOMBRE!$D$6," )")</f>
        <v>MES:  - (  )</v>
      </c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  <c r="DS4" s="325"/>
    </row>
    <row r="5" spans="1:123" s="57" customFormat="1" ht="13.5" customHeight="1" x14ac:dyDescent="0.15">
      <c r="A5" s="125" t="str">
        <f>CONCATENATE("AÑO: ",NOMBRE!$B$7)</f>
        <v>AÑO: 2023</v>
      </c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325"/>
      <c r="DP5" s="325"/>
      <c r="DQ5" s="325"/>
      <c r="DR5" s="325"/>
      <c r="DS5" s="325"/>
    </row>
    <row r="6" spans="1:123" s="57" customFormat="1" ht="15" customHeight="1" x14ac:dyDescent="0.15">
      <c r="A6" s="156"/>
      <c r="Z6" s="180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DL6" s="325"/>
      <c r="DM6" s="325"/>
      <c r="DN6" s="325"/>
      <c r="DO6" s="325"/>
      <c r="DP6" s="325"/>
      <c r="DQ6" s="325"/>
      <c r="DR6" s="325"/>
      <c r="DS6" s="325"/>
    </row>
    <row r="7" spans="1:123" ht="21.75" customHeight="1" x14ac:dyDescent="0.15">
      <c r="A7" s="2114" t="s">
        <v>505</v>
      </c>
      <c r="B7" s="2114"/>
      <c r="C7" s="2114"/>
      <c r="D7" s="2114"/>
      <c r="E7" s="2114"/>
      <c r="F7" s="2114"/>
      <c r="G7" s="2114"/>
      <c r="H7" s="2114"/>
      <c r="I7" s="2114"/>
      <c r="J7" s="2114"/>
      <c r="K7" s="2114"/>
      <c r="L7" s="2114"/>
      <c r="M7" s="2114"/>
      <c r="N7" s="2114"/>
      <c r="O7" s="2114"/>
      <c r="P7" s="2114"/>
      <c r="Q7" s="2114"/>
      <c r="R7" s="2114"/>
      <c r="S7" s="2114"/>
      <c r="T7" s="2114"/>
      <c r="U7" s="2114"/>
    </row>
    <row r="8" spans="1:123" ht="43.5" customHeight="1" x14ac:dyDescent="0.2">
      <c r="A8" s="485" t="s">
        <v>156</v>
      </c>
      <c r="B8" s="485"/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158"/>
      <c r="O8" s="476"/>
      <c r="P8" s="476"/>
      <c r="Q8" s="146"/>
      <c r="T8" s="477"/>
    </row>
    <row r="9" spans="1:123" ht="13.5" customHeight="1" x14ac:dyDescent="0.15">
      <c r="A9" s="2115" t="s">
        <v>151</v>
      </c>
      <c r="B9" s="2078"/>
      <c r="C9" s="2076" t="s">
        <v>196</v>
      </c>
      <c r="D9" s="2077"/>
      <c r="E9" s="2078"/>
      <c r="F9" s="1965" t="s">
        <v>126</v>
      </c>
      <c r="G9" s="2118"/>
      <c r="H9" s="2118"/>
      <c r="I9" s="2118"/>
      <c r="J9" s="2118"/>
      <c r="K9" s="2118"/>
      <c r="L9" s="2118"/>
      <c r="M9" s="2118"/>
      <c r="N9" s="2118"/>
      <c r="O9" s="2118"/>
      <c r="P9" s="2118"/>
      <c r="Q9" s="2118"/>
      <c r="R9" s="2118"/>
      <c r="S9" s="2118"/>
      <c r="T9" s="2118"/>
      <c r="U9" s="2118"/>
      <c r="V9" s="2118"/>
      <c r="W9" s="2118"/>
      <c r="X9" s="2118"/>
      <c r="Y9" s="2118"/>
      <c r="Z9" s="2118"/>
      <c r="AA9" s="2118"/>
      <c r="AB9" s="2118"/>
      <c r="AC9" s="2118"/>
      <c r="AD9" s="2118"/>
      <c r="AE9" s="2118"/>
      <c r="AF9" s="2118"/>
      <c r="AG9" s="2118"/>
      <c r="AH9" s="2068" t="s">
        <v>15</v>
      </c>
      <c r="AI9" s="1736"/>
      <c r="AJ9" s="1736" t="s">
        <v>814</v>
      </c>
      <c r="AK9" s="1736"/>
      <c r="AL9" s="1797" t="s">
        <v>157</v>
      </c>
      <c r="AM9" s="392"/>
      <c r="AN9" s="341"/>
      <c r="AO9" s="341"/>
      <c r="AP9" s="341"/>
      <c r="AQ9" s="341"/>
      <c r="AR9" s="341"/>
      <c r="AS9" s="341"/>
      <c r="AT9" s="341"/>
      <c r="AU9" s="341"/>
      <c r="AV9" s="341"/>
      <c r="AW9" s="341"/>
      <c r="AX9" s="341"/>
      <c r="AY9" s="341"/>
      <c r="AZ9" s="341"/>
      <c r="BA9" s="393"/>
      <c r="BB9" s="393"/>
      <c r="BD9" s="2112" t="s">
        <v>15</v>
      </c>
      <c r="BE9" s="2112"/>
      <c r="BF9" s="2112" t="s">
        <v>465</v>
      </c>
      <c r="BG9" s="2112"/>
      <c r="BH9" s="2112" t="s">
        <v>157</v>
      </c>
      <c r="BJ9" s="2112" t="s">
        <v>15</v>
      </c>
      <c r="BK9" s="2112" t="s">
        <v>465</v>
      </c>
    </row>
    <row r="10" spans="1:123" ht="18.75" customHeight="1" x14ac:dyDescent="0.15">
      <c r="A10" s="2116"/>
      <c r="B10" s="2117"/>
      <c r="C10" s="2079"/>
      <c r="D10" s="2080"/>
      <c r="E10" s="2081"/>
      <c r="F10" s="2089" t="s">
        <v>17</v>
      </c>
      <c r="G10" s="2119"/>
      <c r="H10" s="2089" t="s">
        <v>18</v>
      </c>
      <c r="I10" s="2119"/>
      <c r="J10" s="1967" t="s">
        <v>19</v>
      </c>
      <c r="K10" s="1967"/>
      <c r="L10" s="1968" t="s">
        <v>20</v>
      </c>
      <c r="M10" s="1969"/>
      <c r="N10" s="1967" t="s">
        <v>21</v>
      </c>
      <c r="O10" s="1967"/>
      <c r="P10" s="1968" t="s">
        <v>22</v>
      </c>
      <c r="Q10" s="1969"/>
      <c r="R10" s="1967" t="s">
        <v>23</v>
      </c>
      <c r="S10" s="1967"/>
      <c r="T10" s="1968" t="s">
        <v>24</v>
      </c>
      <c r="U10" s="1969"/>
      <c r="V10" s="1967" t="s">
        <v>208</v>
      </c>
      <c r="W10" s="1967"/>
      <c r="X10" s="1968" t="s">
        <v>209</v>
      </c>
      <c r="Y10" s="1969"/>
      <c r="Z10" s="1970" t="s">
        <v>181</v>
      </c>
      <c r="AA10" s="1971"/>
      <c r="AB10" s="1970" t="s">
        <v>182</v>
      </c>
      <c r="AC10" s="1971"/>
      <c r="AD10" s="1970" t="s">
        <v>183</v>
      </c>
      <c r="AE10" s="1971"/>
      <c r="AF10" s="1970" t="s">
        <v>195</v>
      </c>
      <c r="AG10" s="1978"/>
      <c r="AH10" s="2069"/>
      <c r="AI10" s="1737"/>
      <c r="AJ10" s="1737"/>
      <c r="AK10" s="1737"/>
      <c r="AL10" s="2113"/>
      <c r="AM10" s="368"/>
      <c r="AN10" s="368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1"/>
      <c r="AZ10" s="341"/>
      <c r="BA10" s="393"/>
      <c r="BB10" s="393"/>
      <c r="BD10" s="2112"/>
      <c r="BE10" s="2112"/>
      <c r="BF10" s="2112"/>
      <c r="BG10" s="2112"/>
      <c r="BH10" s="2112"/>
      <c r="BJ10" s="2112"/>
      <c r="BK10" s="2112"/>
    </row>
    <row r="11" spans="1:123" ht="23.25" customHeight="1" x14ac:dyDescent="0.15">
      <c r="A11" s="2079"/>
      <c r="B11" s="2081"/>
      <c r="C11" s="130" t="s">
        <v>369</v>
      </c>
      <c r="D11" s="157" t="s">
        <v>31</v>
      </c>
      <c r="E11" s="362" t="s">
        <v>94</v>
      </c>
      <c r="F11" s="150" t="s">
        <v>31</v>
      </c>
      <c r="G11" s="362" t="s">
        <v>94</v>
      </c>
      <c r="H11" s="150" t="s">
        <v>31</v>
      </c>
      <c r="I11" s="362" t="s">
        <v>94</v>
      </c>
      <c r="J11" s="150" t="s">
        <v>31</v>
      </c>
      <c r="K11" s="362" t="s">
        <v>94</v>
      </c>
      <c r="L11" s="150" t="s">
        <v>31</v>
      </c>
      <c r="M11" s="362" t="s">
        <v>94</v>
      </c>
      <c r="N11" s="150" t="s">
        <v>31</v>
      </c>
      <c r="O11" s="362" t="s">
        <v>94</v>
      </c>
      <c r="P11" s="150" t="s">
        <v>31</v>
      </c>
      <c r="Q11" s="362" t="s">
        <v>94</v>
      </c>
      <c r="R11" s="150" t="s">
        <v>31</v>
      </c>
      <c r="S11" s="362" t="s">
        <v>94</v>
      </c>
      <c r="T11" s="150" t="s">
        <v>31</v>
      </c>
      <c r="U11" s="362" t="s">
        <v>94</v>
      </c>
      <c r="V11" s="150" t="s">
        <v>31</v>
      </c>
      <c r="W11" s="362" t="s">
        <v>94</v>
      </c>
      <c r="X11" s="150" t="s">
        <v>31</v>
      </c>
      <c r="Y11" s="362" t="s">
        <v>94</v>
      </c>
      <c r="Z11" s="150" t="s">
        <v>129</v>
      </c>
      <c r="AA11" s="362" t="s">
        <v>94</v>
      </c>
      <c r="AB11" s="150" t="s">
        <v>129</v>
      </c>
      <c r="AC11" s="362" t="s">
        <v>94</v>
      </c>
      <c r="AD11" s="150" t="s">
        <v>129</v>
      </c>
      <c r="AE11" s="362" t="s">
        <v>94</v>
      </c>
      <c r="AF11" s="136" t="s">
        <v>129</v>
      </c>
      <c r="AG11" s="138" t="s">
        <v>94</v>
      </c>
      <c r="AH11" s="1148" t="s">
        <v>31</v>
      </c>
      <c r="AI11" s="1149" t="s">
        <v>94</v>
      </c>
      <c r="AJ11" s="1149" t="s">
        <v>31</v>
      </c>
      <c r="AK11" s="1149" t="s">
        <v>94</v>
      </c>
      <c r="AL11" s="1799"/>
      <c r="AM11" s="158"/>
      <c r="AN11" s="158"/>
      <c r="AO11" s="341"/>
      <c r="AP11" s="341"/>
      <c r="AQ11" s="341"/>
      <c r="AR11" s="341"/>
      <c r="AS11" s="341"/>
      <c r="AT11" s="341"/>
      <c r="AU11" s="341"/>
      <c r="AV11" s="341"/>
      <c r="AW11" s="341"/>
      <c r="AX11" s="341"/>
      <c r="AY11" s="341"/>
      <c r="AZ11" s="341"/>
      <c r="BA11" s="393"/>
      <c r="BB11" s="393"/>
      <c r="BD11" s="976" t="s">
        <v>31</v>
      </c>
      <c r="BE11" s="976" t="s">
        <v>94</v>
      </c>
      <c r="BF11" s="976" t="s">
        <v>31</v>
      </c>
      <c r="BG11" s="976" t="s">
        <v>94</v>
      </c>
      <c r="BH11" s="2112"/>
      <c r="BJ11" s="974" t="s">
        <v>543</v>
      </c>
      <c r="BK11" s="974" t="s">
        <v>543</v>
      </c>
    </row>
    <row r="12" spans="1:123" ht="22.5" customHeight="1" x14ac:dyDescent="0.15">
      <c r="A12" s="2066" t="s">
        <v>158</v>
      </c>
      <c r="B12" s="2067"/>
      <c r="C12" s="772">
        <f>SUM(D12:E12)</f>
        <v>0</v>
      </c>
      <c r="D12" s="786">
        <f>+F12+H12+J12+L12+N12+P12+R12+T12+V12+X12+Z12+AB12+AD12+AF12</f>
        <v>0</v>
      </c>
      <c r="E12" s="787">
        <f>+G12+I12+K12+M12+O12+Q12+S12+U12+W12+Y12+AA12+AC12+AE12+AG12</f>
        <v>0</v>
      </c>
      <c r="F12" s="772">
        <f>SUM(F13:F15)</f>
        <v>0</v>
      </c>
      <c r="G12" s="787">
        <f t="shared" ref="G12:AJ12" si="0">SUM(G13:G15)</f>
        <v>0</v>
      </c>
      <c r="H12" s="772">
        <f t="shared" si="0"/>
        <v>0</v>
      </c>
      <c r="I12" s="787">
        <f t="shared" si="0"/>
        <v>0</v>
      </c>
      <c r="J12" s="772">
        <f t="shared" si="0"/>
        <v>0</v>
      </c>
      <c r="K12" s="787">
        <f t="shared" si="0"/>
        <v>0</v>
      </c>
      <c r="L12" s="772">
        <f t="shared" si="0"/>
        <v>0</v>
      </c>
      <c r="M12" s="787">
        <f t="shared" si="0"/>
        <v>0</v>
      </c>
      <c r="N12" s="772">
        <f t="shared" si="0"/>
        <v>0</v>
      </c>
      <c r="O12" s="787">
        <f t="shared" si="0"/>
        <v>0</v>
      </c>
      <c r="P12" s="772">
        <f t="shared" si="0"/>
        <v>0</v>
      </c>
      <c r="Q12" s="787">
        <f t="shared" si="0"/>
        <v>0</v>
      </c>
      <c r="R12" s="772">
        <f t="shared" si="0"/>
        <v>0</v>
      </c>
      <c r="S12" s="787">
        <f t="shared" si="0"/>
        <v>0</v>
      </c>
      <c r="T12" s="772">
        <f t="shared" si="0"/>
        <v>0</v>
      </c>
      <c r="U12" s="787">
        <f t="shared" si="0"/>
        <v>0</v>
      </c>
      <c r="V12" s="772">
        <f t="shared" si="0"/>
        <v>0</v>
      </c>
      <c r="W12" s="787">
        <f t="shared" si="0"/>
        <v>0</v>
      </c>
      <c r="X12" s="772">
        <f t="shared" si="0"/>
        <v>0</v>
      </c>
      <c r="Y12" s="787">
        <f t="shared" si="0"/>
        <v>0</v>
      </c>
      <c r="Z12" s="772">
        <f t="shared" si="0"/>
        <v>0</v>
      </c>
      <c r="AA12" s="787">
        <f t="shared" si="0"/>
        <v>0</v>
      </c>
      <c r="AB12" s="772">
        <f t="shared" si="0"/>
        <v>0</v>
      </c>
      <c r="AC12" s="787">
        <f t="shared" si="0"/>
        <v>0</v>
      </c>
      <c r="AD12" s="772">
        <f t="shared" si="0"/>
        <v>0</v>
      </c>
      <c r="AE12" s="787">
        <f t="shared" si="0"/>
        <v>0</v>
      </c>
      <c r="AF12" s="772">
        <f t="shared" si="0"/>
        <v>0</v>
      </c>
      <c r="AG12" s="788">
        <f t="shared" si="0"/>
        <v>0</v>
      </c>
      <c r="AH12" s="808">
        <f>SUM(AH13:AH15)</f>
        <v>0</v>
      </c>
      <c r="AI12" s="1150">
        <f>SUM(AI13:AI15)</f>
        <v>0</v>
      </c>
      <c r="AJ12" s="1150">
        <f t="shared" si="0"/>
        <v>0</v>
      </c>
      <c r="AK12" s="1150">
        <f>SUM(AK13:AK15)</f>
        <v>0</v>
      </c>
      <c r="AL12" s="1142"/>
      <c r="AM12" s="1681"/>
      <c r="AN12" s="129"/>
    </row>
    <row r="13" spans="1:123" ht="22.5" customHeight="1" x14ac:dyDescent="0.15">
      <c r="A13" s="2048" t="s">
        <v>159</v>
      </c>
      <c r="B13" s="159" t="s">
        <v>160</v>
      </c>
      <c r="C13" s="722">
        <f t="shared" ref="C13:C21" si="1">SUM(D13:E13)</f>
        <v>0</v>
      </c>
      <c r="D13" s="789">
        <f>+F13+H13+J13+L13+N13+P13+R13+T13+V13+X13+Z13+AB13+AD13+AF13</f>
        <v>0</v>
      </c>
      <c r="E13" s="790">
        <f>+G13+I13+K13+M13+O13+Q13+S13+U13+W13+Y13+AA13+AC13+AE13+AG13</f>
        <v>0</v>
      </c>
      <c r="F13" s="731"/>
      <c r="G13" s="732"/>
      <c r="H13" s="731"/>
      <c r="I13" s="732"/>
      <c r="J13" s="731"/>
      <c r="K13" s="732"/>
      <c r="L13" s="731"/>
      <c r="M13" s="732"/>
      <c r="N13" s="731"/>
      <c r="O13" s="732"/>
      <c r="P13" s="731"/>
      <c r="Q13" s="732"/>
      <c r="R13" s="731"/>
      <c r="S13" s="732"/>
      <c r="T13" s="731"/>
      <c r="U13" s="732"/>
      <c r="V13" s="731"/>
      <c r="W13" s="732"/>
      <c r="X13" s="731"/>
      <c r="Y13" s="732"/>
      <c r="Z13" s="731"/>
      <c r="AA13" s="732"/>
      <c r="AB13" s="731"/>
      <c r="AC13" s="732"/>
      <c r="AD13" s="731"/>
      <c r="AE13" s="732"/>
      <c r="AF13" s="731"/>
      <c r="AG13" s="743"/>
      <c r="AH13" s="1151"/>
      <c r="AI13" s="1152"/>
      <c r="AJ13" s="1152"/>
      <c r="AK13" s="1152"/>
      <c r="AL13" s="1143"/>
      <c r="AM13" s="1681" t="str">
        <f xml:space="preserve"> BD13 &amp; BE13 &amp; BF13 &amp; BG13 &amp; BH13 &amp; BJ13 &amp; BK13</f>
        <v/>
      </c>
      <c r="AN13" s="129"/>
      <c r="BD13" s="381" t="str">
        <f t="shared" ref="BD13:BD28" si="2">IF($D13&gt;=$AH13,"","* Pueblos Originarios-Hombres no debe ser mayor al Total de personas en PSCV. ")</f>
        <v/>
      </c>
      <c r="BE13" s="381" t="str">
        <f t="shared" ref="BE13:BE28" si="3">IF($E13&gt;=$AI13,"","* Pueblos Originarios-Mujeres no debe ser mayor al Total de personas en PSCV. ")</f>
        <v/>
      </c>
      <c r="BF13" s="381" t="str">
        <f t="shared" ref="BF13:BF28" si="4">IF($D13&gt;=$AJ13,"","* Población Migrantes-Hombres no debe ser mayor al Total de personas en PSCV. ")</f>
        <v/>
      </c>
      <c r="BG13" s="381" t="str">
        <f t="shared" ref="BG13:BG28" si="5">IF($E13&gt;=$AK13,"","* Población Migrantes-Mujeres no debe ser mayor al Total de personas en PSCV. ")</f>
        <v/>
      </c>
      <c r="BH13" s="381" t="str">
        <f>IF(C12&lt;&gt;C29, "* El numero de Personas en PSCV de ambos sexo debe ser igua al total de detección y prevención de la progresión de la enfermedad renal crónica de ambos sexo. ","")</f>
        <v/>
      </c>
      <c r="BJ13" s="381" t="str">
        <f t="shared" ref="BJ13:BJ28" si="6">IF(AND(D13&lt;&gt;0,AH13=""),"* No olvide escribir en la celda de 'Pueblos Originarios' (Digite CERO si no tiene). ",IF(AND(E13&lt;&gt;0,AI13=""),"* No olvide escribir en la celda de 'Pueblos Originarios' (Digite CERO si no tiene). ",""))</f>
        <v/>
      </c>
      <c r="BK13" s="381" t="str">
        <f t="shared" ref="BK13:BK28" si="7">IF(AND(D13&lt;&gt;0,AJ13=""),"* No olvide escribir en la celda de 'Población Migrantes' (Digite CERO si no tiene). ",IF(AND(E13&lt;&gt;0,AK13=""),"* No olvide escribir en la celda de 'Población Migrantes' (Digite CERO si no tiene). ",""))</f>
        <v/>
      </c>
      <c r="CL13" s="385"/>
      <c r="CM13" s="385"/>
      <c r="CN13" s="391">
        <f>IF($D13&gt;=$AH13,0,1)</f>
        <v>0</v>
      </c>
      <c r="CO13" s="391">
        <f>IF($E13&gt;=$AI13,0,1)</f>
        <v>0</v>
      </c>
      <c r="CP13" s="391">
        <f>IF($D13&gt;=$AJ13,0,1)</f>
        <v>0</v>
      </c>
      <c r="CQ13" s="391">
        <f>IF($E13&gt;=$AK13,0,1)</f>
        <v>0</v>
      </c>
      <c r="CR13" s="391">
        <f>IF(C12&lt;&gt;C29, 1,0)</f>
        <v>0</v>
      </c>
      <c r="CS13" s="385"/>
      <c r="CT13" s="385"/>
      <c r="CU13" s="385"/>
      <c r="CV13" s="391">
        <f>IF(AND(D15&lt;&gt;0,AH15=""),1,IF(AND(E15&lt;&gt;0,AI15=""),1,0))</f>
        <v>0</v>
      </c>
      <c r="CW13" s="391">
        <f>IF(AND(D15&lt;&gt;0,AJ15=""),1,IF(AND(E15&lt;&gt;0,AK15=""),1,0))</f>
        <v>0</v>
      </c>
      <c r="CX13" s="385"/>
      <c r="CY13" s="385"/>
      <c r="CZ13" s="385"/>
      <c r="DA13" s="385"/>
      <c r="DB13" s="385"/>
      <c r="DC13" s="385"/>
      <c r="DD13" s="385"/>
      <c r="DE13" s="385"/>
      <c r="DF13" s="385"/>
      <c r="DG13" s="385"/>
      <c r="DH13" s="385"/>
      <c r="DI13" s="385"/>
      <c r="DJ13" s="385"/>
      <c r="DK13" s="385"/>
      <c r="DL13" s="385"/>
      <c r="DM13" s="385"/>
      <c r="DN13" s="385"/>
      <c r="DO13" s="385"/>
      <c r="DP13" s="385"/>
      <c r="DQ13" s="385"/>
      <c r="DR13" s="385"/>
      <c r="DS13" s="385"/>
    </row>
    <row r="14" spans="1:123" ht="22.5" customHeight="1" x14ac:dyDescent="0.15">
      <c r="A14" s="2048"/>
      <c r="B14" s="160" t="s">
        <v>113</v>
      </c>
      <c r="C14" s="716">
        <f t="shared" si="1"/>
        <v>0</v>
      </c>
      <c r="D14" s="717">
        <f t="shared" ref="D14:E16" si="8">+F14+H14+J14+L14+N14+P14+R14+T14+V14+X14+Z14+AB14+AD14+AF14</f>
        <v>0</v>
      </c>
      <c r="E14" s="791">
        <f t="shared" si="8"/>
        <v>0</v>
      </c>
      <c r="F14" s="755"/>
      <c r="G14" s="756"/>
      <c r="H14" s="755"/>
      <c r="I14" s="756"/>
      <c r="J14" s="755"/>
      <c r="K14" s="756"/>
      <c r="L14" s="755"/>
      <c r="M14" s="756"/>
      <c r="N14" s="755"/>
      <c r="O14" s="756"/>
      <c r="P14" s="755"/>
      <c r="Q14" s="756"/>
      <c r="R14" s="755"/>
      <c r="S14" s="756"/>
      <c r="T14" s="755"/>
      <c r="U14" s="756"/>
      <c r="V14" s="755"/>
      <c r="W14" s="756"/>
      <c r="X14" s="755"/>
      <c r="Y14" s="756"/>
      <c r="Z14" s="755"/>
      <c r="AA14" s="756"/>
      <c r="AB14" s="755"/>
      <c r="AC14" s="756"/>
      <c r="AD14" s="755"/>
      <c r="AE14" s="756"/>
      <c r="AF14" s="755"/>
      <c r="AG14" s="757"/>
      <c r="AH14" s="804"/>
      <c r="AI14" s="1153"/>
      <c r="AJ14" s="1153"/>
      <c r="AK14" s="1153"/>
      <c r="AL14" s="1144"/>
      <c r="AM14" s="1681" t="str">
        <f t="shared" ref="AM14:AM21" si="9" xml:space="preserve"> BD14 &amp; BE14 &amp; BF14 &amp; BG14 &amp; BJ14 &amp; BK14</f>
        <v/>
      </c>
      <c r="AN14" s="129"/>
      <c r="BD14" s="381" t="str">
        <f t="shared" si="2"/>
        <v/>
      </c>
      <c r="BE14" s="381" t="str">
        <f t="shared" si="3"/>
        <v/>
      </c>
      <c r="BF14" s="381" t="str">
        <f t="shared" si="4"/>
        <v/>
      </c>
      <c r="BG14" s="381" t="str">
        <f t="shared" si="5"/>
        <v/>
      </c>
      <c r="BJ14" s="381" t="str">
        <f t="shared" si="6"/>
        <v/>
      </c>
      <c r="BK14" s="381" t="str">
        <f t="shared" si="7"/>
        <v/>
      </c>
      <c r="CL14" s="385"/>
      <c r="CM14" s="385"/>
      <c r="CN14" s="391">
        <f t="shared" ref="CN14:CN28" si="10">IF($D14&gt;=$AH14,0,1)</f>
        <v>0</v>
      </c>
      <c r="CO14" s="391">
        <f t="shared" ref="CO14:CO28" si="11">IF($E14&gt;=$AI14,0,1)</f>
        <v>0</v>
      </c>
      <c r="CP14" s="391">
        <f t="shared" ref="CP14:CP28" si="12">IF($D14&gt;=$AJ14,0,1)</f>
        <v>0</v>
      </c>
      <c r="CQ14" s="391">
        <f t="shared" ref="CQ14:CQ28" si="13">IF($E14&gt;=$AK14,0,1)</f>
        <v>0</v>
      </c>
      <c r="CR14" s="385"/>
      <c r="CS14" s="385"/>
      <c r="CT14" s="385"/>
      <c r="CU14" s="385"/>
      <c r="CV14" s="391">
        <f t="shared" ref="CV14:CV28" si="14">IF(AND(D16&lt;&gt;0,AH16=""),1,IF(AND(E16&lt;&gt;0,AI16=""),1,0))</f>
        <v>0</v>
      </c>
      <c r="CW14" s="391">
        <f t="shared" ref="CW14:CW28" si="15">IF(AND(D16&lt;&gt;0,AJ16=""),1,IF(AND(E16&lt;&gt;0,AK16=""),1,0))</f>
        <v>0</v>
      </c>
      <c r="CX14" s="385"/>
      <c r="CY14" s="385"/>
      <c r="CZ14" s="385"/>
      <c r="DA14" s="385"/>
      <c r="DB14" s="385"/>
      <c r="DC14" s="385"/>
      <c r="DD14" s="385"/>
      <c r="DE14" s="385"/>
      <c r="DF14" s="385"/>
      <c r="DG14" s="385"/>
      <c r="DH14" s="385"/>
      <c r="DI14" s="385"/>
      <c r="DJ14" s="385"/>
      <c r="DK14" s="385"/>
      <c r="DL14" s="385"/>
      <c r="DM14" s="385"/>
      <c r="DN14" s="385"/>
      <c r="DO14" s="385"/>
      <c r="DP14" s="385"/>
      <c r="DQ14" s="385"/>
      <c r="DR14" s="385"/>
      <c r="DS14" s="385"/>
    </row>
    <row r="15" spans="1:123" ht="22.5" customHeight="1" x14ac:dyDescent="0.15">
      <c r="A15" s="2048"/>
      <c r="B15" s="1282" t="s">
        <v>322</v>
      </c>
      <c r="C15" s="719">
        <f t="shared" si="1"/>
        <v>0</v>
      </c>
      <c r="D15" s="720">
        <f t="shared" si="8"/>
        <v>0</v>
      </c>
      <c r="E15" s="793">
        <f t="shared" si="8"/>
        <v>0</v>
      </c>
      <c r="F15" s="751"/>
      <c r="G15" s="752"/>
      <c r="H15" s="751"/>
      <c r="I15" s="752"/>
      <c r="J15" s="751"/>
      <c r="K15" s="752"/>
      <c r="L15" s="751"/>
      <c r="M15" s="752"/>
      <c r="N15" s="751"/>
      <c r="O15" s="752"/>
      <c r="P15" s="751"/>
      <c r="Q15" s="752"/>
      <c r="R15" s="751"/>
      <c r="S15" s="752"/>
      <c r="T15" s="751"/>
      <c r="U15" s="752"/>
      <c r="V15" s="751"/>
      <c r="W15" s="752"/>
      <c r="X15" s="751"/>
      <c r="Y15" s="752"/>
      <c r="Z15" s="751"/>
      <c r="AA15" s="752"/>
      <c r="AB15" s="751"/>
      <c r="AC15" s="752"/>
      <c r="AD15" s="751"/>
      <c r="AE15" s="752"/>
      <c r="AF15" s="751"/>
      <c r="AG15" s="753"/>
      <c r="AH15" s="1154"/>
      <c r="AI15" s="1155"/>
      <c r="AJ15" s="1155"/>
      <c r="AK15" s="1155"/>
      <c r="AL15" s="1145"/>
      <c r="AM15" s="1681" t="str">
        <f t="shared" si="9"/>
        <v/>
      </c>
      <c r="AN15" s="129"/>
      <c r="BD15" s="381" t="str">
        <f t="shared" si="2"/>
        <v/>
      </c>
      <c r="BE15" s="381" t="str">
        <f t="shared" si="3"/>
        <v/>
      </c>
      <c r="BF15" s="381" t="str">
        <f t="shared" si="4"/>
        <v/>
      </c>
      <c r="BG15" s="381" t="str">
        <f t="shared" si="5"/>
        <v/>
      </c>
      <c r="BJ15" s="381" t="str">
        <f t="shared" si="6"/>
        <v/>
      </c>
      <c r="BK15" s="381" t="str">
        <f t="shared" si="7"/>
        <v/>
      </c>
      <c r="CL15" s="385"/>
      <c r="CM15" s="385"/>
      <c r="CN15" s="391">
        <f t="shared" si="10"/>
        <v>0</v>
      </c>
      <c r="CO15" s="391">
        <f t="shared" si="11"/>
        <v>0</v>
      </c>
      <c r="CP15" s="391">
        <f t="shared" si="12"/>
        <v>0</v>
      </c>
      <c r="CQ15" s="391">
        <f t="shared" si="13"/>
        <v>0</v>
      </c>
      <c r="CR15" s="385"/>
      <c r="CS15" s="385"/>
      <c r="CT15" s="385"/>
      <c r="CU15" s="385"/>
      <c r="CV15" s="391">
        <f t="shared" si="14"/>
        <v>0</v>
      </c>
      <c r="CW15" s="391">
        <f t="shared" si="15"/>
        <v>0</v>
      </c>
      <c r="CX15" s="385"/>
      <c r="CY15" s="385"/>
      <c r="CZ15" s="385"/>
      <c r="DA15" s="385"/>
      <c r="DB15" s="385"/>
      <c r="DC15" s="385"/>
      <c r="DD15" s="385"/>
      <c r="DE15" s="385"/>
      <c r="DF15" s="385"/>
      <c r="DG15" s="385"/>
      <c r="DH15" s="385"/>
      <c r="DI15" s="385"/>
      <c r="DJ15" s="385"/>
      <c r="DK15" s="385"/>
      <c r="DL15" s="385"/>
      <c r="DM15" s="385"/>
      <c r="DN15" s="385"/>
      <c r="DO15" s="385"/>
      <c r="DP15" s="385"/>
      <c r="DQ15" s="385"/>
      <c r="DR15" s="385"/>
      <c r="DS15" s="385"/>
    </row>
    <row r="16" spans="1:123" ht="22.5" customHeight="1" x14ac:dyDescent="0.15">
      <c r="A16" s="2102" t="s">
        <v>161</v>
      </c>
      <c r="B16" s="1281" t="s">
        <v>661</v>
      </c>
      <c r="C16" s="714">
        <f t="shared" si="1"/>
        <v>0</v>
      </c>
      <c r="D16" s="715">
        <f t="shared" si="8"/>
        <v>0</v>
      </c>
      <c r="E16" s="794">
        <f t="shared" si="8"/>
        <v>0</v>
      </c>
      <c r="F16" s="731"/>
      <c r="G16" s="732"/>
      <c r="H16" s="731"/>
      <c r="I16" s="732"/>
      <c r="J16" s="731"/>
      <c r="K16" s="732"/>
      <c r="L16" s="731"/>
      <c r="M16" s="732"/>
      <c r="N16" s="731"/>
      <c r="O16" s="732"/>
      <c r="P16" s="731"/>
      <c r="Q16" s="732"/>
      <c r="R16" s="731"/>
      <c r="S16" s="732"/>
      <c r="T16" s="731"/>
      <c r="U16" s="732"/>
      <c r="V16" s="731"/>
      <c r="W16" s="732"/>
      <c r="X16" s="731"/>
      <c r="Y16" s="732"/>
      <c r="Z16" s="731"/>
      <c r="AA16" s="732"/>
      <c r="AB16" s="731"/>
      <c r="AC16" s="732"/>
      <c r="AD16" s="731"/>
      <c r="AE16" s="732"/>
      <c r="AF16" s="731"/>
      <c r="AG16" s="743"/>
      <c r="AH16" s="1151"/>
      <c r="AI16" s="1152"/>
      <c r="AJ16" s="1152"/>
      <c r="AK16" s="1152"/>
      <c r="AL16" s="1146"/>
      <c r="AM16" s="1681" t="str">
        <f t="shared" si="9"/>
        <v/>
      </c>
      <c r="AN16" s="129"/>
      <c r="BD16" s="381" t="str">
        <f t="shared" si="2"/>
        <v/>
      </c>
      <c r="BE16" s="381" t="str">
        <f t="shared" si="3"/>
        <v/>
      </c>
      <c r="BF16" s="381" t="str">
        <f t="shared" si="4"/>
        <v/>
      </c>
      <c r="BG16" s="381" t="str">
        <f t="shared" si="5"/>
        <v/>
      </c>
      <c r="BJ16" s="381" t="str">
        <f t="shared" si="6"/>
        <v/>
      </c>
      <c r="BK16" s="381" t="str">
        <f t="shared" si="7"/>
        <v/>
      </c>
      <c r="CL16" s="385"/>
      <c r="CM16" s="385"/>
      <c r="CN16" s="391">
        <f t="shared" si="10"/>
        <v>0</v>
      </c>
      <c r="CO16" s="391">
        <f t="shared" si="11"/>
        <v>0</v>
      </c>
      <c r="CP16" s="391">
        <f t="shared" si="12"/>
        <v>0</v>
      </c>
      <c r="CQ16" s="391">
        <f t="shared" si="13"/>
        <v>0</v>
      </c>
      <c r="CR16" s="385"/>
      <c r="CS16" s="385"/>
      <c r="CT16" s="385"/>
      <c r="CU16" s="385"/>
      <c r="CV16" s="391">
        <f t="shared" si="14"/>
        <v>0</v>
      </c>
      <c r="CW16" s="391">
        <f t="shared" si="15"/>
        <v>0</v>
      </c>
      <c r="CX16" s="385"/>
      <c r="CY16" s="385"/>
      <c r="CZ16" s="385"/>
      <c r="DA16" s="385"/>
      <c r="DB16" s="385"/>
      <c r="DC16" s="385"/>
      <c r="DD16" s="385"/>
      <c r="DE16" s="385"/>
      <c r="DF16" s="385"/>
      <c r="DG16" s="385"/>
      <c r="DH16" s="385"/>
      <c r="DI16" s="385"/>
      <c r="DJ16" s="385"/>
      <c r="DK16" s="385"/>
      <c r="DL16" s="385"/>
      <c r="DM16" s="385"/>
      <c r="DN16" s="385"/>
      <c r="DO16" s="385"/>
      <c r="DP16" s="385"/>
      <c r="DQ16" s="385"/>
      <c r="DR16" s="385"/>
      <c r="DS16" s="385"/>
    </row>
    <row r="17" spans="1:123" ht="22.5" customHeight="1" x14ac:dyDescent="0.15">
      <c r="A17" s="2098"/>
      <c r="B17" s="162" t="s">
        <v>682</v>
      </c>
      <c r="C17" s="716">
        <f t="shared" si="1"/>
        <v>0</v>
      </c>
      <c r="D17" s="717">
        <f t="shared" ref="D17:E21" si="16">+F17+H17+J17+L17+N17+P17+R17+T17+V17+X17+Z17+AB17+AD17+AF17</f>
        <v>0</v>
      </c>
      <c r="E17" s="795">
        <f t="shared" si="16"/>
        <v>0</v>
      </c>
      <c r="F17" s="735"/>
      <c r="G17" s="736"/>
      <c r="H17" s="735"/>
      <c r="I17" s="736"/>
      <c r="J17" s="735"/>
      <c r="K17" s="736"/>
      <c r="L17" s="735"/>
      <c r="M17" s="736"/>
      <c r="N17" s="735"/>
      <c r="O17" s="736"/>
      <c r="P17" s="735"/>
      <c r="Q17" s="736"/>
      <c r="R17" s="735"/>
      <c r="S17" s="736"/>
      <c r="T17" s="735"/>
      <c r="U17" s="736"/>
      <c r="V17" s="735"/>
      <c r="W17" s="736"/>
      <c r="X17" s="735"/>
      <c r="Y17" s="736"/>
      <c r="Z17" s="735"/>
      <c r="AA17" s="736"/>
      <c r="AB17" s="735"/>
      <c r="AC17" s="736"/>
      <c r="AD17" s="735"/>
      <c r="AE17" s="736"/>
      <c r="AF17" s="735"/>
      <c r="AG17" s="744"/>
      <c r="AH17" s="804"/>
      <c r="AI17" s="1153"/>
      <c r="AJ17" s="1156"/>
      <c r="AK17" s="1153"/>
      <c r="AL17" s="1144"/>
      <c r="AM17" s="1681" t="str">
        <f t="shared" si="9"/>
        <v/>
      </c>
      <c r="AN17" s="129"/>
      <c r="BD17" s="381" t="str">
        <f t="shared" si="2"/>
        <v/>
      </c>
      <c r="BE17" s="381" t="str">
        <f t="shared" si="3"/>
        <v/>
      </c>
      <c r="BF17" s="381" t="str">
        <f t="shared" si="4"/>
        <v/>
      </c>
      <c r="BG17" s="381" t="str">
        <f t="shared" si="5"/>
        <v/>
      </c>
      <c r="BJ17" s="381" t="str">
        <f t="shared" si="6"/>
        <v/>
      </c>
      <c r="BK17" s="381" t="str">
        <f t="shared" si="7"/>
        <v/>
      </c>
      <c r="CL17" s="385"/>
      <c r="CM17" s="385"/>
      <c r="CN17" s="391">
        <f t="shared" si="10"/>
        <v>0</v>
      </c>
      <c r="CO17" s="391">
        <f t="shared" si="11"/>
        <v>0</v>
      </c>
      <c r="CP17" s="391">
        <f t="shared" si="12"/>
        <v>0</v>
      </c>
      <c r="CQ17" s="391">
        <f t="shared" si="13"/>
        <v>0</v>
      </c>
      <c r="CR17" s="385"/>
      <c r="CS17" s="385"/>
      <c r="CT17" s="385"/>
      <c r="CU17" s="385"/>
      <c r="CV17" s="391">
        <f t="shared" si="14"/>
        <v>0</v>
      </c>
      <c r="CW17" s="391">
        <f t="shared" si="15"/>
        <v>0</v>
      </c>
      <c r="CX17" s="385"/>
      <c r="CY17" s="385"/>
      <c r="CZ17" s="385"/>
      <c r="DA17" s="385"/>
      <c r="DB17" s="385"/>
      <c r="DC17" s="385"/>
      <c r="DD17" s="385"/>
      <c r="DE17" s="385"/>
      <c r="DF17" s="385"/>
      <c r="DG17" s="385"/>
      <c r="DH17" s="385"/>
      <c r="DI17" s="385"/>
      <c r="DJ17" s="385"/>
      <c r="DK17" s="385"/>
      <c r="DL17" s="385"/>
      <c r="DM17" s="385"/>
      <c r="DN17" s="385"/>
      <c r="DO17" s="385"/>
      <c r="DP17" s="385"/>
      <c r="DQ17" s="385"/>
      <c r="DR17" s="385"/>
      <c r="DS17" s="385"/>
    </row>
    <row r="18" spans="1:123" ht="22.5" customHeight="1" x14ac:dyDescent="0.15">
      <c r="A18" s="2098"/>
      <c r="B18" s="162" t="s">
        <v>662</v>
      </c>
      <c r="C18" s="716">
        <f t="shared" si="1"/>
        <v>0</v>
      </c>
      <c r="D18" s="717">
        <f t="shared" si="16"/>
        <v>0</v>
      </c>
      <c r="E18" s="795">
        <f t="shared" si="16"/>
        <v>0</v>
      </c>
      <c r="F18" s="735"/>
      <c r="G18" s="736"/>
      <c r="H18" s="735"/>
      <c r="I18" s="736"/>
      <c r="J18" s="735"/>
      <c r="K18" s="736"/>
      <c r="L18" s="735"/>
      <c r="M18" s="736"/>
      <c r="N18" s="735"/>
      <c r="O18" s="736"/>
      <c r="P18" s="735"/>
      <c r="Q18" s="736"/>
      <c r="R18" s="735"/>
      <c r="S18" s="736"/>
      <c r="T18" s="735"/>
      <c r="U18" s="736"/>
      <c r="V18" s="735"/>
      <c r="W18" s="736"/>
      <c r="X18" s="735"/>
      <c r="Y18" s="736"/>
      <c r="Z18" s="735"/>
      <c r="AA18" s="736"/>
      <c r="AB18" s="735"/>
      <c r="AC18" s="736"/>
      <c r="AD18" s="735"/>
      <c r="AE18" s="736"/>
      <c r="AF18" s="735"/>
      <c r="AG18" s="744"/>
      <c r="AH18" s="804"/>
      <c r="AI18" s="1153"/>
      <c r="AJ18" s="1153"/>
      <c r="AK18" s="1153"/>
      <c r="AL18" s="1144"/>
      <c r="AM18" s="1681" t="str">
        <f t="shared" si="9"/>
        <v/>
      </c>
      <c r="AN18" s="129"/>
      <c r="BD18" s="381" t="str">
        <f t="shared" si="2"/>
        <v/>
      </c>
      <c r="BE18" s="381" t="str">
        <f t="shared" si="3"/>
        <v/>
      </c>
      <c r="BF18" s="381" t="str">
        <f t="shared" si="4"/>
        <v/>
      </c>
      <c r="BG18" s="381" t="str">
        <f t="shared" si="5"/>
        <v/>
      </c>
      <c r="BJ18" s="381" t="str">
        <f t="shared" si="6"/>
        <v/>
      </c>
      <c r="BK18" s="381" t="str">
        <f t="shared" si="7"/>
        <v/>
      </c>
      <c r="CL18" s="385"/>
      <c r="CM18" s="385"/>
      <c r="CN18" s="391">
        <f t="shared" si="10"/>
        <v>0</v>
      </c>
      <c r="CO18" s="391">
        <f t="shared" si="11"/>
        <v>0</v>
      </c>
      <c r="CP18" s="391">
        <f t="shared" si="12"/>
        <v>0</v>
      </c>
      <c r="CQ18" s="391">
        <f t="shared" si="13"/>
        <v>0</v>
      </c>
      <c r="CR18" s="385"/>
      <c r="CS18" s="385"/>
      <c r="CT18" s="385"/>
      <c r="CU18" s="385"/>
      <c r="CV18" s="391">
        <f t="shared" si="14"/>
        <v>0</v>
      </c>
      <c r="CW18" s="391">
        <f t="shared" si="15"/>
        <v>0</v>
      </c>
      <c r="CX18" s="385"/>
      <c r="CY18" s="385"/>
      <c r="CZ18" s="385"/>
      <c r="DA18" s="385"/>
      <c r="DB18" s="385"/>
      <c r="DC18" s="385"/>
      <c r="DD18" s="385"/>
      <c r="DE18" s="385"/>
      <c r="DF18" s="385"/>
      <c r="DG18" s="385"/>
      <c r="DH18" s="385"/>
      <c r="DI18" s="385"/>
      <c r="DJ18" s="385"/>
      <c r="DK18" s="385"/>
      <c r="DL18" s="385"/>
      <c r="DM18" s="385"/>
      <c r="DN18" s="385"/>
      <c r="DO18" s="385"/>
      <c r="DP18" s="385"/>
      <c r="DQ18" s="385"/>
      <c r="DR18" s="385"/>
      <c r="DS18" s="385"/>
    </row>
    <row r="19" spans="1:123" ht="22.5" customHeight="1" x14ac:dyDescent="0.15">
      <c r="A19" s="2098"/>
      <c r="B19" s="162" t="s">
        <v>340</v>
      </c>
      <c r="C19" s="716">
        <f t="shared" si="1"/>
        <v>0</v>
      </c>
      <c r="D19" s="717">
        <f>+V19+X19+Z19+AB19+AD19+AF19</f>
        <v>0</v>
      </c>
      <c r="E19" s="795">
        <f>+W19+Y19+AA19+AC19+AE19+AG19</f>
        <v>0</v>
      </c>
      <c r="F19" s="779"/>
      <c r="G19" s="933"/>
      <c r="H19" s="779"/>
      <c r="I19" s="933"/>
      <c r="J19" s="779"/>
      <c r="K19" s="933"/>
      <c r="L19" s="779"/>
      <c r="M19" s="933"/>
      <c r="N19" s="779"/>
      <c r="O19" s="933"/>
      <c r="P19" s="779"/>
      <c r="Q19" s="933"/>
      <c r="R19" s="779"/>
      <c r="S19" s="933"/>
      <c r="T19" s="779"/>
      <c r="U19" s="933"/>
      <c r="V19" s="755"/>
      <c r="W19" s="756"/>
      <c r="X19" s="755"/>
      <c r="Y19" s="756"/>
      <c r="Z19" s="755"/>
      <c r="AA19" s="756"/>
      <c r="AB19" s="755"/>
      <c r="AC19" s="756"/>
      <c r="AD19" s="755"/>
      <c r="AE19" s="756"/>
      <c r="AF19" s="755"/>
      <c r="AG19" s="757"/>
      <c r="AH19" s="804"/>
      <c r="AI19" s="1153"/>
      <c r="AJ19" s="1156"/>
      <c r="AK19" s="1153"/>
      <c r="AL19" s="1144"/>
      <c r="AM19" s="1681" t="str">
        <f t="shared" si="9"/>
        <v/>
      </c>
      <c r="AN19" s="129"/>
      <c r="BD19" s="381" t="str">
        <f t="shared" si="2"/>
        <v/>
      </c>
      <c r="BE19" s="381" t="str">
        <f t="shared" si="3"/>
        <v/>
      </c>
      <c r="BF19" s="381" t="str">
        <f t="shared" si="4"/>
        <v/>
      </c>
      <c r="BG19" s="381" t="str">
        <f t="shared" si="5"/>
        <v/>
      </c>
      <c r="BJ19" s="381" t="str">
        <f t="shared" si="6"/>
        <v/>
      </c>
      <c r="BK19" s="381" t="str">
        <f t="shared" si="7"/>
        <v/>
      </c>
      <c r="CL19" s="385"/>
      <c r="CM19" s="385"/>
      <c r="CN19" s="391">
        <f t="shared" si="10"/>
        <v>0</v>
      </c>
      <c r="CO19" s="391">
        <f t="shared" si="11"/>
        <v>0</v>
      </c>
      <c r="CP19" s="391">
        <f t="shared" si="12"/>
        <v>0</v>
      </c>
      <c r="CQ19" s="391">
        <f t="shared" si="13"/>
        <v>0</v>
      </c>
      <c r="CR19" s="385"/>
      <c r="CS19" s="385"/>
      <c r="CT19" s="385"/>
      <c r="CU19" s="385"/>
      <c r="CV19" s="391">
        <f t="shared" si="14"/>
        <v>0</v>
      </c>
      <c r="CW19" s="391">
        <f t="shared" si="15"/>
        <v>0</v>
      </c>
      <c r="CX19" s="385"/>
      <c r="CY19" s="385"/>
      <c r="CZ19" s="385"/>
      <c r="DA19" s="385"/>
      <c r="DB19" s="385"/>
      <c r="DC19" s="385"/>
      <c r="DD19" s="385"/>
      <c r="DE19" s="385"/>
      <c r="DF19" s="385"/>
      <c r="DG19" s="385"/>
      <c r="DH19" s="385"/>
      <c r="DI19" s="385"/>
      <c r="DJ19" s="385"/>
      <c r="DK19" s="385"/>
      <c r="DL19" s="385"/>
      <c r="DM19" s="385"/>
      <c r="DN19" s="385"/>
      <c r="DO19" s="385"/>
      <c r="DP19" s="385"/>
      <c r="DQ19" s="385"/>
      <c r="DR19" s="385"/>
      <c r="DS19" s="385"/>
    </row>
    <row r="20" spans="1:123" ht="22.5" customHeight="1" x14ac:dyDescent="0.15">
      <c r="A20" s="2098"/>
      <c r="B20" s="163" t="s">
        <v>341</v>
      </c>
      <c r="C20" s="716">
        <f t="shared" si="1"/>
        <v>0</v>
      </c>
      <c r="D20" s="717">
        <f>+F20+H20+J20+L20+N20+P20+R20+T20+V20+X20+Z20+AB20+AD20+AF20</f>
        <v>0</v>
      </c>
      <c r="E20" s="795">
        <f t="shared" si="16"/>
        <v>0</v>
      </c>
      <c r="F20" s="797"/>
      <c r="G20" s="798"/>
      <c r="H20" s="797"/>
      <c r="I20" s="798"/>
      <c r="J20" s="797"/>
      <c r="K20" s="798"/>
      <c r="L20" s="797"/>
      <c r="M20" s="798"/>
      <c r="N20" s="797"/>
      <c r="O20" s="798"/>
      <c r="P20" s="797"/>
      <c r="Q20" s="798"/>
      <c r="R20" s="797"/>
      <c r="S20" s="798"/>
      <c r="T20" s="797"/>
      <c r="U20" s="798"/>
      <c r="V20" s="797"/>
      <c r="W20" s="798"/>
      <c r="X20" s="797"/>
      <c r="Y20" s="798"/>
      <c r="Z20" s="797"/>
      <c r="AA20" s="798"/>
      <c r="AB20" s="797"/>
      <c r="AC20" s="798"/>
      <c r="AD20" s="797"/>
      <c r="AE20" s="798"/>
      <c r="AF20" s="797"/>
      <c r="AG20" s="799"/>
      <c r="AH20" s="1157"/>
      <c r="AI20" s="1158"/>
      <c r="AJ20" s="1153"/>
      <c r="AK20" s="1153"/>
      <c r="AL20" s="1144"/>
      <c r="AM20" s="1681" t="str">
        <f t="shared" si="9"/>
        <v/>
      </c>
      <c r="AN20" s="129"/>
      <c r="BD20" s="381" t="str">
        <f t="shared" si="2"/>
        <v/>
      </c>
      <c r="BE20" s="381" t="str">
        <f t="shared" si="3"/>
        <v/>
      </c>
      <c r="BF20" s="381" t="str">
        <f t="shared" si="4"/>
        <v/>
      </c>
      <c r="BG20" s="381" t="str">
        <f t="shared" si="5"/>
        <v/>
      </c>
      <c r="BJ20" s="381" t="str">
        <f t="shared" si="6"/>
        <v/>
      </c>
      <c r="BK20" s="381" t="str">
        <f t="shared" si="7"/>
        <v/>
      </c>
      <c r="CL20" s="385"/>
      <c r="CM20" s="385"/>
      <c r="CN20" s="391">
        <f t="shared" si="10"/>
        <v>0</v>
      </c>
      <c r="CO20" s="391">
        <f t="shared" si="11"/>
        <v>0</v>
      </c>
      <c r="CP20" s="391">
        <f t="shared" si="12"/>
        <v>0</v>
      </c>
      <c r="CQ20" s="391">
        <f t="shared" si="13"/>
        <v>0</v>
      </c>
      <c r="CR20" s="385"/>
      <c r="CS20" s="385"/>
      <c r="CT20" s="385"/>
      <c r="CU20" s="385"/>
      <c r="CV20" s="391">
        <f t="shared" si="14"/>
        <v>0</v>
      </c>
      <c r="CW20" s="391">
        <f t="shared" si="15"/>
        <v>0</v>
      </c>
      <c r="CX20" s="385"/>
      <c r="CY20" s="385"/>
      <c r="CZ20" s="385"/>
      <c r="DA20" s="385"/>
      <c r="DB20" s="385"/>
      <c r="DC20" s="385"/>
      <c r="DD20" s="385"/>
      <c r="DE20" s="385"/>
      <c r="DF20" s="385"/>
      <c r="DG20" s="385"/>
      <c r="DH20" s="385"/>
      <c r="DI20" s="385"/>
      <c r="DJ20" s="385"/>
      <c r="DK20" s="385"/>
      <c r="DL20" s="385"/>
      <c r="DM20" s="385"/>
      <c r="DN20" s="385"/>
      <c r="DO20" s="385"/>
      <c r="DP20" s="385"/>
      <c r="DQ20" s="385"/>
      <c r="DR20" s="385"/>
      <c r="DS20" s="385"/>
    </row>
    <row r="21" spans="1:123" ht="22.5" customHeight="1" x14ac:dyDescent="0.15">
      <c r="A21" s="2099"/>
      <c r="B21" s="164" t="s">
        <v>675</v>
      </c>
      <c r="C21" s="719">
        <f t="shared" si="1"/>
        <v>0</v>
      </c>
      <c r="D21" s="720">
        <f>+F21+H21+J21+L21+N21+P21+R21+T21+V21+X21+Z21+AB21+AD21+AF21</f>
        <v>0</v>
      </c>
      <c r="E21" s="793">
        <f t="shared" si="16"/>
        <v>0</v>
      </c>
      <c r="F21" s="740"/>
      <c r="G21" s="741"/>
      <c r="H21" s="740"/>
      <c r="I21" s="741"/>
      <c r="J21" s="740"/>
      <c r="K21" s="741"/>
      <c r="L21" s="740"/>
      <c r="M21" s="741"/>
      <c r="N21" s="740"/>
      <c r="O21" s="741"/>
      <c r="P21" s="740"/>
      <c r="Q21" s="741"/>
      <c r="R21" s="740"/>
      <c r="S21" s="741"/>
      <c r="T21" s="740"/>
      <c r="U21" s="741"/>
      <c r="V21" s="740"/>
      <c r="W21" s="741"/>
      <c r="X21" s="740"/>
      <c r="Y21" s="741"/>
      <c r="Z21" s="740"/>
      <c r="AA21" s="741"/>
      <c r="AB21" s="740"/>
      <c r="AC21" s="741"/>
      <c r="AD21" s="740"/>
      <c r="AE21" s="741"/>
      <c r="AF21" s="740"/>
      <c r="AG21" s="771"/>
      <c r="AH21" s="1154"/>
      <c r="AI21" s="1155"/>
      <c r="AJ21" s="1155"/>
      <c r="AK21" s="1155"/>
      <c r="AL21" s="800"/>
      <c r="AM21" s="1681" t="str">
        <f t="shared" si="9"/>
        <v/>
      </c>
      <c r="AN21" s="129"/>
      <c r="BD21" s="381" t="str">
        <f t="shared" si="2"/>
        <v/>
      </c>
      <c r="BE21" s="381" t="str">
        <f t="shared" si="3"/>
        <v/>
      </c>
      <c r="BF21" s="381" t="str">
        <f t="shared" si="4"/>
        <v/>
      </c>
      <c r="BG21" s="381" t="str">
        <f t="shared" si="5"/>
        <v/>
      </c>
      <c r="BJ21" s="381" t="str">
        <f t="shared" si="6"/>
        <v/>
      </c>
      <c r="BK21" s="381" t="str">
        <f t="shared" si="7"/>
        <v/>
      </c>
      <c r="CL21" s="385"/>
      <c r="CM21" s="385"/>
      <c r="CN21" s="391">
        <f t="shared" si="10"/>
        <v>0</v>
      </c>
      <c r="CO21" s="391">
        <f t="shared" si="11"/>
        <v>0</v>
      </c>
      <c r="CP21" s="391">
        <f t="shared" si="12"/>
        <v>0</v>
      </c>
      <c r="CQ21" s="391">
        <f t="shared" si="13"/>
        <v>0</v>
      </c>
      <c r="CR21" s="385"/>
      <c r="CS21" s="385"/>
      <c r="CT21" s="385"/>
      <c r="CU21" s="385"/>
      <c r="CV21" s="391">
        <f t="shared" si="14"/>
        <v>0</v>
      </c>
      <c r="CW21" s="391">
        <f t="shared" si="15"/>
        <v>0</v>
      </c>
      <c r="CX21" s="385"/>
      <c r="CY21" s="385"/>
      <c r="CZ21" s="385"/>
      <c r="DA21" s="385"/>
      <c r="DB21" s="385"/>
      <c r="DC21" s="385"/>
      <c r="DD21" s="385"/>
      <c r="DE21" s="385"/>
      <c r="DF21" s="385"/>
      <c r="DG21" s="385"/>
      <c r="DH21" s="385"/>
      <c r="DI21" s="385"/>
      <c r="DJ21" s="385"/>
      <c r="DK21" s="385"/>
      <c r="DL21" s="385"/>
      <c r="DM21" s="385"/>
      <c r="DN21" s="385"/>
      <c r="DO21" s="385"/>
      <c r="DP21" s="385"/>
      <c r="DQ21" s="385"/>
      <c r="DR21" s="385"/>
      <c r="DS21" s="385"/>
    </row>
    <row r="22" spans="1:123" ht="22.5" customHeight="1" x14ac:dyDescent="0.15">
      <c r="A22" s="2048" t="s">
        <v>673</v>
      </c>
      <c r="B22" s="165" t="s">
        <v>162</v>
      </c>
      <c r="C22" s="722">
        <f>SUM(D22:E22)</f>
        <v>0</v>
      </c>
      <c r="D22" s="789">
        <f t="shared" ref="D22:E28" si="17">+F22+H22+J22+L22+N22+P22+R22+T22+V22+X22+Z22+AB22+AD22+AF22</f>
        <v>0</v>
      </c>
      <c r="E22" s="801">
        <f t="shared" si="17"/>
        <v>0</v>
      </c>
      <c r="F22" s="755"/>
      <c r="G22" s="756"/>
      <c r="H22" s="755"/>
      <c r="I22" s="756"/>
      <c r="J22" s="755"/>
      <c r="K22" s="756"/>
      <c r="L22" s="755"/>
      <c r="M22" s="756"/>
      <c r="N22" s="755"/>
      <c r="O22" s="756"/>
      <c r="P22" s="755"/>
      <c r="Q22" s="756"/>
      <c r="R22" s="755"/>
      <c r="S22" s="756"/>
      <c r="T22" s="755"/>
      <c r="U22" s="756"/>
      <c r="V22" s="755"/>
      <c r="W22" s="756"/>
      <c r="X22" s="755"/>
      <c r="Y22" s="756"/>
      <c r="Z22" s="755"/>
      <c r="AA22" s="756"/>
      <c r="AB22" s="755"/>
      <c r="AC22" s="756"/>
      <c r="AD22" s="755"/>
      <c r="AE22" s="756"/>
      <c r="AF22" s="755"/>
      <c r="AG22" s="757"/>
      <c r="AH22" s="803"/>
      <c r="AI22" s="1159"/>
      <c r="AJ22" s="1159"/>
      <c r="AK22" s="1159"/>
      <c r="AL22" s="775"/>
      <c r="AM22" s="1681" t="str">
        <f t="shared" ref="AM22:AM28" si="18" xml:space="preserve"> BD22 &amp; BE22 &amp; BH22 &amp; BF22 &amp; BG22 &amp; BJ22 &amp; BK22</f>
        <v/>
      </c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329"/>
      <c r="BB22" s="329"/>
      <c r="BD22" s="381" t="str">
        <f t="shared" si="2"/>
        <v/>
      </c>
      <c r="BE22" s="381" t="str">
        <f t="shared" si="3"/>
        <v/>
      </c>
      <c r="BF22" s="381" t="str">
        <f t="shared" si="4"/>
        <v/>
      </c>
      <c r="BG22" s="381" t="str">
        <f t="shared" si="5"/>
        <v/>
      </c>
      <c r="BH22" s="381" t="str">
        <f>IF($AL22&lt;=$C22,"","* Personas diabéticas 'Sin enfermedad renal' no debe ser mayor que el Total pacientes evaluados. ")</f>
        <v/>
      </c>
      <c r="BJ22" s="381" t="str">
        <f t="shared" si="6"/>
        <v/>
      </c>
      <c r="BK22" s="381" t="str">
        <f t="shared" si="7"/>
        <v/>
      </c>
      <c r="CL22" s="385"/>
      <c r="CM22" s="385"/>
      <c r="CN22" s="391">
        <f t="shared" si="10"/>
        <v>0</v>
      </c>
      <c r="CO22" s="391">
        <f t="shared" si="11"/>
        <v>0</v>
      </c>
      <c r="CP22" s="391">
        <f t="shared" si="12"/>
        <v>0</v>
      </c>
      <c r="CQ22" s="391">
        <f t="shared" si="13"/>
        <v>0</v>
      </c>
      <c r="CR22" s="391">
        <f t="shared" ref="CR22:CR28" si="19">IF($AL22&lt;=$C22,0,1)</f>
        <v>0</v>
      </c>
      <c r="CS22" s="385"/>
      <c r="CT22" s="385"/>
      <c r="CU22" s="385"/>
      <c r="CV22" s="391">
        <f>IF(AND(D25&lt;&gt;0,AH25=""),1,IF(AND(E25&lt;&gt;0,AI25=""),1,0))</f>
        <v>0</v>
      </c>
      <c r="CW22" s="391">
        <f>IF(AND(D25&lt;&gt;0,AJ25=""),1,IF(AND(E25&lt;&gt;0,AK25=""),1,0))</f>
        <v>0</v>
      </c>
      <c r="CX22" s="385"/>
      <c r="CY22" s="385"/>
      <c r="CZ22" s="385"/>
      <c r="DA22" s="385"/>
      <c r="DB22" s="385"/>
      <c r="DC22" s="385"/>
      <c r="DD22" s="385"/>
      <c r="DE22" s="385"/>
      <c r="DF22" s="385"/>
      <c r="DG22" s="385"/>
      <c r="DH22" s="385"/>
      <c r="DI22" s="385"/>
      <c r="DJ22" s="385"/>
      <c r="DK22" s="385"/>
      <c r="DL22" s="385"/>
      <c r="DM22" s="385"/>
      <c r="DN22" s="385"/>
      <c r="DO22" s="385"/>
      <c r="DP22" s="385"/>
      <c r="DQ22" s="385"/>
      <c r="DR22" s="385"/>
      <c r="DS22" s="385"/>
    </row>
    <row r="23" spans="1:123" ht="22.5" customHeight="1" x14ac:dyDescent="0.15">
      <c r="A23" s="2048"/>
      <c r="B23" s="1284" t="s">
        <v>676</v>
      </c>
      <c r="C23" s="716">
        <f t="shared" ref="C23:C28" si="20">SUM(D23:E23)</f>
        <v>0</v>
      </c>
      <c r="D23" s="717">
        <f t="shared" si="17"/>
        <v>0</v>
      </c>
      <c r="E23" s="795">
        <f t="shared" si="17"/>
        <v>0</v>
      </c>
      <c r="F23" s="735"/>
      <c r="G23" s="736"/>
      <c r="H23" s="735"/>
      <c r="I23" s="736"/>
      <c r="J23" s="735"/>
      <c r="K23" s="736"/>
      <c r="L23" s="735"/>
      <c r="M23" s="736"/>
      <c r="N23" s="735"/>
      <c r="O23" s="736"/>
      <c r="P23" s="735"/>
      <c r="Q23" s="736"/>
      <c r="R23" s="735"/>
      <c r="S23" s="736"/>
      <c r="T23" s="735"/>
      <c r="U23" s="736"/>
      <c r="V23" s="735"/>
      <c r="W23" s="736"/>
      <c r="X23" s="735"/>
      <c r="Y23" s="736"/>
      <c r="Z23" s="735"/>
      <c r="AA23" s="736"/>
      <c r="AB23" s="735"/>
      <c r="AC23" s="736"/>
      <c r="AD23" s="735"/>
      <c r="AE23" s="736"/>
      <c r="AF23" s="735"/>
      <c r="AG23" s="744"/>
      <c r="AH23" s="804"/>
      <c r="AI23" s="1153"/>
      <c r="AJ23" s="1156"/>
      <c r="AK23" s="1153"/>
      <c r="AL23" s="915"/>
      <c r="AM23" s="1681" t="str">
        <f t="shared" si="18"/>
        <v/>
      </c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329"/>
      <c r="BB23" s="329"/>
      <c r="BD23" s="381" t="str">
        <f t="shared" si="2"/>
        <v/>
      </c>
      <c r="BE23" s="381" t="str">
        <f t="shared" si="3"/>
        <v/>
      </c>
      <c r="BF23" s="381" t="str">
        <f t="shared" si="4"/>
        <v/>
      </c>
      <c r="BG23" s="381" t="str">
        <f t="shared" si="5"/>
        <v/>
      </c>
      <c r="BH23" s="381" t="str">
        <f>IF($AL23&lt;=$C23,"","* Personas diabéticas 'Etapa 1 y 2' no debe ser mayor que el Total pacientes evaluados. ")</f>
        <v/>
      </c>
      <c r="BJ23" s="381" t="str">
        <f t="shared" si="6"/>
        <v/>
      </c>
      <c r="BK23" s="381" t="str">
        <f t="shared" si="7"/>
        <v/>
      </c>
      <c r="CL23" s="385"/>
      <c r="CM23" s="385"/>
      <c r="CN23" s="391">
        <f t="shared" si="10"/>
        <v>0</v>
      </c>
      <c r="CO23" s="391">
        <f t="shared" si="11"/>
        <v>0</v>
      </c>
      <c r="CP23" s="391">
        <f t="shared" si="12"/>
        <v>0</v>
      </c>
      <c r="CQ23" s="391">
        <f t="shared" si="13"/>
        <v>0</v>
      </c>
      <c r="CR23" s="391">
        <f t="shared" si="19"/>
        <v>0</v>
      </c>
      <c r="CS23" s="385"/>
      <c r="CT23" s="385"/>
      <c r="CU23" s="385"/>
      <c r="CV23" s="391">
        <f>IF(AND(D26&lt;&gt;0,AH26=""),1,IF(AND(E26&lt;&gt;0,AI26=""),1,0))</f>
        <v>0</v>
      </c>
      <c r="CW23" s="391">
        <f>IF(AND(D26&lt;&gt;0,AJ26=""),1,IF(AND(E26&lt;&gt;0,AK26=""),1,0))</f>
        <v>0</v>
      </c>
      <c r="CX23" s="385"/>
      <c r="CY23" s="385"/>
      <c r="CZ23" s="385"/>
      <c r="DA23" s="385"/>
      <c r="DB23" s="385"/>
      <c r="DC23" s="385"/>
      <c r="DD23" s="385"/>
      <c r="DE23" s="385"/>
      <c r="DF23" s="385"/>
      <c r="DG23" s="385"/>
      <c r="DH23" s="385"/>
      <c r="DI23" s="385"/>
      <c r="DJ23" s="385"/>
      <c r="DK23" s="385"/>
      <c r="DL23" s="385"/>
      <c r="DM23" s="385"/>
      <c r="DN23" s="385"/>
      <c r="DO23" s="385"/>
      <c r="DP23" s="385"/>
      <c r="DQ23" s="385"/>
      <c r="DR23" s="385"/>
      <c r="DS23" s="385"/>
    </row>
    <row r="24" spans="1:123" ht="22.5" customHeight="1" x14ac:dyDescent="0.15">
      <c r="A24" s="2048"/>
      <c r="B24" s="1284" t="s">
        <v>677</v>
      </c>
      <c r="C24" s="716">
        <f t="shared" ref="C24" si="21">SUM(D24:E24)</f>
        <v>0</v>
      </c>
      <c r="D24" s="717">
        <f t="shared" si="17"/>
        <v>0</v>
      </c>
      <c r="E24" s="795">
        <f t="shared" si="17"/>
        <v>0</v>
      </c>
      <c r="F24" s="735"/>
      <c r="G24" s="736"/>
      <c r="H24" s="735"/>
      <c r="I24" s="736"/>
      <c r="J24" s="735"/>
      <c r="K24" s="736"/>
      <c r="L24" s="735"/>
      <c r="M24" s="736"/>
      <c r="N24" s="735"/>
      <c r="O24" s="736"/>
      <c r="P24" s="735"/>
      <c r="Q24" s="736"/>
      <c r="R24" s="735"/>
      <c r="S24" s="736"/>
      <c r="T24" s="735"/>
      <c r="U24" s="736"/>
      <c r="V24" s="735"/>
      <c r="W24" s="736"/>
      <c r="X24" s="735"/>
      <c r="Y24" s="736"/>
      <c r="Z24" s="735"/>
      <c r="AA24" s="736"/>
      <c r="AB24" s="735"/>
      <c r="AC24" s="736"/>
      <c r="AD24" s="735"/>
      <c r="AE24" s="736"/>
      <c r="AF24" s="735"/>
      <c r="AG24" s="744"/>
      <c r="AH24" s="804"/>
      <c r="AI24" s="1153"/>
      <c r="AJ24" s="1156"/>
      <c r="AK24" s="1153"/>
      <c r="AL24" s="915"/>
      <c r="AM24" s="1681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329"/>
      <c r="BB24" s="329"/>
      <c r="BD24" s="381"/>
      <c r="BE24" s="381"/>
      <c r="BF24" s="381"/>
      <c r="BG24" s="381"/>
      <c r="BH24" s="381"/>
      <c r="BJ24" s="381"/>
      <c r="BK24" s="381"/>
      <c r="CL24" s="385"/>
      <c r="CM24" s="385"/>
      <c r="CN24" s="391"/>
      <c r="CO24" s="391"/>
      <c r="CP24" s="391"/>
      <c r="CQ24" s="391"/>
      <c r="CR24" s="391"/>
      <c r="CS24" s="385"/>
      <c r="CT24" s="385"/>
      <c r="CU24" s="385"/>
      <c r="CV24" s="391"/>
      <c r="CW24" s="391"/>
      <c r="CX24" s="385"/>
      <c r="CY24" s="385"/>
      <c r="CZ24" s="385"/>
      <c r="DA24" s="385"/>
      <c r="DB24" s="385"/>
      <c r="DC24" s="385"/>
      <c r="DD24" s="385"/>
      <c r="DE24" s="385"/>
      <c r="DF24" s="385"/>
      <c r="DG24" s="385"/>
      <c r="DH24" s="385"/>
      <c r="DI24" s="385"/>
      <c r="DJ24" s="385"/>
      <c r="DK24" s="385"/>
      <c r="DL24" s="385"/>
      <c r="DM24" s="385"/>
      <c r="DN24" s="385"/>
      <c r="DO24" s="385"/>
      <c r="DP24" s="385"/>
      <c r="DQ24" s="385"/>
      <c r="DR24" s="385"/>
      <c r="DS24" s="385"/>
    </row>
    <row r="25" spans="1:123" ht="22.5" customHeight="1" x14ac:dyDescent="0.15">
      <c r="A25" s="2048"/>
      <c r="B25" s="1284" t="s">
        <v>678</v>
      </c>
      <c r="C25" s="716">
        <f t="shared" si="20"/>
        <v>0</v>
      </c>
      <c r="D25" s="717">
        <f t="shared" si="17"/>
        <v>0</v>
      </c>
      <c r="E25" s="795">
        <f t="shared" si="17"/>
        <v>0</v>
      </c>
      <c r="F25" s="735"/>
      <c r="G25" s="736"/>
      <c r="H25" s="735"/>
      <c r="I25" s="736"/>
      <c r="J25" s="735"/>
      <c r="K25" s="736"/>
      <c r="L25" s="735"/>
      <c r="M25" s="736"/>
      <c r="N25" s="735"/>
      <c r="O25" s="736"/>
      <c r="P25" s="735"/>
      <c r="Q25" s="736"/>
      <c r="R25" s="735"/>
      <c r="S25" s="736"/>
      <c r="T25" s="735"/>
      <c r="U25" s="736"/>
      <c r="V25" s="735"/>
      <c r="W25" s="736"/>
      <c r="X25" s="735"/>
      <c r="Y25" s="736"/>
      <c r="Z25" s="735"/>
      <c r="AA25" s="736"/>
      <c r="AB25" s="735"/>
      <c r="AC25" s="736"/>
      <c r="AD25" s="735"/>
      <c r="AE25" s="736"/>
      <c r="AF25" s="735"/>
      <c r="AG25" s="744"/>
      <c r="AH25" s="804"/>
      <c r="AI25" s="1153"/>
      <c r="AJ25" s="1153"/>
      <c r="AK25" s="1153"/>
      <c r="AL25" s="915"/>
      <c r="AM25" s="1681" t="str">
        <f t="shared" si="18"/>
        <v/>
      </c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329"/>
      <c r="BB25" s="329"/>
      <c r="BD25" s="381" t="str">
        <f t="shared" si="2"/>
        <v/>
      </c>
      <c r="BE25" s="381" t="str">
        <f t="shared" si="3"/>
        <v/>
      </c>
      <c r="BF25" s="381" t="str">
        <f t="shared" si="4"/>
        <v/>
      </c>
      <c r="BG25" s="381" t="str">
        <f t="shared" si="5"/>
        <v/>
      </c>
      <c r="BH25" s="381" t="str">
        <f>IF($AL25&lt;=$C25,"","* Personas diabéticas 'Etapa 1 y 2' no debe ser mayor que el Total pacientes evaluados. ")</f>
        <v/>
      </c>
      <c r="BJ25" s="381" t="str">
        <f t="shared" si="6"/>
        <v/>
      </c>
      <c r="BK25" s="381" t="str">
        <f t="shared" si="7"/>
        <v/>
      </c>
      <c r="CL25" s="385"/>
      <c r="CM25" s="385"/>
      <c r="CN25" s="391">
        <f t="shared" si="10"/>
        <v>0</v>
      </c>
      <c r="CO25" s="391">
        <f t="shared" si="11"/>
        <v>0</v>
      </c>
      <c r="CP25" s="391">
        <f t="shared" si="12"/>
        <v>0</v>
      </c>
      <c r="CQ25" s="391">
        <f t="shared" si="13"/>
        <v>0</v>
      </c>
      <c r="CR25" s="391">
        <f t="shared" si="19"/>
        <v>0</v>
      </c>
      <c r="CS25" s="385"/>
      <c r="CT25" s="385"/>
      <c r="CU25" s="385"/>
      <c r="CV25" s="391">
        <f t="shared" si="14"/>
        <v>0</v>
      </c>
      <c r="CW25" s="391">
        <f t="shared" si="15"/>
        <v>0</v>
      </c>
      <c r="CX25" s="385"/>
      <c r="CY25" s="385"/>
      <c r="CZ25" s="385"/>
      <c r="DA25" s="385"/>
      <c r="DB25" s="385"/>
      <c r="DC25" s="385"/>
      <c r="DD25" s="385"/>
      <c r="DE25" s="385"/>
      <c r="DF25" s="385"/>
      <c r="DG25" s="385"/>
      <c r="DH25" s="385"/>
      <c r="DI25" s="385"/>
      <c r="DJ25" s="385"/>
      <c r="DK25" s="385"/>
      <c r="DL25" s="385"/>
      <c r="DM25" s="385"/>
      <c r="DN25" s="385"/>
      <c r="DO25" s="385"/>
      <c r="DP25" s="385"/>
      <c r="DQ25" s="385"/>
      <c r="DR25" s="385"/>
      <c r="DS25" s="385"/>
    </row>
    <row r="26" spans="1:123" ht="22.5" customHeight="1" x14ac:dyDescent="0.15">
      <c r="A26" s="2048"/>
      <c r="B26" s="1284" t="s">
        <v>679</v>
      </c>
      <c r="C26" s="716">
        <f t="shared" si="20"/>
        <v>0</v>
      </c>
      <c r="D26" s="717">
        <f t="shared" si="17"/>
        <v>0</v>
      </c>
      <c r="E26" s="795">
        <f t="shared" si="17"/>
        <v>0</v>
      </c>
      <c r="F26" s="735"/>
      <c r="G26" s="736"/>
      <c r="H26" s="735"/>
      <c r="I26" s="736"/>
      <c r="J26" s="735"/>
      <c r="K26" s="736"/>
      <c r="L26" s="735"/>
      <c r="M26" s="736"/>
      <c r="N26" s="735"/>
      <c r="O26" s="736"/>
      <c r="P26" s="735"/>
      <c r="Q26" s="736"/>
      <c r="R26" s="735"/>
      <c r="S26" s="736"/>
      <c r="T26" s="735"/>
      <c r="U26" s="736"/>
      <c r="V26" s="735"/>
      <c r="W26" s="736"/>
      <c r="X26" s="735"/>
      <c r="Y26" s="736"/>
      <c r="Z26" s="735"/>
      <c r="AA26" s="736"/>
      <c r="AB26" s="735"/>
      <c r="AC26" s="736"/>
      <c r="AD26" s="735"/>
      <c r="AE26" s="736"/>
      <c r="AF26" s="735"/>
      <c r="AG26" s="744"/>
      <c r="AH26" s="804"/>
      <c r="AI26" s="1153"/>
      <c r="AJ26" s="1156"/>
      <c r="AK26" s="1153"/>
      <c r="AL26" s="915"/>
      <c r="AM26" s="1681" t="str">
        <f t="shared" si="18"/>
        <v/>
      </c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329"/>
      <c r="BB26" s="329"/>
      <c r="BD26" s="381" t="str">
        <f t="shared" si="2"/>
        <v/>
      </c>
      <c r="BE26" s="381" t="str">
        <f t="shared" si="3"/>
        <v/>
      </c>
      <c r="BF26" s="381" t="str">
        <f t="shared" si="4"/>
        <v/>
      </c>
      <c r="BG26" s="381" t="str">
        <f t="shared" si="5"/>
        <v/>
      </c>
      <c r="BH26" s="381" t="str">
        <f>IF($AL26&lt;=$C26,"","* Personas diabéticas 'Etapa 1 y 2' no debe ser mayor que el Total pacientes evaluados. ")</f>
        <v/>
      </c>
      <c r="BJ26" s="381" t="str">
        <f t="shared" si="6"/>
        <v/>
      </c>
      <c r="BK26" s="381" t="str">
        <f t="shared" si="7"/>
        <v/>
      </c>
      <c r="CL26" s="385"/>
      <c r="CM26" s="385"/>
      <c r="CN26" s="391">
        <f t="shared" si="10"/>
        <v>0</v>
      </c>
      <c r="CO26" s="391">
        <f t="shared" si="11"/>
        <v>0</v>
      </c>
      <c r="CP26" s="391">
        <f t="shared" si="12"/>
        <v>0</v>
      </c>
      <c r="CQ26" s="391">
        <f t="shared" si="13"/>
        <v>0</v>
      </c>
      <c r="CR26" s="391">
        <f t="shared" si="19"/>
        <v>0</v>
      </c>
      <c r="CS26" s="385"/>
      <c r="CT26" s="385"/>
      <c r="CU26" s="385"/>
      <c r="CV26" s="391">
        <f t="shared" si="14"/>
        <v>0</v>
      </c>
      <c r="CW26" s="391">
        <f t="shared" si="15"/>
        <v>0</v>
      </c>
      <c r="CX26" s="385"/>
      <c r="CY26" s="385"/>
      <c r="CZ26" s="385"/>
      <c r="DA26" s="385"/>
      <c r="DB26" s="385"/>
      <c r="DC26" s="385"/>
      <c r="DD26" s="385"/>
      <c r="DE26" s="385"/>
      <c r="DF26" s="385"/>
      <c r="DG26" s="385"/>
      <c r="DH26" s="385"/>
      <c r="DI26" s="385"/>
      <c r="DJ26" s="385"/>
      <c r="DK26" s="385"/>
      <c r="DL26" s="385"/>
      <c r="DM26" s="385"/>
      <c r="DN26" s="385"/>
      <c r="DO26" s="385"/>
      <c r="DP26" s="385"/>
      <c r="DQ26" s="385"/>
      <c r="DR26" s="385"/>
      <c r="DS26" s="385"/>
    </row>
    <row r="27" spans="1:123" ht="22.5" customHeight="1" x14ac:dyDescent="0.15">
      <c r="A27" s="2048"/>
      <c r="B27" s="1284" t="s">
        <v>680</v>
      </c>
      <c r="C27" s="716">
        <f t="shared" si="20"/>
        <v>0</v>
      </c>
      <c r="D27" s="717">
        <f t="shared" si="17"/>
        <v>0</v>
      </c>
      <c r="E27" s="795">
        <f t="shared" si="17"/>
        <v>0</v>
      </c>
      <c r="F27" s="735"/>
      <c r="G27" s="736"/>
      <c r="H27" s="735"/>
      <c r="I27" s="736"/>
      <c r="J27" s="735"/>
      <c r="K27" s="736"/>
      <c r="L27" s="735"/>
      <c r="M27" s="736"/>
      <c r="N27" s="735"/>
      <c r="O27" s="736"/>
      <c r="P27" s="735"/>
      <c r="Q27" s="736"/>
      <c r="R27" s="735"/>
      <c r="S27" s="736"/>
      <c r="T27" s="735"/>
      <c r="U27" s="736"/>
      <c r="V27" s="735"/>
      <c r="W27" s="736"/>
      <c r="X27" s="735"/>
      <c r="Y27" s="736"/>
      <c r="Z27" s="735"/>
      <c r="AA27" s="736"/>
      <c r="AB27" s="735"/>
      <c r="AC27" s="736"/>
      <c r="AD27" s="735"/>
      <c r="AE27" s="736"/>
      <c r="AF27" s="735"/>
      <c r="AG27" s="744"/>
      <c r="AH27" s="804"/>
      <c r="AI27" s="1153"/>
      <c r="AJ27" s="1153"/>
      <c r="AK27" s="1153"/>
      <c r="AL27" s="915"/>
      <c r="AM27" s="1681" t="str">
        <f t="shared" si="18"/>
        <v/>
      </c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329"/>
      <c r="BB27" s="329"/>
      <c r="BD27" s="381" t="str">
        <f t="shared" si="2"/>
        <v/>
      </c>
      <c r="BE27" s="381" t="str">
        <f t="shared" si="3"/>
        <v/>
      </c>
      <c r="BF27" s="381" t="str">
        <f t="shared" si="4"/>
        <v/>
      </c>
      <c r="BG27" s="381" t="str">
        <f t="shared" si="5"/>
        <v/>
      </c>
      <c r="BH27" s="381" t="str">
        <f>IF($AL27&lt;=$C27,"","* Personas diabéticas 'Etapa 4' no debe ser mayor que el Total pacientes evaluados. ")</f>
        <v/>
      </c>
      <c r="BJ27" s="381" t="str">
        <f t="shared" si="6"/>
        <v/>
      </c>
      <c r="BK27" s="381" t="str">
        <f t="shared" si="7"/>
        <v/>
      </c>
      <c r="CL27" s="385"/>
      <c r="CM27" s="385"/>
      <c r="CN27" s="391">
        <f t="shared" si="10"/>
        <v>0</v>
      </c>
      <c r="CO27" s="391">
        <f t="shared" si="11"/>
        <v>0</v>
      </c>
      <c r="CP27" s="391">
        <f t="shared" si="12"/>
        <v>0</v>
      </c>
      <c r="CQ27" s="391">
        <f t="shared" si="13"/>
        <v>0</v>
      </c>
      <c r="CR27" s="391">
        <f t="shared" si="19"/>
        <v>0</v>
      </c>
      <c r="CS27" s="385"/>
      <c r="CT27" s="385"/>
      <c r="CU27" s="385"/>
      <c r="CV27" s="391">
        <f t="shared" si="14"/>
        <v>0</v>
      </c>
      <c r="CW27" s="391">
        <f t="shared" si="15"/>
        <v>0</v>
      </c>
      <c r="CX27" s="385"/>
      <c r="CY27" s="385"/>
      <c r="CZ27" s="385"/>
      <c r="DA27" s="385"/>
      <c r="DB27" s="385"/>
      <c r="DC27" s="385"/>
      <c r="DD27" s="385"/>
      <c r="DE27" s="385"/>
      <c r="DF27" s="385"/>
      <c r="DG27" s="385"/>
      <c r="DH27" s="385"/>
      <c r="DI27" s="385"/>
      <c r="DJ27" s="385"/>
      <c r="DK27" s="385"/>
      <c r="DL27" s="385"/>
      <c r="DM27" s="385"/>
      <c r="DN27" s="385"/>
      <c r="DO27" s="385"/>
      <c r="DP27" s="385"/>
      <c r="DQ27" s="385"/>
      <c r="DR27" s="385"/>
      <c r="DS27" s="385"/>
    </row>
    <row r="28" spans="1:123" ht="22.5" customHeight="1" x14ac:dyDescent="0.15">
      <c r="A28" s="2048"/>
      <c r="B28" s="166" t="s">
        <v>681</v>
      </c>
      <c r="C28" s="719">
        <f t="shared" si="20"/>
        <v>0</v>
      </c>
      <c r="D28" s="720">
        <f t="shared" si="17"/>
        <v>0</v>
      </c>
      <c r="E28" s="805">
        <f t="shared" si="17"/>
        <v>0</v>
      </c>
      <c r="F28" s="740"/>
      <c r="G28" s="741"/>
      <c r="H28" s="740"/>
      <c r="I28" s="741"/>
      <c r="J28" s="740"/>
      <c r="K28" s="741"/>
      <c r="L28" s="740"/>
      <c r="M28" s="741"/>
      <c r="N28" s="740"/>
      <c r="O28" s="741"/>
      <c r="P28" s="740"/>
      <c r="Q28" s="741"/>
      <c r="R28" s="740"/>
      <c r="S28" s="741"/>
      <c r="T28" s="740"/>
      <c r="U28" s="741"/>
      <c r="V28" s="740"/>
      <c r="W28" s="741"/>
      <c r="X28" s="740"/>
      <c r="Y28" s="741"/>
      <c r="Z28" s="740"/>
      <c r="AA28" s="741"/>
      <c r="AB28" s="740"/>
      <c r="AC28" s="741"/>
      <c r="AD28" s="740"/>
      <c r="AE28" s="741"/>
      <c r="AF28" s="740"/>
      <c r="AG28" s="771"/>
      <c r="AH28" s="1154"/>
      <c r="AI28" s="1155"/>
      <c r="AJ28" s="1156"/>
      <c r="AK28" s="1153"/>
      <c r="AL28" s="921"/>
      <c r="AM28" s="1681" t="str">
        <f t="shared" si="18"/>
        <v/>
      </c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329"/>
      <c r="BB28" s="329"/>
      <c r="BD28" s="381" t="str">
        <f t="shared" si="2"/>
        <v/>
      </c>
      <c r="BE28" s="381" t="str">
        <f t="shared" si="3"/>
        <v/>
      </c>
      <c r="BF28" s="381" t="str">
        <f t="shared" si="4"/>
        <v/>
      </c>
      <c r="BG28" s="381" t="str">
        <f t="shared" si="5"/>
        <v/>
      </c>
      <c r="BH28" s="381" t="str">
        <f>IF($AL28&lt;=$C28,"","* Personas diabéticas 'Etapa 5' no debe ser mayor que el Total pacientes evaluados. ")</f>
        <v/>
      </c>
      <c r="BJ28" s="381" t="str">
        <f t="shared" si="6"/>
        <v/>
      </c>
      <c r="BK28" s="381" t="str">
        <f t="shared" si="7"/>
        <v/>
      </c>
      <c r="CL28" s="385"/>
      <c r="CM28" s="385"/>
      <c r="CN28" s="391">
        <f t="shared" si="10"/>
        <v>0</v>
      </c>
      <c r="CO28" s="391">
        <f t="shared" si="11"/>
        <v>0</v>
      </c>
      <c r="CP28" s="391">
        <f t="shared" si="12"/>
        <v>0</v>
      </c>
      <c r="CQ28" s="391">
        <f t="shared" si="13"/>
        <v>0</v>
      </c>
      <c r="CR28" s="391">
        <f t="shared" si="19"/>
        <v>0</v>
      </c>
      <c r="CS28" s="385"/>
      <c r="CT28" s="385"/>
      <c r="CU28" s="385"/>
      <c r="CV28" s="391">
        <f t="shared" si="14"/>
        <v>0</v>
      </c>
      <c r="CW28" s="391">
        <f t="shared" si="15"/>
        <v>0</v>
      </c>
      <c r="CX28" s="385"/>
      <c r="CY28" s="385"/>
      <c r="CZ28" s="385"/>
      <c r="DA28" s="385"/>
      <c r="DB28" s="385"/>
      <c r="DC28" s="385"/>
      <c r="DD28" s="385"/>
      <c r="DE28" s="385"/>
      <c r="DF28" s="385"/>
      <c r="DG28" s="385"/>
      <c r="DH28" s="385"/>
      <c r="DI28" s="385"/>
      <c r="DJ28" s="385"/>
      <c r="DK28" s="385"/>
      <c r="DL28" s="385"/>
      <c r="DM28" s="385"/>
      <c r="DN28" s="385"/>
      <c r="DO28" s="385"/>
      <c r="DP28" s="385"/>
      <c r="DQ28" s="385"/>
      <c r="DR28" s="385"/>
      <c r="DS28" s="385"/>
    </row>
    <row r="29" spans="1:123" ht="22.5" customHeight="1" x14ac:dyDescent="0.15">
      <c r="A29" s="2048"/>
      <c r="B29" s="166" t="s">
        <v>13</v>
      </c>
      <c r="C29" s="719">
        <f>SUM(D29:E29)</f>
        <v>0</v>
      </c>
      <c r="D29" s="720">
        <f>+F29+H29+J29+L29+N29+P29+R29+T29+V29+X29+Z29+AB29+AD29+AF29</f>
        <v>0</v>
      </c>
      <c r="E29" s="805">
        <f>+G29+I29+K29+M29+O29+Q29+S29+U29+W29+Y29+AA29+AC29+AE29+AG29</f>
        <v>0</v>
      </c>
      <c r="F29" s="772">
        <f>SUM(F22:F28)</f>
        <v>0</v>
      </c>
      <c r="G29" s="774">
        <f t="shared" ref="G29:AK29" si="22">SUM(G22:G28)</f>
        <v>0</v>
      </c>
      <c r="H29" s="772">
        <f t="shared" si="22"/>
        <v>0</v>
      </c>
      <c r="I29" s="774">
        <f t="shared" si="22"/>
        <v>0</v>
      </c>
      <c r="J29" s="772">
        <f t="shared" si="22"/>
        <v>0</v>
      </c>
      <c r="K29" s="774">
        <f t="shared" si="22"/>
        <v>0</v>
      </c>
      <c r="L29" s="772">
        <f t="shared" si="22"/>
        <v>0</v>
      </c>
      <c r="M29" s="774">
        <f t="shared" si="22"/>
        <v>0</v>
      </c>
      <c r="N29" s="772">
        <f t="shared" si="22"/>
        <v>0</v>
      </c>
      <c r="O29" s="774">
        <f t="shared" si="22"/>
        <v>0</v>
      </c>
      <c r="P29" s="772">
        <f t="shared" si="22"/>
        <v>0</v>
      </c>
      <c r="Q29" s="774">
        <f t="shared" si="22"/>
        <v>0</v>
      </c>
      <c r="R29" s="772">
        <f t="shared" si="22"/>
        <v>0</v>
      </c>
      <c r="S29" s="774">
        <f t="shared" si="22"/>
        <v>0</v>
      </c>
      <c r="T29" s="772">
        <f t="shared" si="22"/>
        <v>0</v>
      </c>
      <c r="U29" s="774">
        <f t="shared" si="22"/>
        <v>0</v>
      </c>
      <c r="V29" s="772">
        <f t="shared" si="22"/>
        <v>0</v>
      </c>
      <c r="W29" s="774">
        <f t="shared" si="22"/>
        <v>0</v>
      </c>
      <c r="X29" s="772">
        <f t="shared" si="22"/>
        <v>0</v>
      </c>
      <c r="Y29" s="774">
        <f t="shared" si="22"/>
        <v>0</v>
      </c>
      <c r="Z29" s="772">
        <f t="shared" si="22"/>
        <v>0</v>
      </c>
      <c r="AA29" s="774">
        <f t="shared" si="22"/>
        <v>0</v>
      </c>
      <c r="AB29" s="772">
        <f t="shared" si="22"/>
        <v>0</v>
      </c>
      <c r="AC29" s="774">
        <f t="shared" si="22"/>
        <v>0</v>
      </c>
      <c r="AD29" s="772">
        <f t="shared" si="22"/>
        <v>0</v>
      </c>
      <c r="AE29" s="774">
        <f t="shared" si="22"/>
        <v>0</v>
      </c>
      <c r="AF29" s="772">
        <f t="shared" si="22"/>
        <v>0</v>
      </c>
      <c r="AG29" s="807">
        <f t="shared" si="22"/>
        <v>0</v>
      </c>
      <c r="AH29" s="808">
        <f t="shared" si="22"/>
        <v>0</v>
      </c>
      <c r="AI29" s="1150">
        <f t="shared" si="22"/>
        <v>0</v>
      </c>
      <c r="AJ29" s="1150">
        <f t="shared" si="22"/>
        <v>0</v>
      </c>
      <c r="AK29" s="1150">
        <f t="shared" si="22"/>
        <v>0</v>
      </c>
      <c r="AL29" s="1147">
        <f>SUM(AL22:AL28)</f>
        <v>0</v>
      </c>
      <c r="AM29" s="1681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329"/>
      <c r="BB29" s="329"/>
      <c r="CL29" s="385"/>
      <c r="CM29" s="385"/>
      <c r="CN29" s="385"/>
      <c r="CO29" s="385"/>
      <c r="CP29" s="385"/>
      <c r="CQ29" s="385"/>
      <c r="CR29" s="385"/>
      <c r="CS29" s="385"/>
      <c r="CT29" s="385"/>
      <c r="CU29" s="385"/>
      <c r="CV29" s="385"/>
      <c r="CW29" s="385"/>
      <c r="CX29" s="385"/>
      <c r="CY29" s="385"/>
      <c r="CZ29" s="385"/>
      <c r="DA29" s="385"/>
      <c r="DB29" s="385"/>
      <c r="DC29" s="385"/>
      <c r="DD29" s="385"/>
      <c r="DE29" s="385"/>
      <c r="DF29" s="385"/>
      <c r="DG29" s="385"/>
      <c r="DH29" s="385"/>
      <c r="DI29" s="385"/>
      <c r="DJ29" s="385"/>
      <c r="DK29" s="385"/>
      <c r="DL29" s="385"/>
      <c r="DM29" s="385"/>
      <c r="DN29" s="385"/>
      <c r="DO29" s="385"/>
      <c r="DP29" s="385"/>
      <c r="DQ29" s="385"/>
      <c r="DR29" s="385"/>
      <c r="DS29" s="385"/>
    </row>
    <row r="30" spans="1:123" ht="32.25" customHeight="1" x14ac:dyDescent="0.2">
      <c r="A30" s="2109" t="s">
        <v>163</v>
      </c>
      <c r="B30" s="2109"/>
      <c r="C30" s="478"/>
      <c r="D30" s="479"/>
      <c r="E30" s="479"/>
      <c r="F30" s="479"/>
      <c r="G30" s="479"/>
      <c r="H30" s="479"/>
      <c r="I30" s="479"/>
      <c r="J30" s="479"/>
      <c r="K30" s="479"/>
      <c r="L30" s="479"/>
      <c r="M30" s="479"/>
      <c r="N30" s="479"/>
      <c r="O30" s="479"/>
      <c r="P30" s="476"/>
      <c r="Q30" s="476"/>
      <c r="R30" s="476"/>
      <c r="S30" s="476"/>
      <c r="T30" s="477"/>
      <c r="CL30" s="385"/>
      <c r="CM30" s="385"/>
      <c r="CN30" s="385"/>
      <c r="CO30" s="385"/>
      <c r="CP30" s="385"/>
      <c r="CQ30" s="385"/>
      <c r="CR30" s="385"/>
      <c r="CS30" s="385"/>
      <c r="CT30" s="385"/>
      <c r="CU30" s="385"/>
      <c r="CV30" s="385"/>
      <c r="CW30" s="385"/>
      <c r="CX30" s="385"/>
      <c r="CY30" s="385"/>
      <c r="CZ30" s="385"/>
      <c r="DA30" s="385"/>
      <c r="DB30" s="385"/>
      <c r="DC30" s="385"/>
      <c r="DD30" s="385"/>
      <c r="DE30" s="385"/>
      <c r="DF30" s="385"/>
      <c r="DG30" s="385"/>
      <c r="DH30" s="385"/>
      <c r="DI30" s="385"/>
      <c r="DJ30" s="385"/>
      <c r="DK30" s="385"/>
      <c r="DL30" s="385"/>
      <c r="DM30" s="385"/>
      <c r="DN30" s="385"/>
      <c r="DO30" s="385"/>
      <c r="DP30" s="385"/>
      <c r="DQ30" s="385"/>
      <c r="DR30" s="385"/>
      <c r="DS30" s="385"/>
    </row>
    <row r="31" spans="1:123" ht="13.7" customHeight="1" x14ac:dyDescent="0.15">
      <c r="A31" s="2102" t="s">
        <v>151</v>
      </c>
      <c r="B31" s="2102"/>
      <c r="C31" s="2076" t="s">
        <v>196</v>
      </c>
      <c r="D31" s="2077"/>
      <c r="E31" s="2078"/>
      <c r="F31" s="1965" t="s">
        <v>126</v>
      </c>
      <c r="G31" s="2082"/>
      <c r="H31" s="2082"/>
      <c r="I31" s="2082"/>
      <c r="J31" s="2082"/>
      <c r="K31" s="2082"/>
      <c r="L31" s="2082"/>
      <c r="M31" s="2082"/>
      <c r="N31" s="2082"/>
      <c r="O31" s="2082"/>
      <c r="P31" s="2082"/>
      <c r="Q31" s="2082"/>
      <c r="R31" s="2082"/>
      <c r="S31" s="2082"/>
      <c r="T31" s="2082"/>
      <c r="U31" s="2082"/>
      <c r="V31" s="2082"/>
      <c r="W31" s="2082"/>
      <c r="X31" s="2082"/>
      <c r="Y31" s="2082"/>
      <c r="Z31" s="2082"/>
      <c r="AA31" s="2082"/>
      <c r="AB31" s="2082"/>
      <c r="AC31" s="2082"/>
      <c r="AD31" s="2082"/>
      <c r="AE31" s="2082"/>
      <c r="AF31" s="2082"/>
      <c r="AG31" s="2111"/>
      <c r="AH31" s="1794" t="s">
        <v>15</v>
      </c>
      <c r="AI31" s="1797"/>
      <c r="AJ31" s="1796" t="s">
        <v>814</v>
      </c>
      <c r="AK31" s="1797"/>
      <c r="CL31" s="385"/>
      <c r="CM31" s="385"/>
      <c r="CN31" s="385"/>
      <c r="CO31" s="385"/>
      <c r="CP31" s="385"/>
      <c r="CQ31" s="385"/>
      <c r="CR31" s="385"/>
      <c r="CS31" s="385"/>
      <c r="CT31" s="385"/>
      <c r="CU31" s="385"/>
      <c r="CV31" s="385"/>
      <c r="CW31" s="385"/>
      <c r="CX31" s="385"/>
      <c r="CY31" s="385"/>
      <c r="CZ31" s="385"/>
      <c r="DA31" s="385"/>
      <c r="DB31" s="385"/>
      <c r="DC31" s="385"/>
      <c r="DD31" s="385"/>
      <c r="DE31" s="385"/>
      <c r="DF31" s="385"/>
      <c r="DG31" s="385"/>
      <c r="DH31" s="385"/>
      <c r="DI31" s="385"/>
      <c r="DJ31" s="385"/>
      <c r="DK31" s="385"/>
      <c r="DL31" s="385"/>
      <c r="DM31" s="385"/>
      <c r="DN31" s="385"/>
      <c r="DO31" s="385"/>
      <c r="DP31" s="385"/>
      <c r="DQ31" s="385"/>
      <c r="DR31" s="385"/>
      <c r="DS31" s="385"/>
    </row>
    <row r="32" spans="1:123" ht="18" customHeight="1" x14ac:dyDescent="0.15">
      <c r="A32" s="2098"/>
      <c r="B32" s="2098"/>
      <c r="C32" s="2079"/>
      <c r="D32" s="2080"/>
      <c r="E32" s="2081"/>
      <c r="F32" s="2089" t="s">
        <v>17</v>
      </c>
      <c r="G32" s="2090"/>
      <c r="H32" s="2074" t="s">
        <v>18</v>
      </c>
      <c r="I32" s="2075"/>
      <c r="J32" s="1967" t="s">
        <v>19</v>
      </c>
      <c r="K32" s="1967"/>
      <c r="L32" s="1968" t="s">
        <v>20</v>
      </c>
      <c r="M32" s="2073"/>
      <c r="N32" s="1967" t="s">
        <v>21</v>
      </c>
      <c r="O32" s="1967"/>
      <c r="P32" s="1968" t="s">
        <v>22</v>
      </c>
      <c r="Q32" s="2073"/>
      <c r="R32" s="1967" t="s">
        <v>23</v>
      </c>
      <c r="S32" s="1967"/>
      <c r="T32" s="1968" t="s">
        <v>24</v>
      </c>
      <c r="U32" s="2073"/>
      <c r="V32" s="1967" t="s">
        <v>208</v>
      </c>
      <c r="W32" s="1967"/>
      <c r="X32" s="1968" t="s">
        <v>209</v>
      </c>
      <c r="Y32" s="2073"/>
      <c r="Z32" s="1970" t="s">
        <v>181</v>
      </c>
      <c r="AA32" s="2049"/>
      <c r="AB32" s="1970" t="s">
        <v>182</v>
      </c>
      <c r="AC32" s="2049"/>
      <c r="AD32" s="1970" t="s">
        <v>183</v>
      </c>
      <c r="AE32" s="2049"/>
      <c r="AF32" s="1970" t="s">
        <v>195</v>
      </c>
      <c r="AG32" s="2072"/>
      <c r="AH32" s="1795"/>
      <c r="AI32" s="1799"/>
      <c r="AJ32" s="1798"/>
      <c r="AK32" s="1799"/>
      <c r="BF32" s="330"/>
      <c r="BG32" s="330"/>
      <c r="BH32" s="331"/>
      <c r="BI32" s="331"/>
      <c r="BJ32" s="330"/>
      <c r="BK32" s="330"/>
      <c r="BL32" s="339"/>
      <c r="BM32" s="339"/>
      <c r="BN32" s="330"/>
      <c r="BO32" s="330"/>
      <c r="BP32" s="339"/>
      <c r="BQ32" s="339"/>
      <c r="BR32" s="330"/>
      <c r="BS32" s="330"/>
      <c r="BT32" s="339"/>
      <c r="BU32" s="339"/>
      <c r="BV32" s="330"/>
      <c r="BW32" s="330"/>
      <c r="BX32" s="339"/>
      <c r="BY32" s="339"/>
      <c r="BZ32" s="340"/>
      <c r="CA32" s="340"/>
      <c r="CB32" s="340"/>
      <c r="CC32" s="340"/>
      <c r="CD32" s="340"/>
      <c r="CE32" s="340"/>
      <c r="CF32" s="340"/>
      <c r="CG32" s="340"/>
      <c r="CL32" s="385"/>
      <c r="CM32" s="385"/>
      <c r="CN32" s="385"/>
      <c r="CO32" s="385"/>
      <c r="CP32" s="480"/>
      <c r="CQ32" s="480"/>
      <c r="CR32" s="481"/>
      <c r="CS32" s="481"/>
      <c r="CT32" s="480"/>
      <c r="CU32" s="480"/>
      <c r="CV32" s="443"/>
      <c r="CW32" s="443"/>
      <c r="CX32" s="480"/>
      <c r="CY32" s="480"/>
      <c r="CZ32" s="443"/>
      <c r="DA32" s="443"/>
      <c r="DB32" s="480"/>
      <c r="DC32" s="480"/>
      <c r="DD32" s="443"/>
      <c r="DE32" s="443"/>
      <c r="DF32" s="480"/>
      <c r="DG32" s="480"/>
      <c r="DH32" s="443"/>
      <c r="DI32" s="443"/>
      <c r="DJ32" s="482"/>
      <c r="DK32" s="482"/>
      <c r="DL32" s="482"/>
      <c r="DM32" s="482"/>
      <c r="DN32" s="482"/>
      <c r="DO32" s="482"/>
      <c r="DP32" s="482"/>
      <c r="DQ32" s="482"/>
      <c r="DR32" s="385"/>
      <c r="DS32" s="385"/>
    </row>
    <row r="33" spans="1:123" ht="21.75" customHeight="1" x14ac:dyDescent="0.15">
      <c r="A33" s="2098"/>
      <c r="B33" s="2099"/>
      <c r="C33" s="130" t="s">
        <v>369</v>
      </c>
      <c r="D33" s="1571" t="s">
        <v>31</v>
      </c>
      <c r="E33" s="1578" t="s">
        <v>94</v>
      </c>
      <c r="F33" s="150" t="s">
        <v>31</v>
      </c>
      <c r="G33" s="1578" t="s">
        <v>94</v>
      </c>
      <c r="H33" s="150" t="s">
        <v>31</v>
      </c>
      <c r="I33" s="1578" t="s">
        <v>94</v>
      </c>
      <c r="J33" s="150" t="s">
        <v>31</v>
      </c>
      <c r="K33" s="1578" t="s">
        <v>94</v>
      </c>
      <c r="L33" s="150" t="s">
        <v>31</v>
      </c>
      <c r="M33" s="1578" t="s">
        <v>94</v>
      </c>
      <c r="N33" s="150" t="s">
        <v>31</v>
      </c>
      <c r="O33" s="1578" t="s">
        <v>94</v>
      </c>
      <c r="P33" s="150" t="s">
        <v>31</v>
      </c>
      <c r="Q33" s="1578" t="s">
        <v>94</v>
      </c>
      <c r="R33" s="150" t="s">
        <v>31</v>
      </c>
      <c r="S33" s="1578" t="s">
        <v>94</v>
      </c>
      <c r="T33" s="150" t="s">
        <v>31</v>
      </c>
      <c r="U33" s="1578" t="s">
        <v>94</v>
      </c>
      <c r="V33" s="150" t="s">
        <v>31</v>
      </c>
      <c r="W33" s="1578" t="s">
        <v>94</v>
      </c>
      <c r="X33" s="150" t="s">
        <v>31</v>
      </c>
      <c r="Y33" s="1578" t="s">
        <v>94</v>
      </c>
      <c r="Z33" s="150" t="s">
        <v>129</v>
      </c>
      <c r="AA33" s="1578" t="s">
        <v>94</v>
      </c>
      <c r="AB33" s="150" t="s">
        <v>129</v>
      </c>
      <c r="AC33" s="1578" t="s">
        <v>94</v>
      </c>
      <c r="AD33" s="150" t="s">
        <v>129</v>
      </c>
      <c r="AE33" s="1578" t="s">
        <v>94</v>
      </c>
      <c r="AF33" s="136" t="s">
        <v>129</v>
      </c>
      <c r="AG33" s="138" t="s">
        <v>94</v>
      </c>
      <c r="AH33" s="1572" t="s">
        <v>31</v>
      </c>
      <c r="AI33" s="1570" t="s">
        <v>94</v>
      </c>
      <c r="AJ33" s="1563" t="s">
        <v>31</v>
      </c>
      <c r="AK33" s="1570" t="s">
        <v>94</v>
      </c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L33" s="385"/>
      <c r="CM33" s="385"/>
      <c r="CN33" s="385"/>
      <c r="CO33" s="385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385"/>
      <c r="DS33" s="385"/>
    </row>
    <row r="34" spans="1:123" ht="25.5" customHeight="1" x14ac:dyDescent="0.15">
      <c r="A34" s="2108" t="s">
        <v>164</v>
      </c>
      <c r="B34" s="161" t="s">
        <v>165</v>
      </c>
      <c r="C34" s="714">
        <f>SUM(D34:E34)</f>
        <v>0</v>
      </c>
      <c r="D34" s="715">
        <f>+F34+H34+J34+L34+N34+P34+R34+T34+V34+X34+Z34+AB34+AD34</f>
        <v>0</v>
      </c>
      <c r="E34" s="1573">
        <f>+G34+I34+K34+M34+O34+Q34+S34+U34+W34+Y34+AA34+AC34+AE34</f>
        <v>0</v>
      </c>
      <c r="F34" s="731"/>
      <c r="G34" s="732"/>
      <c r="H34" s="731"/>
      <c r="I34" s="732"/>
      <c r="J34" s="731"/>
      <c r="K34" s="809"/>
      <c r="L34" s="731"/>
      <c r="M34" s="732"/>
      <c r="N34" s="731"/>
      <c r="O34" s="732"/>
      <c r="P34" s="731"/>
      <c r="Q34" s="809"/>
      <c r="R34" s="731"/>
      <c r="S34" s="732"/>
      <c r="T34" s="731"/>
      <c r="U34" s="732"/>
      <c r="V34" s="731"/>
      <c r="W34" s="732"/>
      <c r="X34" s="731"/>
      <c r="Y34" s="732"/>
      <c r="Z34" s="731"/>
      <c r="AA34" s="732"/>
      <c r="AB34" s="731"/>
      <c r="AC34" s="732"/>
      <c r="AD34" s="731"/>
      <c r="AE34" s="732"/>
      <c r="AF34" s="1583"/>
      <c r="AG34" s="1584"/>
      <c r="AH34" s="750"/>
      <c r="AI34" s="732"/>
      <c r="AJ34" s="810"/>
      <c r="AK34" s="732"/>
      <c r="AL34" s="1681" t="str">
        <f xml:space="preserve"> BD34 &amp; BE34 &amp; BH34 &amp; BI34 &amp; BJ34 &amp; BK34 &amp; BL34 &amp; BM34 &amp; BN34 &amp; BO34 &amp; BP34 &amp; BQ34 &amp; BR34 &amp; BS34 &amp; BT34 &amp; BU34 &amp; BV34 &amp; BW34 &amp; BX34 &amp; BY34 &amp; BZ34 &amp; CA34 &amp; CB34 &amp; CC34 &amp; CD34 &amp; CE34 &amp; CF34 &amp; CH34 &amp; CI34 &amp; CG34 &amp; BF34 &amp; BG34 &amp; BB34 &amp; BC34</f>
        <v/>
      </c>
      <c r="BB34" s="381" t="str">
        <f t="shared" ref="BB34:BB42" si="23">IF(AND(D34&lt;&gt;0,AH34=""),"* No olvide escribir en la celda de 'Pueblos Originarios' (Digite CERO si no tiene). ",IF(AND(E34&lt;&gt;0,AI34=""),"* No olvide escribir en la celda de 'Pueblos Originarios' (Digite CERO si no tiene). ",""))</f>
        <v/>
      </c>
      <c r="BC34" s="381" t="str">
        <f t="shared" ref="BC34:BC42" si="24">IF(AND(D34&lt;&gt;0,AJ34=""),"* No olvide escribir en la celda de 'Población Migrantes' (Digite CERO si no tiene). ",IF(AND(E34&lt;&gt;0,AK34=""),"* No olvide escribir en la celda de 'Población Migrantes' (Digite CERO si no tiene). ",""))</f>
        <v/>
      </c>
      <c r="BD34" s="381" t="str">
        <f>IF($D$34&gt;=$AH$34,"","* Pueblos Originarios-Hombres no debe ser mayor al Total de personas Hombres. ")</f>
        <v/>
      </c>
      <c r="BE34" s="381" t="str">
        <f>IF($E$34&gt;=$AI$34,"","* Pueblos Originarios-Mujeres no debe ser mayor al Total de personas Mujeres. ")</f>
        <v/>
      </c>
      <c r="BF34" s="381" t="str">
        <f t="shared" ref="BF34:BF42" si="25">IF($D34&gt;=$AJ34,"","* Población Migrantes-Hombres no debe ser mayor al Total de personas Hombres. ")</f>
        <v/>
      </c>
      <c r="BG34" s="381" t="str">
        <f t="shared" ref="BG34:BG42" si="26">IF($E34&gt;=$AK34,"","* Pueblos Originarios-Mujeres no debe ser mayor al Total de personas Mujeres. ")</f>
        <v/>
      </c>
      <c r="BH34" s="381" t="str">
        <f>IF($F$34&lt;=$F$16,"","* Pacientes 15 a 19 años (Hombres) con PA&lt;140/90 mmHg debe ser menor o igual a Hipertensos en Sección A. ")</f>
        <v/>
      </c>
      <c r="BI34" s="381" t="str">
        <f>IF($G$34&lt;=$G$16,"","* Pacientes 15 a 19 años (Mujeres) con PA&lt;140/90 mmHg debe ser menor o igual a Hipertensos en Sección A. ")</f>
        <v/>
      </c>
      <c r="BJ34" s="381" t="str">
        <f>IF($H$34&lt;=$H$16,"","* Pacientes 20 a 24 años (Hombres) con PA&lt;140/90 mmHg debe ser menor o igual a Hipertensos en Sección A. ")</f>
        <v/>
      </c>
      <c r="BK34" s="381" t="str">
        <f>IF($I$34&lt;=$I$16,"","* Pacientes 20 a 24 años (Mujeres) con PA&lt;140/90 mmHg debe ser menor o igual a Hipertensos en Sección A. ")</f>
        <v/>
      </c>
      <c r="BL34" s="381" t="str">
        <f>IF($J$34&lt;=$J$16,"","* Pacientes 25 a 29 años (Hombres) con PA&lt;140/90 mmHg debe ser menor o igual a Hipertensos en Sección A. ")</f>
        <v/>
      </c>
      <c r="BM34" s="381" t="str">
        <f>IF($K$34&lt;=$K$16,"","* Pacientes 25 a 29 años (Mujeres) con PA&lt;140/90 mmHg debe ser menor o igual a Hipertensos en Sección A. ")</f>
        <v/>
      </c>
      <c r="BN34" s="381" t="str">
        <f>IF($L$34&lt;=$L$16,"","* Pacientes 30 a 34 años (Hombres) con PA&lt;140/90 mmHg debe ser menor o igual a Hipertensos en Sección A. ")</f>
        <v/>
      </c>
      <c r="BO34" s="381" t="str">
        <f>IF($M$34&lt;=$M$16,"","* Pacientes 30 a 34 años (Mujeres) con PA&lt;140/90 mmHg debe ser menor o igual a Hipertensos en Sección A. ")</f>
        <v/>
      </c>
      <c r="BP34" s="381" t="str">
        <f>IF($N$34&lt;=$N$16,"","* Pacientes 35 a 39 años (Hombres) con PA&lt;140/90 mmHg debe ser menor o igual a Hipertensos en Sección A. ")</f>
        <v/>
      </c>
      <c r="BQ34" s="381" t="str">
        <f>IF($O$34&lt;=$O$16,"","* Pacientes 35 a 39 años (Mujeres) con PA&lt;140/90 mmHg debe ser menor o igual a Hipertensos en Sección A. ")</f>
        <v/>
      </c>
      <c r="BR34" s="381" t="str">
        <f>IF($P$34&lt;=$P$16,"","* Pacientes 40 a 44 años (Hombres) con PA&lt;140/90 mmHg debe ser menor o igual a Hipertensos en Sección A. ")</f>
        <v/>
      </c>
      <c r="BS34" s="381" t="str">
        <f>IF($Q$34&lt;=$Q$16,"","* Pacientes 40 a 44 años (Mujeres) con PA&lt;140/90 mmHg debe ser menor o igual a Hipertensos en Sección A. ")</f>
        <v/>
      </c>
      <c r="BT34" s="381" t="str">
        <f>IF($R$34&lt;=$R$16,"","* Pacientes 45 a 49 años (Hombres) con PA&lt;140/90 mmHg debe ser menor o igual a Hipertensos en Sección A. ")</f>
        <v/>
      </c>
      <c r="BU34" s="381" t="str">
        <f>IF($S$34&lt;=$S$16,"","* Pacientes 45 a 49 años (Mujeres) con PA&lt;140/90 mmHg debe ser menor o igual a Hipertensos en Sección A. ")</f>
        <v/>
      </c>
      <c r="BV34" s="381" t="str">
        <f>IF($T$34&lt;=$T$16,"","* Pacientes 50 a 54 años (Hombres) con PA&lt;140/90 mmHg debe ser menor o igual a Hipertensos en Sección A. ")</f>
        <v/>
      </c>
      <c r="BW34" s="381" t="str">
        <f>IF($U$34&lt;=$U$16,"","* Pacientes 50 a 54 años (Mujeres) con PA&lt;140/90 mmHg debe ser menor o igual a Hipertensos en Sección A. ")</f>
        <v/>
      </c>
      <c r="BX34" s="381" t="str">
        <f>IF($V$34&lt;=$V$16,"","* Pacientes 55 a 59 años (Hombres) con PA&lt;140/90 mmHg debe ser menor o igual a Hipertensos en Sección A. ")</f>
        <v/>
      </c>
      <c r="BY34" s="381" t="str">
        <f>IF($W$34&lt;=$W$16,"","* Pacientes 55 a 59 años (Mujeres) con PA&lt;140/90 mmHg debe ser menor o igual a Hipertensos en Sección A. ")</f>
        <v/>
      </c>
      <c r="BZ34" s="381" t="str">
        <f>IF($X$34&lt;=$X$16,"","* Pacientes 60 a 64 años (Hombres) con PA&lt;140/90 mmHg debe ser menor o igual a Hipertensos en Sección A. ")</f>
        <v/>
      </c>
      <c r="CA34" s="381" t="str">
        <f>IF($Y$34&lt;=$Y$16,"","* Pacientes 60 a 64 años (Mujeres) con PA&lt;140/90 mmHg debe ser menor o igual a Hipertensos en Sección A. ")</f>
        <v/>
      </c>
      <c r="CB34" s="381" t="str">
        <f>IF($Z$34&lt;=$Z$16,"","* Pacientes 65 a 69 años (Hombres) con PA&lt;140/90 mmHg debe ser menor o igual a Hipertensos en Sección A. ")</f>
        <v/>
      </c>
      <c r="CC34" s="381" t="str">
        <f>IF($AA$34&lt;=$AA$16,"","* Pacientes 65 a 69 años (Mujeres) con PA&lt;140/90 mmHg debe ser menor o igual a Hipertensos en Sección A. ")</f>
        <v/>
      </c>
      <c r="CD34" s="381" t="str">
        <f>IF($AB$34&lt;=$AB$16,"","* Pacientes 70 a 74 años (Hombres) con PA&lt;140/90 mmHg debe ser menor o igual a Hipertensos en Sección A. ")</f>
        <v/>
      </c>
      <c r="CE34" s="381" t="str">
        <f>IF($AC$34&lt;=$AC$16,"","* Pacientes 70 a 74 años (Mujeres) con PA&lt;140/90 mmHg debe ser menor o igual a Hipertensos en Sección A. ")</f>
        <v/>
      </c>
      <c r="CF34" s="381" t="str">
        <f>IF($AD$34&lt;=$AD$16,"","* Pacientes 75 a 79 años (Hombres) con PA&lt;140/90 mmHg debe ser menor o igual a Hipertensos en Sección A. ")</f>
        <v/>
      </c>
      <c r="CG34" s="381" t="str">
        <f>IF($AE$34&lt;=$AE$16,"","* Pacientes 75 a 79 años (Mujeres) con PA&lt;140/90 mmHg debe ser menor o igual a Hipertensos en Sección A. ")</f>
        <v/>
      </c>
      <c r="CH34" s="381" t="str">
        <f>IF($AF$34&lt;=$AF$16,"","* Pacientes 80 y más años (Hombres) con PA&lt;140/90 mmHg debe ser menor o igual a Hipertensos en Sección A. ")</f>
        <v/>
      </c>
      <c r="CI34" s="381" t="str">
        <f>IF($AG$34&lt;=$AG$16,"","* Pacientes 80 y más años (Mujeres) con PA&lt;140/90 mmHg debe ser menor o igual a Hipertensos en Sección A. ")</f>
        <v/>
      </c>
      <c r="CL34" s="391">
        <f>IF(AND(D34&lt;&gt;0,AH34=""),1,IF(AND(E34&lt;&gt;0,AI34=""),1,0))</f>
        <v>0</v>
      </c>
      <c r="CM34" s="391">
        <f>IF(AND(D34&lt;&gt;0,AJ34=""),1,IF(AND(E34&lt;&gt;0,AK34=""),1,0))</f>
        <v>0</v>
      </c>
      <c r="CN34" s="391">
        <f>IF($D$34&gt;=$AH$34,0,1)</f>
        <v>0</v>
      </c>
      <c r="CO34" s="391">
        <f>IF($E$34&gt;=$AI$34,0,1)</f>
        <v>0</v>
      </c>
      <c r="CP34" s="391">
        <f t="shared" ref="CP34:CP42" si="27">IF($D34&gt;=$AJ34,0,1)</f>
        <v>0</v>
      </c>
      <c r="CQ34" s="391">
        <f>IF($E34&gt;=$AK34,0,1)</f>
        <v>0</v>
      </c>
      <c r="CR34" s="391">
        <f t="shared" ref="CR34:DS34" si="28">IF(F$34&lt;=F$16,0,1)</f>
        <v>0</v>
      </c>
      <c r="CS34" s="391">
        <f t="shared" si="28"/>
        <v>0</v>
      </c>
      <c r="CT34" s="391">
        <f t="shared" si="28"/>
        <v>0</v>
      </c>
      <c r="CU34" s="391">
        <f t="shared" si="28"/>
        <v>0</v>
      </c>
      <c r="CV34" s="391">
        <f t="shared" si="28"/>
        <v>0</v>
      </c>
      <c r="CW34" s="391">
        <f t="shared" si="28"/>
        <v>0</v>
      </c>
      <c r="CX34" s="391">
        <f t="shared" si="28"/>
        <v>0</v>
      </c>
      <c r="CY34" s="391">
        <f t="shared" si="28"/>
        <v>0</v>
      </c>
      <c r="CZ34" s="391">
        <f t="shared" si="28"/>
        <v>0</v>
      </c>
      <c r="DA34" s="391">
        <f t="shared" si="28"/>
        <v>0</v>
      </c>
      <c r="DB34" s="391">
        <f t="shared" si="28"/>
        <v>0</v>
      </c>
      <c r="DC34" s="391">
        <f t="shared" si="28"/>
        <v>0</v>
      </c>
      <c r="DD34" s="391">
        <f t="shared" si="28"/>
        <v>0</v>
      </c>
      <c r="DE34" s="391">
        <f t="shared" si="28"/>
        <v>0</v>
      </c>
      <c r="DF34" s="391">
        <f t="shared" si="28"/>
        <v>0</v>
      </c>
      <c r="DG34" s="391">
        <f t="shared" si="28"/>
        <v>0</v>
      </c>
      <c r="DH34" s="391">
        <f t="shared" si="28"/>
        <v>0</v>
      </c>
      <c r="DI34" s="391">
        <f t="shared" si="28"/>
        <v>0</v>
      </c>
      <c r="DJ34" s="391">
        <f t="shared" si="28"/>
        <v>0</v>
      </c>
      <c r="DK34" s="391">
        <f t="shared" si="28"/>
        <v>0</v>
      </c>
      <c r="DL34" s="391">
        <f t="shared" si="28"/>
        <v>0</v>
      </c>
      <c r="DM34" s="391">
        <f t="shared" si="28"/>
        <v>0</v>
      </c>
      <c r="DN34" s="391">
        <f t="shared" si="28"/>
        <v>0</v>
      </c>
      <c r="DO34" s="391">
        <f t="shared" si="28"/>
        <v>0</v>
      </c>
      <c r="DP34" s="391">
        <f t="shared" si="28"/>
        <v>0</v>
      </c>
      <c r="DQ34" s="391">
        <f t="shared" si="28"/>
        <v>0</v>
      </c>
      <c r="DR34" s="391">
        <f t="shared" si="28"/>
        <v>0</v>
      </c>
      <c r="DS34" s="391">
        <f t="shared" si="28"/>
        <v>0</v>
      </c>
    </row>
    <row r="35" spans="1:123" ht="25.5" customHeight="1" x14ac:dyDescent="0.15">
      <c r="A35" s="1737"/>
      <c r="B35" s="256" t="s">
        <v>362</v>
      </c>
      <c r="C35" s="745">
        <f t="shared" ref="C35:C40" si="29">SUM(D35:E35)</f>
        <v>0</v>
      </c>
      <c r="D35" s="1574">
        <f>+AF35</f>
        <v>0</v>
      </c>
      <c r="E35" s="1575">
        <f>+AG35</f>
        <v>0</v>
      </c>
      <c r="F35" s="782"/>
      <c r="G35" s="1585"/>
      <c r="H35" s="782"/>
      <c r="I35" s="784"/>
      <c r="J35" s="782"/>
      <c r="K35" s="784"/>
      <c r="L35" s="782"/>
      <c r="M35" s="783"/>
      <c r="N35" s="782"/>
      <c r="O35" s="783"/>
      <c r="P35" s="782"/>
      <c r="Q35" s="784"/>
      <c r="R35" s="782"/>
      <c r="S35" s="783"/>
      <c r="T35" s="782"/>
      <c r="U35" s="783"/>
      <c r="V35" s="782"/>
      <c r="W35" s="783"/>
      <c r="X35" s="782"/>
      <c r="Y35" s="783"/>
      <c r="Z35" s="782"/>
      <c r="AA35" s="783"/>
      <c r="AB35" s="782"/>
      <c r="AC35" s="783"/>
      <c r="AD35" s="782"/>
      <c r="AE35" s="783"/>
      <c r="AF35" s="811"/>
      <c r="AG35" s="753"/>
      <c r="AH35" s="754"/>
      <c r="AI35" s="741"/>
      <c r="AJ35" s="812"/>
      <c r="AK35" s="741"/>
      <c r="AL35" s="1681" t="str">
        <f xml:space="preserve"> BD35 &amp; BE35 &amp; BF35 &amp; BG35 &amp; BB35 &amp; BC35</f>
        <v/>
      </c>
      <c r="BB35" s="381" t="str">
        <f t="shared" si="23"/>
        <v/>
      </c>
      <c r="BC35" s="381" t="str">
        <f t="shared" si="24"/>
        <v/>
      </c>
      <c r="BD35" s="381" t="str">
        <f>IF($D$35&gt;=$AH$35,"","* Pueblos Originarios-Hombres no debe ser mayor al Total de personas Hombres. ")</f>
        <v/>
      </c>
      <c r="BE35" s="381" t="str">
        <f>IF($E$35&gt;=$AI$35,"","* Pueblos Originarios-Mujeres no debe ser mayor al Total de personas Mujeres. ")</f>
        <v/>
      </c>
      <c r="BF35" s="381" t="str">
        <f t="shared" si="25"/>
        <v/>
      </c>
      <c r="BG35" s="381" t="str">
        <f t="shared" si="26"/>
        <v/>
      </c>
      <c r="CL35" s="391">
        <f t="shared" ref="CL35:CL42" si="30">IF(AND(D35&lt;&gt;0,AH35=""),1,IF(AND(E35&lt;&gt;0,AI35=""),1,0))</f>
        <v>0</v>
      </c>
      <c r="CM35" s="391">
        <f t="shared" ref="CM35:CM42" si="31">IF(AND(D35&lt;&gt;0,AJ35=""),1,IF(AND(E35&lt;&gt;0,AK35=""),1,0))</f>
        <v>0</v>
      </c>
      <c r="CN35" s="391">
        <f>IF($D$35&gt;=$AH$35,0,1)</f>
        <v>0</v>
      </c>
      <c r="CO35" s="391">
        <f>IF($E$35&gt;=$AI$35,0,1)</f>
        <v>0</v>
      </c>
      <c r="CP35" s="391">
        <f t="shared" si="27"/>
        <v>0</v>
      </c>
      <c r="CQ35" s="391">
        <f>IF($E35&gt;=$AK35,0,1)</f>
        <v>0</v>
      </c>
      <c r="CR35" s="385"/>
      <c r="CS35" s="385"/>
      <c r="CT35" s="385"/>
      <c r="CU35" s="385"/>
      <c r="CV35" s="385"/>
      <c r="CW35" s="385"/>
      <c r="CX35" s="385"/>
      <c r="CY35" s="385"/>
      <c r="CZ35" s="385"/>
      <c r="DA35" s="385"/>
      <c r="DB35" s="385"/>
      <c r="DC35" s="385"/>
      <c r="DD35" s="385"/>
      <c r="DE35" s="385"/>
      <c r="DF35" s="385"/>
      <c r="DG35" s="385"/>
      <c r="DH35" s="385"/>
      <c r="DI35" s="385"/>
      <c r="DJ35" s="385"/>
      <c r="DK35" s="385"/>
      <c r="DL35" s="385"/>
      <c r="DM35" s="385"/>
      <c r="DN35" s="385"/>
      <c r="DO35" s="385"/>
      <c r="DP35" s="385"/>
      <c r="DQ35" s="385"/>
      <c r="DR35" s="385"/>
      <c r="DS35" s="385"/>
    </row>
    <row r="36" spans="1:123" ht="25.5" customHeight="1" x14ac:dyDescent="0.15">
      <c r="A36" s="2110" t="s">
        <v>166</v>
      </c>
      <c r="B36" s="167" t="s">
        <v>167</v>
      </c>
      <c r="C36" s="714">
        <f t="shared" si="29"/>
        <v>0</v>
      </c>
      <c r="D36" s="715">
        <f>+F36+H36+J36+L36+N36+P36+R36+T36+V36+X36+Z36+AB36+AD36</f>
        <v>0</v>
      </c>
      <c r="E36" s="794">
        <f>+G36+I36+K36+M36+O36+Q36+S36+U36+W36+Y36+AA36+AC36+AE36</f>
        <v>0</v>
      </c>
      <c r="F36" s="731"/>
      <c r="G36" s="732"/>
      <c r="H36" s="731"/>
      <c r="I36" s="732"/>
      <c r="J36" s="731"/>
      <c r="K36" s="732"/>
      <c r="L36" s="731"/>
      <c r="M36" s="732"/>
      <c r="N36" s="731"/>
      <c r="O36" s="732"/>
      <c r="P36" s="731"/>
      <c r="Q36" s="732"/>
      <c r="R36" s="731"/>
      <c r="S36" s="732"/>
      <c r="T36" s="731"/>
      <c r="U36" s="732"/>
      <c r="V36" s="731"/>
      <c r="W36" s="732"/>
      <c r="X36" s="731"/>
      <c r="Y36" s="732"/>
      <c r="Z36" s="731"/>
      <c r="AA36" s="732"/>
      <c r="AB36" s="731"/>
      <c r="AC36" s="732"/>
      <c r="AD36" s="731"/>
      <c r="AE36" s="732"/>
      <c r="AF36" s="1583"/>
      <c r="AG36" s="1583"/>
      <c r="AH36" s="750"/>
      <c r="AI36" s="732"/>
      <c r="AJ36" s="810"/>
      <c r="AK36" s="732"/>
      <c r="AL36" s="1681" t="str">
        <f xml:space="preserve"> BD36 &amp; BE36 &amp; BH36 &amp; BI36 &amp; BJ36 &amp; BK36 &amp; BL36 &amp; BM36 &amp; BN36 &amp; BO36 &amp; BP36 &amp; BQ36 &amp; BR36 &amp; BS36 &amp; BT36 &amp; BU36 &amp; BV36 &amp; BW36 &amp; BX36 &amp; BY36 &amp; BZ36 &amp; CA36 &amp; CB36 &amp; CC36 &amp; CD36 &amp; CE36 &amp; CF36 &amp; CH36 &amp; CI36 &amp; CG36 &amp; BF36 &amp; BG36 &amp; BB36 &amp; BC36</f>
        <v/>
      </c>
      <c r="BB36" s="381" t="str">
        <f t="shared" si="23"/>
        <v/>
      </c>
      <c r="BC36" s="381" t="str">
        <f t="shared" si="24"/>
        <v/>
      </c>
      <c r="BD36" s="381" t="str">
        <f>IF($D$36&gt;=$AH$36,"","* Pueblos Originarios-Hombres no debe ser mayor al Total de personas Hombres. ")</f>
        <v/>
      </c>
      <c r="BE36" s="381" t="str">
        <f>IF($E$36&gt;=$AI$36,"","* Pueblos Originarios-Mujeres no debe ser mayor al Total de personas Mujeres. ")</f>
        <v/>
      </c>
      <c r="BF36" s="381" t="str">
        <f t="shared" si="25"/>
        <v/>
      </c>
      <c r="BG36" s="381" t="str">
        <f t="shared" si="26"/>
        <v/>
      </c>
      <c r="BH36" s="381" t="str">
        <f>IF($F$36&lt;=$F$17,"","* Pacientes 15 a 19 años (Hombres) con HbA1C&lt;7% debe ser menor o igual a Diabéticos en Sección A. ")</f>
        <v/>
      </c>
      <c r="BI36" s="381" t="str">
        <f>IF($G$36&lt;=$G$17,"","* Pacientes 15 a 19 años (Mujeres) con HbA1C&lt;7% debe ser menor o igual a Diabéticos en Sección A. ")</f>
        <v/>
      </c>
      <c r="BJ36" s="381" t="str">
        <f>IF($H$36&lt;=$H$17,"","* Pacientes 20 a 24 años (Hombres) con HbA1C&lt;7% debe ser menor o igual a Diabéticos en Sección A. ")</f>
        <v/>
      </c>
      <c r="BK36" s="381" t="str">
        <f>IF($I$36&lt;=$I$17,"","* Pacientes 20 a 24 años (Mujeres) con HbA1C&lt;7% debe ser menor o igual a Diabéticos en Sección A. ")</f>
        <v/>
      </c>
      <c r="BL36" s="381" t="str">
        <f>IF($J$36&lt;=$J$17,"","* Pacientes 25 a 29 años (Hombres) con HbA1C&lt;7% debe ser menor o igual a Diabéticos en Sección A. ")</f>
        <v/>
      </c>
      <c r="BM36" s="381" t="str">
        <f>IF($K$36&lt;=$K$17,"","* Pacientes 25 a 29 años (Mujeres) con HbA1C&lt;7% debe ser menor o igual a Diabéticos en Sección A. ")</f>
        <v/>
      </c>
      <c r="BN36" s="381" t="str">
        <f>IF($L$36&lt;=$L$17,"","* Pacientes 30 a 34 años (Hombres) con HbA1C&lt;7% debe ser menor o igual a Diabéticos en Sección A. ")</f>
        <v/>
      </c>
      <c r="BO36" s="381" t="str">
        <f>IF($M$36&lt;=$M$17,"","* Pacientes 30 a 34 años (Mujeres) con HbA1C&lt;7% debe ser menor o igual a Diabéticos en Sección A. ")</f>
        <v/>
      </c>
      <c r="BP36" s="381" t="str">
        <f>IF($N$36&lt;=$N$17,"","* Pacientes 35 a 39 años (Hombres) con HbA1C&lt;7% debe ser menor o igual a Diabéticos en Sección A. ")</f>
        <v/>
      </c>
      <c r="BQ36" s="381" t="str">
        <f>IF($O$36&lt;=$O$17,"","* Pacientes 35 a 39 años (Mujeres) con HbA1C&lt;7% debe ser menor o igual a Diabéticos en Sección A. ")</f>
        <v/>
      </c>
      <c r="BR36" s="381" t="str">
        <f>IF($P$36&lt;=$P$17,"","* Pacientes 40 a 44 años (Hombres) con HbA1C&lt;7% debe ser menor o igual a Diabéticos en Sección A. ")</f>
        <v/>
      </c>
      <c r="BS36" s="381" t="str">
        <f>IF($Q$36&lt;=$Q$17,"","* Pacientes 40 a 44 años (Mujeres) con HbA1C&lt;7% debe ser menor o igual a Diabéticos en Sección A. ")</f>
        <v/>
      </c>
      <c r="BT36" s="381" t="str">
        <f>IF($R$36&lt;=$R$17,"","* Pacientes 45 a 49 años (Hombres) con HbA1C&lt;7% debe ser menor o igual a Diabéticos en Sección A. ")</f>
        <v/>
      </c>
      <c r="BU36" s="381" t="str">
        <f>IF($S$36&lt;=$S$17,"","* Pacientes 45 a 49 años (Mujeres) con HbA1C&lt;7% debe ser menor o igual a Diabéticos en Sección A. ")</f>
        <v/>
      </c>
      <c r="BV36" s="381" t="str">
        <f>IF($T$36&lt;=$T$17,"","* Pacientes 50 a 54 años (Hombres) con HbA1C&lt;7% debe ser menor o igual a Diabéticos en Sección A. ")</f>
        <v/>
      </c>
      <c r="BW36" s="381" t="str">
        <f>IF($U$36&lt;=$U$17,"","* Pacientes 50 a 54 años (Mujeres) con HbA1C&lt;7% debe ser menor o igual a Diabéticos en Sección A. ")</f>
        <v/>
      </c>
      <c r="BX36" s="381" t="str">
        <f>IF($V$36&lt;=$V$17,"","* Pacientes 55 a 59 años (Hombres) con HbA1C&lt;7% debe ser menor o igual a Diabéticos en Sección A. ")</f>
        <v/>
      </c>
      <c r="BY36" s="381" t="str">
        <f>IF($W$36&lt;=$W$17,"","* Pacientes 55 a 59 años (Mujeres) con HbA1C&lt;7% debe ser menor o igual a Diabéticos en Sección A. ")</f>
        <v/>
      </c>
      <c r="BZ36" s="381" t="str">
        <f>IF($X$36&lt;=$X$17,"","* Pacientes 60 a 64 años (Hombres) con HbA1C&lt;7% debe ser menor o igual a Diabéticos en Sección A. ")</f>
        <v/>
      </c>
      <c r="CA36" s="381" t="str">
        <f>IF($Y$36&lt;=$Y$17,"","* Pacientes 60 a 64 años (Mujeres) con HbA1C&lt;7% debe ser menor o igual a Diabéticos en Sección A. ")</f>
        <v/>
      </c>
      <c r="CB36" s="381" t="str">
        <f>IF($Z$36&lt;=$Z$17,"","* Pacientes 65 a 69 años (Hombres) con HbA1C&lt;7% debe ser menor o igual a Diabéticos en Sección A. ")</f>
        <v/>
      </c>
      <c r="CC36" s="381" t="str">
        <f>IF($AA$36&lt;=$AA$17,"","* Pacientes 65 a 69 años (Mujeres) con HbA1C&lt;7% debe ser menor o igual a Diabéticos en Sección A. ")</f>
        <v/>
      </c>
      <c r="CD36" s="381" t="str">
        <f>IF($AB$36&lt;=$AB$17,"","* Pacientes 70 a 74 años (Hombres) con HbA1C&lt;7% debe ser menor o igual a Diabéticos en Sección A. ")</f>
        <v/>
      </c>
      <c r="CE36" s="381" t="str">
        <f>IF($AC$36&lt;=$AC$17,"","* Pacientes 70 a 74 años (Mujeres) con HbA1C&lt;7% debe ser menor o igual a Diabéticos en Sección A. ")</f>
        <v/>
      </c>
      <c r="CF36" s="381" t="str">
        <f>IF($AD$36&lt;=$AD$17,"","* Pacientes 75 a 79 años (Hombres) con HbA1C&lt;7% debe ser menor o igual a Diabéticos en Sección A. ")</f>
        <v/>
      </c>
      <c r="CG36" s="381" t="str">
        <f>IF($AE$36&lt;=$AE$17,"","* Pacientes 75 a 79 años (Mujeres) con HbA1C&lt;7% debe ser menor o igual a Diabéticos en Sección A. ")</f>
        <v/>
      </c>
      <c r="CH36" s="381" t="str">
        <f>IF($AF$36&lt;=$AF$17,"","* Pacientes 80 y más años (Hombres) con HbA1C&lt;7% debe ser menor o igual a Diabéticos en Sección A. ")</f>
        <v/>
      </c>
      <c r="CI36" s="381" t="str">
        <f>IF($AG$37&lt;=$AG$17,"","* Pacientes 80 y más años (Mujeres) con HbA1C&lt;8% debe ser menor o igual a Diabéticos en Sección A. ")</f>
        <v/>
      </c>
      <c r="CL36" s="391">
        <f t="shared" si="30"/>
        <v>0</v>
      </c>
      <c r="CM36" s="391">
        <f t="shared" si="31"/>
        <v>0</v>
      </c>
      <c r="CN36" s="391">
        <f>IF($D$36&gt;=$AH$36,0,1)</f>
        <v>0</v>
      </c>
      <c r="CO36" s="391">
        <f>IF($E$36&gt;=$AI$36,0,1)</f>
        <v>0</v>
      </c>
      <c r="CP36" s="391">
        <f t="shared" si="27"/>
        <v>0</v>
      </c>
      <c r="CQ36" s="391">
        <f>IF($E36&gt;=$AK36,0,1)</f>
        <v>0</v>
      </c>
      <c r="CR36" s="391">
        <f t="shared" ref="CR36:DS36" si="32">IF(F$36&lt;=F$17,0,1)</f>
        <v>0</v>
      </c>
      <c r="CS36" s="391">
        <f t="shared" si="32"/>
        <v>0</v>
      </c>
      <c r="CT36" s="391">
        <f t="shared" si="32"/>
        <v>0</v>
      </c>
      <c r="CU36" s="391">
        <f t="shared" si="32"/>
        <v>0</v>
      </c>
      <c r="CV36" s="391">
        <f t="shared" si="32"/>
        <v>0</v>
      </c>
      <c r="CW36" s="391">
        <f t="shared" si="32"/>
        <v>0</v>
      </c>
      <c r="CX36" s="391">
        <f t="shared" si="32"/>
        <v>0</v>
      </c>
      <c r="CY36" s="391">
        <f t="shared" si="32"/>
        <v>0</v>
      </c>
      <c r="CZ36" s="391">
        <f t="shared" si="32"/>
        <v>0</v>
      </c>
      <c r="DA36" s="391">
        <f t="shared" si="32"/>
        <v>0</v>
      </c>
      <c r="DB36" s="391">
        <f t="shared" si="32"/>
        <v>0</v>
      </c>
      <c r="DC36" s="391">
        <f t="shared" si="32"/>
        <v>0</v>
      </c>
      <c r="DD36" s="391">
        <f t="shared" si="32"/>
        <v>0</v>
      </c>
      <c r="DE36" s="391">
        <f t="shared" si="32"/>
        <v>0</v>
      </c>
      <c r="DF36" s="391">
        <f t="shared" si="32"/>
        <v>0</v>
      </c>
      <c r="DG36" s="391">
        <f t="shared" si="32"/>
        <v>0</v>
      </c>
      <c r="DH36" s="391">
        <f t="shared" si="32"/>
        <v>0</v>
      </c>
      <c r="DI36" s="391">
        <f t="shared" si="32"/>
        <v>0</v>
      </c>
      <c r="DJ36" s="391">
        <f t="shared" si="32"/>
        <v>0</v>
      </c>
      <c r="DK36" s="391">
        <f t="shared" si="32"/>
        <v>0</v>
      </c>
      <c r="DL36" s="391">
        <f t="shared" si="32"/>
        <v>0</v>
      </c>
      <c r="DM36" s="391">
        <f t="shared" si="32"/>
        <v>0</v>
      </c>
      <c r="DN36" s="391">
        <f t="shared" si="32"/>
        <v>0</v>
      </c>
      <c r="DO36" s="391">
        <f t="shared" si="32"/>
        <v>0</v>
      </c>
      <c r="DP36" s="391">
        <f t="shared" si="32"/>
        <v>0</v>
      </c>
      <c r="DQ36" s="391">
        <f t="shared" si="32"/>
        <v>0</v>
      </c>
      <c r="DR36" s="391">
        <f t="shared" si="32"/>
        <v>0</v>
      </c>
      <c r="DS36" s="391">
        <f t="shared" si="32"/>
        <v>0</v>
      </c>
    </row>
    <row r="37" spans="1:123" ht="25.5" customHeight="1" x14ac:dyDescent="0.15">
      <c r="A37" s="2098"/>
      <c r="B37" s="257" t="s">
        <v>363</v>
      </c>
      <c r="C37" s="725">
        <f t="shared" si="29"/>
        <v>0</v>
      </c>
      <c r="D37" s="1576">
        <f>+AF37</f>
        <v>0</v>
      </c>
      <c r="E37" s="1564">
        <f>+AG37</f>
        <v>0</v>
      </c>
      <c r="F37" s="779"/>
      <c r="G37" s="916"/>
      <c r="H37" s="779"/>
      <c r="I37" s="781"/>
      <c r="J37" s="779"/>
      <c r="K37" s="781"/>
      <c r="L37" s="779"/>
      <c r="M37" s="780"/>
      <c r="N37" s="779"/>
      <c r="O37" s="780"/>
      <c r="P37" s="779"/>
      <c r="Q37" s="781"/>
      <c r="R37" s="779"/>
      <c r="S37" s="780"/>
      <c r="T37" s="779"/>
      <c r="U37" s="780"/>
      <c r="V37" s="779"/>
      <c r="W37" s="780"/>
      <c r="X37" s="779"/>
      <c r="Y37" s="780"/>
      <c r="Z37" s="779"/>
      <c r="AA37" s="780"/>
      <c r="AB37" s="779"/>
      <c r="AC37" s="780"/>
      <c r="AD37" s="779"/>
      <c r="AE37" s="780"/>
      <c r="AF37" s="813"/>
      <c r="AG37" s="744"/>
      <c r="AH37" s="792"/>
      <c r="AI37" s="736"/>
      <c r="AJ37" s="813"/>
      <c r="AK37" s="736"/>
      <c r="AL37" s="1681" t="str">
        <f xml:space="preserve"> BD37 &amp; BE37 &amp; BF37 &amp; BG37 &amp; BB37 &amp; BC37</f>
        <v/>
      </c>
      <c r="BB37" s="381" t="str">
        <f t="shared" si="23"/>
        <v/>
      </c>
      <c r="BC37" s="381" t="str">
        <f t="shared" si="24"/>
        <v/>
      </c>
      <c r="BD37" s="381" t="str">
        <f>IF($D$37&gt;=$AH$37,"","* Pueblos Originarios-Hombres no debe ser mayor al Total de personas Hombres. ")</f>
        <v/>
      </c>
      <c r="BE37" s="381" t="str">
        <f>IF($E$37&gt;=$AI$37,"","* Pueblos Originarios-Mujeres no debe ser mayor al Total de personas Mujeres. ")</f>
        <v/>
      </c>
      <c r="BF37" s="381" t="str">
        <f t="shared" si="25"/>
        <v/>
      </c>
      <c r="BG37" s="381" t="str">
        <f t="shared" si="26"/>
        <v/>
      </c>
      <c r="CL37" s="391">
        <f t="shared" si="30"/>
        <v>0</v>
      </c>
      <c r="CM37" s="391">
        <f t="shared" si="31"/>
        <v>0</v>
      </c>
      <c r="CN37" s="391">
        <f>IF($D$37&gt;=$AH$37,0,1)</f>
        <v>0</v>
      </c>
      <c r="CO37" s="391">
        <f>IF($E$37&gt;=$AI$37,0,1)</f>
        <v>0</v>
      </c>
      <c r="CP37" s="391">
        <f>IF($D37&gt;=$AJ37,0,1)</f>
        <v>0</v>
      </c>
      <c r="CQ37" s="391">
        <f>IF($E37&gt;=$AK37,0,1)</f>
        <v>0</v>
      </c>
      <c r="CR37" s="385"/>
      <c r="CS37" s="385"/>
      <c r="CT37" s="385"/>
      <c r="CU37" s="385"/>
      <c r="CV37" s="385"/>
      <c r="CW37" s="385"/>
      <c r="CX37" s="385"/>
      <c r="CY37" s="385"/>
      <c r="CZ37" s="385"/>
      <c r="DA37" s="385"/>
      <c r="DB37" s="385"/>
      <c r="DC37" s="385"/>
      <c r="DD37" s="385"/>
      <c r="DE37" s="385"/>
      <c r="DF37" s="385"/>
      <c r="DG37" s="385"/>
      <c r="DH37" s="385"/>
      <c r="DI37" s="385"/>
      <c r="DJ37" s="385"/>
      <c r="DK37" s="385"/>
      <c r="DL37" s="385"/>
      <c r="DM37" s="385"/>
      <c r="DN37" s="385"/>
      <c r="DO37" s="385"/>
      <c r="DP37" s="385"/>
      <c r="DQ37" s="385"/>
      <c r="DR37" s="385"/>
      <c r="DS37" s="385"/>
    </row>
    <row r="38" spans="1:123" ht="25.5" customHeight="1" x14ac:dyDescent="0.15">
      <c r="A38" s="2099"/>
      <c r="B38" s="1184" t="s">
        <v>342</v>
      </c>
      <c r="C38" s="719">
        <f t="shared" si="29"/>
        <v>0</v>
      </c>
      <c r="D38" s="720">
        <f>+F38+H38+J38+L38+N38+P38+R38+T38+V38+X38+Z38+AB38+AD38+AF38</f>
        <v>0</v>
      </c>
      <c r="E38" s="805">
        <f>+G38+I38+K38+M38+O38+Q38+S38+U38+W38+Y38+AA38+AC38+AE38+AG38</f>
        <v>0</v>
      </c>
      <c r="F38" s="740"/>
      <c r="G38" s="741"/>
      <c r="H38" s="740"/>
      <c r="I38" s="741"/>
      <c r="J38" s="740"/>
      <c r="K38" s="741"/>
      <c r="L38" s="740"/>
      <c r="M38" s="741"/>
      <c r="N38" s="740"/>
      <c r="O38" s="741"/>
      <c r="P38" s="740"/>
      <c r="Q38" s="741"/>
      <c r="R38" s="740"/>
      <c r="S38" s="741"/>
      <c r="T38" s="740"/>
      <c r="U38" s="741"/>
      <c r="V38" s="740"/>
      <c r="W38" s="741"/>
      <c r="X38" s="740"/>
      <c r="Y38" s="741"/>
      <c r="Z38" s="740"/>
      <c r="AA38" s="741"/>
      <c r="AB38" s="740"/>
      <c r="AC38" s="741"/>
      <c r="AD38" s="740"/>
      <c r="AE38" s="741"/>
      <c r="AF38" s="812"/>
      <c r="AG38" s="818"/>
      <c r="AH38" s="754"/>
      <c r="AI38" s="741"/>
      <c r="AJ38" s="812"/>
      <c r="AK38" s="741"/>
      <c r="AL38" s="1681" t="str">
        <f xml:space="preserve"> BD38 &amp; BE38 &amp; BH38 &amp; BI38 &amp; BJ38 &amp; BK38 &amp; BL38 &amp; BM38 &amp; BN38 &amp; BO38 &amp; BP38 &amp; BQ38 &amp; BR38 &amp; BS38 &amp; BT38 &amp; BU38 &amp; BV38 &amp; BW38 &amp; BX38 &amp; BY38 &amp; BZ38 &amp; CA38 &amp; CB38 &amp; CC38 &amp; CD38 &amp; CE38 &amp; CF38 &amp; CH38 &amp; CI38 &amp; CG38 &amp; BF38 &amp; BG38 &amp; BB38 &amp; BC38</f>
        <v/>
      </c>
      <c r="BB38" s="381" t="str">
        <f t="shared" si="23"/>
        <v/>
      </c>
      <c r="BC38" s="381" t="str">
        <f t="shared" si="24"/>
        <v/>
      </c>
      <c r="BD38" s="381" t="str">
        <f>IF($D$38&gt;=$AH$38,"","* Pueblos Originarios-Hombres no debe ser mayor al Total de personas Hombres. ")</f>
        <v/>
      </c>
      <c r="BE38" s="381" t="str">
        <f>IF($E$38&gt;=$AI$38,"","* Pueblos Originarios-Mujeres no debe ser mayor al Total de personas Mujeres. ")</f>
        <v/>
      </c>
      <c r="BF38" s="381" t="str">
        <f t="shared" si="25"/>
        <v/>
      </c>
      <c r="BG38" s="381" t="str">
        <f t="shared" si="26"/>
        <v/>
      </c>
      <c r="BH38" s="381" t="str">
        <f>IF($F$38&lt;=$F$36,"","* Pacientes 15 a 19 años (Hombres) con HbA1C&lt;7% - PA&lt;140/90mmHg debe ser menor o igual a los con HbA1C&lt;7%. ")</f>
        <v/>
      </c>
      <c r="BI38" s="381" t="str">
        <f>IF($G$38&lt;=$G$36,"","* Pacientes 15 a 19 años (Mujeres) con HbA1C&lt;7% - PA&lt;140/90mmHg debe ser menor o igual a los con HbA1C&lt;7%. ")</f>
        <v/>
      </c>
      <c r="BJ38" s="381" t="str">
        <f>IF($H$38&lt;=$H$36,"","* Pacientes 20 a 24 años (Hombres) con HbA1C&lt;7% - PA&lt;140/90mmHg debe ser menor o igual a los con HbA1C&lt;7%. ")</f>
        <v/>
      </c>
      <c r="BK38" s="381" t="str">
        <f>IF($I$38&lt;=$I$36,"","* Pacientes 20 a 24 años (Mujeres) con HbA1C&lt;7% - PA&lt;140/90mmHg debe ser menor o igual a los con HbA1C&lt;7%. ")</f>
        <v/>
      </c>
      <c r="BL38" s="381" t="str">
        <f>IF($J$38&lt;=$J$36,"","* Pacientes 25 a 29 años (Hombres) con HbA1C&lt;7% - PA&lt;140/90mmHg debe ser menor o igual a los con HbA1C&lt;7%. ")</f>
        <v/>
      </c>
      <c r="BM38" s="381" t="str">
        <f>IF($K$38&lt;=$K$36,"","* Pacientes 25 a 29 años (Mujeres) con HbA1C&lt;7% - PA&lt;140/90mmHg debe ser menor o igual a los con HbA1C&lt;7%. ")</f>
        <v/>
      </c>
      <c r="BN38" s="381" t="str">
        <f>IF($L$38&lt;=$L$36,"","* Pacientes 30 a 34 años (Hombres) con HbA1C&lt;7% - PA&lt;140/90mmHg debe ser menor o igual a los con HbA1C&lt;7%. ")</f>
        <v/>
      </c>
      <c r="BO38" s="381" t="str">
        <f>IF($M$38&lt;=$M$36,"","* Pacientes 30 a 34 años (Mujeres) con HbA1C&lt;7% - PA&lt;140/90mmHg debe ser menor o igual a los con HbA1C&lt;7%. ")</f>
        <v/>
      </c>
      <c r="BP38" s="381" t="str">
        <f>IF($N$38&lt;=$N$36,"","* Pacientes 35 a 39 años (Hombres) con HbA1C&lt;7% - PA&lt;140/90mmHg debe ser menor o igual a los con HbA1C&lt;7%. ")</f>
        <v/>
      </c>
      <c r="BQ38" s="381" t="str">
        <f>IF($O$38&lt;=$O$36,"","* Pacientes 35 a 39 años (Mujeres) con HbA1C&lt;7% - PA&lt;140/90mmHg debe ser menor o igual a los con HbA1C&lt;7%. ")</f>
        <v/>
      </c>
      <c r="BR38" s="381" t="str">
        <f>IF($P$38&lt;=$P$36,"","* Pacientes 40 a 44 años (Hombres) con HbA1C&lt;7% - PA&lt;140/90mmHg debe ser menor o igual a los con HbA1C&lt;7%. ")</f>
        <v/>
      </c>
      <c r="BS38" s="381" t="str">
        <f>IF($Q$38&lt;=$Q$36,"","* Pacientes 40 a 44 años (Mujeres) con HbA1C&lt;7% - PA&lt;140/90mmHg debe ser menor o igual a los con HbA1C&lt;7%. ")</f>
        <v/>
      </c>
      <c r="BT38" s="381" t="str">
        <f>IF($R$38&lt;=$R$36,"","* Pacientes 45 a 49 años (Hombres) con HbA1C&lt;7% - PA&lt;140/90mmHg debe ser menor o igual a los con HbA1C&lt;7%. ")</f>
        <v/>
      </c>
      <c r="BU38" s="381" t="str">
        <f>IF($S$38&lt;=$S$36,"","* Pacientes 45 a 49 años (Mujeres) con HbA1C&lt;7% - PA&lt;140/90mmHg debe ser menor o igual a los con HbA1C&lt;7%. ")</f>
        <v/>
      </c>
      <c r="BV38" s="381" t="str">
        <f>IF($T$38&lt;=$T$36,"","* Pacientes 50 a 54 años (Hombres) con HbA1C&lt;7% - PA&lt;140/90mmHg debe ser menor o igual a los con HbA1C&lt;7%. ")</f>
        <v/>
      </c>
      <c r="BW38" s="381" t="str">
        <f>IF($U$38&lt;=$U$36,"","* Pacientes 50 a 54 años (Mujeres) con HbA1C&lt;7% - PA&lt;140/90mmHg debe ser menor o igual a los con HbA1C&lt;7%. ")</f>
        <v/>
      </c>
      <c r="BX38" s="381" t="str">
        <f>IF($V$38&lt;=$V$36,"","* Pacientes 55 a 59 años (Hombres) con HbA1C&lt;7% - PA&lt;140/90mmHg debe ser menor o igual a los con HbA1C&lt;7%. ")</f>
        <v/>
      </c>
      <c r="BY38" s="381" t="str">
        <f>IF($W$38&lt;=$W$36,"","* Pacientes 55 a 59 años (Mujeres) con HbA1C&lt;7% - PA&lt;140/90mmHg debe ser menor o igual a los con HbA1C&lt;7%. ")</f>
        <v/>
      </c>
      <c r="BZ38" s="381" t="str">
        <f>IF($X$38&lt;=$X$36,"","* Pacientes 60 a 64 años (Hombres) con HbA1C&lt;7% - PA&lt;140/90mmHg debe ser menor o igual a los con HbA1C&lt;7%. ")</f>
        <v/>
      </c>
      <c r="CA38" s="381" t="str">
        <f>IF($Y$38&lt;=$Y$36,"","* Pacientes 60 a 64 años (Mujeres) con HbA1C&lt;7% - PA&lt;140/90mmHg debe ser menor o igual a los con HbA1C&lt;7%. ")</f>
        <v/>
      </c>
      <c r="CB38" s="381" t="str">
        <f>IF($Z$38&lt;=$Z$36,"","* Pacientes 65 a 69 años (Hombres) con HbA1C&lt;7% - PA&lt;140/90mmHg debe ser menor o igual a los con HbA1C&lt;7%. ")</f>
        <v/>
      </c>
      <c r="CC38" s="381" t="str">
        <f>IF($AA$38&lt;=$AA$36,"","* Pacientes 65 a 69 años (Mujeres) con HbA1C&lt;7% - PA&lt;140/90mmHg debe ser menor o igual a los con HbA1C&lt;7%. ")</f>
        <v/>
      </c>
      <c r="CD38" s="381" t="str">
        <f>IF($AB$38&lt;=$AB$36,"","* Pacientes 70 a 74 años (Hombres) con HbA1C&lt;7% - PA&lt;140/90mmHg debe ser menor o igual a los con HbA1C&lt;7%. ")</f>
        <v/>
      </c>
      <c r="CE38" s="381" t="str">
        <f>IF($AC$38&lt;=$AC$36,"","* Pacientes 70 a 74 años (Mujeres) con HbA1C&lt;7% - PA&lt;140/90mmHg debe ser menor o igual a los con HbA1C&lt;7%. ")</f>
        <v/>
      </c>
      <c r="CF38" s="381" t="str">
        <f>IF($AD$38&lt;=$AD$36,"","* Pacientes 75 a 79 años (Hombres) con HbA1C&lt;7% - PA&lt;140/90mmHg debe ser menor o igual a los con HbA1C&lt;7%. ")</f>
        <v/>
      </c>
      <c r="CG38" s="381" t="str">
        <f>IF($AE$38&lt;=$AE$36,"","* Pacientes 75 a 79 años (Mujeres) con HbA1C&lt;7% - PA&lt;140/70mmHg debe ser menor o igual a los con HbA1C&lt;7%. ")</f>
        <v/>
      </c>
      <c r="CL38" s="391">
        <f t="shared" si="30"/>
        <v>0</v>
      </c>
      <c r="CM38" s="391">
        <f t="shared" si="31"/>
        <v>0</v>
      </c>
      <c r="CN38" s="391">
        <f>IF($D$38&gt;=$AH$38,0,1)</f>
        <v>0</v>
      </c>
      <c r="CO38" s="391">
        <f>IF($E$38&gt;=$AI$38,0,1)</f>
        <v>0</v>
      </c>
      <c r="CP38" s="391">
        <f t="shared" si="27"/>
        <v>0</v>
      </c>
      <c r="CQ38" s="391">
        <f>IF($E38&gt;=$AK38,0,1)</f>
        <v>0</v>
      </c>
      <c r="CR38" s="391">
        <f t="shared" ref="CR38:DQ38" si="33">IF(F$38&lt;=F$36,0,1)</f>
        <v>0</v>
      </c>
      <c r="CS38" s="391">
        <f t="shared" si="33"/>
        <v>0</v>
      </c>
      <c r="CT38" s="391">
        <f t="shared" si="33"/>
        <v>0</v>
      </c>
      <c r="CU38" s="391">
        <f t="shared" si="33"/>
        <v>0</v>
      </c>
      <c r="CV38" s="391">
        <f t="shared" si="33"/>
        <v>0</v>
      </c>
      <c r="CW38" s="391">
        <f t="shared" si="33"/>
        <v>0</v>
      </c>
      <c r="CX38" s="391">
        <f t="shared" si="33"/>
        <v>0</v>
      </c>
      <c r="CY38" s="391">
        <f t="shared" si="33"/>
        <v>0</v>
      </c>
      <c r="CZ38" s="391">
        <f t="shared" si="33"/>
        <v>0</v>
      </c>
      <c r="DA38" s="391">
        <f t="shared" si="33"/>
        <v>0</v>
      </c>
      <c r="DB38" s="391">
        <f t="shared" si="33"/>
        <v>0</v>
      </c>
      <c r="DC38" s="391">
        <f t="shared" si="33"/>
        <v>0</v>
      </c>
      <c r="DD38" s="391">
        <f t="shared" si="33"/>
        <v>0</v>
      </c>
      <c r="DE38" s="391">
        <f t="shared" si="33"/>
        <v>0</v>
      </c>
      <c r="DF38" s="391">
        <f t="shared" si="33"/>
        <v>0</v>
      </c>
      <c r="DG38" s="391">
        <f t="shared" si="33"/>
        <v>0</v>
      </c>
      <c r="DH38" s="391">
        <f t="shared" si="33"/>
        <v>0</v>
      </c>
      <c r="DI38" s="391">
        <f t="shared" si="33"/>
        <v>0</v>
      </c>
      <c r="DJ38" s="391">
        <f t="shared" si="33"/>
        <v>0</v>
      </c>
      <c r="DK38" s="391">
        <f t="shared" si="33"/>
        <v>0</v>
      </c>
      <c r="DL38" s="391">
        <f t="shared" si="33"/>
        <v>0</v>
      </c>
      <c r="DM38" s="391">
        <f t="shared" si="33"/>
        <v>0</v>
      </c>
      <c r="DN38" s="391">
        <f t="shared" si="33"/>
        <v>0</v>
      </c>
      <c r="DO38" s="391">
        <f t="shared" si="33"/>
        <v>0</v>
      </c>
      <c r="DP38" s="391">
        <f t="shared" si="33"/>
        <v>0</v>
      </c>
      <c r="DQ38" s="391">
        <f t="shared" si="33"/>
        <v>0</v>
      </c>
      <c r="DR38" s="385"/>
      <c r="DS38" s="385"/>
    </row>
    <row r="39" spans="1:123" ht="27.75" customHeight="1" x14ac:dyDescent="0.15">
      <c r="A39" s="1243" t="s">
        <v>618</v>
      </c>
      <c r="B39" s="361" t="s">
        <v>506</v>
      </c>
      <c r="C39" s="745">
        <f t="shared" si="29"/>
        <v>0</v>
      </c>
      <c r="D39" s="1574">
        <f t="shared" ref="D39:E40" si="34">+F39+H39+J39+L39+N39+P39+R39+T39+V39+X39+Z39+AB39+AD39+AF39</f>
        <v>0</v>
      </c>
      <c r="E39" s="1577">
        <f t="shared" si="34"/>
        <v>0</v>
      </c>
      <c r="F39" s="751"/>
      <c r="G39" s="752"/>
      <c r="H39" s="751"/>
      <c r="I39" s="752"/>
      <c r="J39" s="751"/>
      <c r="K39" s="752"/>
      <c r="L39" s="751"/>
      <c r="M39" s="752"/>
      <c r="N39" s="751"/>
      <c r="O39" s="752"/>
      <c r="P39" s="751"/>
      <c r="Q39" s="752"/>
      <c r="R39" s="751"/>
      <c r="S39" s="752"/>
      <c r="T39" s="751"/>
      <c r="U39" s="752"/>
      <c r="V39" s="751"/>
      <c r="W39" s="752"/>
      <c r="X39" s="751"/>
      <c r="Y39" s="752"/>
      <c r="Z39" s="751"/>
      <c r="AA39" s="752"/>
      <c r="AB39" s="751"/>
      <c r="AC39" s="752"/>
      <c r="AD39" s="751"/>
      <c r="AE39" s="752"/>
      <c r="AF39" s="811"/>
      <c r="AG39" s="753"/>
      <c r="AH39" s="815"/>
      <c r="AI39" s="752"/>
      <c r="AJ39" s="811"/>
      <c r="AK39" s="752"/>
      <c r="AL39" s="1681" t="str">
        <f xml:space="preserve"> BD39 &amp; BE39 &amp; BH39 &amp; BI39 &amp; BJ39 &amp; BK39 &amp; BL39 &amp; BM39 &amp; BN39 &amp; BO39 &amp; BP39 &amp; BQ39 &amp; BR39 &amp; BS39 &amp; BT39 &amp; BU39 &amp; BV39 &amp; BW39 &amp; BX39 &amp; BY39 &amp; BZ39 &amp; CA39 &amp; CB39 &amp; CC39 &amp; CD39 &amp; CE39 &amp; CF39 &amp; CH39 &amp; CI39 &amp; CG39 &amp; BF39 &amp; BG39 &amp; BB39 &amp; BC39</f>
        <v/>
      </c>
      <c r="BB39" s="381" t="str">
        <f t="shared" si="23"/>
        <v/>
      </c>
      <c r="BC39" s="381" t="str">
        <f t="shared" si="24"/>
        <v/>
      </c>
      <c r="BD39" s="381" t="str">
        <f>IF($D$39&gt;=$AH$39,"","* Pueblos Originarios-Hombres no debe ser mayor al Total de personas Hombres. ")</f>
        <v/>
      </c>
      <c r="BE39" s="381" t="str">
        <f>IF($E$39&gt;=$AI$39,"","* Pueblos Originarios-Mujeres no debe ser mayor al Total de personas Mujeres. ")</f>
        <v/>
      </c>
      <c r="BF39" s="381" t="str">
        <f t="shared" si="25"/>
        <v/>
      </c>
      <c r="BG39" s="381" t="str">
        <f t="shared" si="26"/>
        <v/>
      </c>
      <c r="BH39" s="381" t="str">
        <f>IF($F$39&lt;=$F$15,"","* Pacientes 15 a 19 años (Hombres) con RCV Alto con Colesterol LDL &lt;100 mg/dl no debe ser mayor al Total RCV Alto de Sección A. ")</f>
        <v/>
      </c>
      <c r="BI39" s="381" t="str">
        <f>IF($G$39&lt;=$G$15,"","* Pacientes 15 a 19 años (Mujeres) con RCV Alto con Colesterol LDL &lt;100 mg/dl no debe ser mayor al Total RCV Alto de Sección A. ")</f>
        <v/>
      </c>
      <c r="BJ39" s="381" t="str">
        <f>IF($H$39&lt;=+$H$15,"","* Pacientes 20 a 24 años (Hombres) con RCV Alto con Colesterol LDL &lt;100 mg/dl no debe ser mayor al Total RCV Alto de Sección A. ")</f>
        <v/>
      </c>
      <c r="BK39" s="381" t="str">
        <f>IF($I$39&lt;=+$I$15,"","* Pacientes 20 a 24 años (Mujeres) con RCV Alto con Colesterol LDL &lt;100 mg/dl no debe ser mayor al Total RCV Alto de Sección A. ")</f>
        <v/>
      </c>
      <c r="BL39" s="381" t="str">
        <f>IF($J$39&lt;=+$J$15,"","* Pacientes 25 a 29 años (Hombres) con RCV Alto con Colesterol LDL &lt;100 mg/dl no debe ser mayor al Total RCV Alto de Sección A. ")</f>
        <v/>
      </c>
      <c r="BM39" s="381" t="str">
        <f>IF($K$39&lt;=+$K$15,"","* Pacientes 25 a 29 años (Mujeres) con RCV Alto con Colesterol LDL &lt;100 mg/dl no debe ser mayor al Total RCV Alto de Sección A. ")</f>
        <v/>
      </c>
      <c r="BN39" s="381" t="str">
        <f>IF($L$39&lt;=+$L$15,"","* Pacientes 30 a 34 años (Hombres) con RCV Alto con Colesterol LDL &lt;100 mg/dl no debe ser mayor al Total RCV Alto de Sección A. ")</f>
        <v/>
      </c>
      <c r="BO39" s="381" t="str">
        <f>IF($M$39&lt;=+$M$15,"","* Pacientes 30 a 34 años (Mujeres) con RCV Alto con Colesterol LDL &lt;100 mg/dl no debe ser mayor al Total RCV Alto de Sección A. ")</f>
        <v/>
      </c>
      <c r="BP39" s="381" t="str">
        <f>IF($N$39&lt;=+$N$15,"","* Pacientes 35 a 39 años (Hombres) con RCV Alto con Colesterol LDL &lt;100 mg/dl no debe ser mayor al Total RCV Alto de Sección A. ")</f>
        <v/>
      </c>
      <c r="BQ39" s="381" t="str">
        <f>IF($O$39&lt;=+$O$15,"","* Pacientes 35 a 39 años (Mujeres) con RCV Alto con Colesterol LDL &lt;100 mg/dl no debe ser mayor al Total RCV Alto de Sección A. ")</f>
        <v/>
      </c>
      <c r="BR39" s="381" t="str">
        <f>IF($P$39&lt;=+$P$15,"","* Pacientes 40 a 44 años (Hombres) con RCV Alto con Colesterol LDL &lt;100 mg/dl no debe ser mayor al Total RCV Alto de Sección A. ")</f>
        <v/>
      </c>
      <c r="BS39" s="381" t="str">
        <f>IF($Q$39&lt;=+$Q$15,"","* Pacientes 40 a 44 años (Mujeres) con RCV Alto con Colesterol LDL &lt;100 mg/dl no debe ser mayor al Total RCV Alto de Sección A. ")</f>
        <v/>
      </c>
      <c r="BT39" s="381" t="str">
        <f>IF($R$39&lt;=+$R$15,"","* Pacientes 45 a 49 años (Hombres) con RCV Alto con Colesterol LDL &lt;100 mg/dl no debe ser mayor al Total RCV Alto de Sección A. ")</f>
        <v/>
      </c>
      <c r="BU39" s="381" t="str">
        <f>IF($S$39&lt;=+$S$15,"","* Pacientes 45 a 49 años (Mujeres) con RCV Alto con Colesterol LDL &lt;100 mg/dl no debe ser mayor al Total RCV Alto de Sección A. ")</f>
        <v/>
      </c>
      <c r="BV39" s="381" t="str">
        <f>IF($T$39&lt;=+$T$15,"","* Pacientes 50 a 54 años (Hombres) con RCV Alto con Colesterol LDL &lt;100 mg/dl no debe ser mayor al Total RCV Alto de Sección A. ")</f>
        <v/>
      </c>
      <c r="BW39" s="381" t="str">
        <f>IF($U$39&lt;=+$U$15,"","* Pacientes 50 a 54 años (Mujeres) con RCV Alto con Colesterol LDL &lt;100 mg/dl no debe ser mayor al Total RCV Alto de Sección A. ")</f>
        <v/>
      </c>
      <c r="BX39" s="381" t="str">
        <f>IF($V$39&lt;=+$V$15,"","* Pacientes 55 a 59 años (Hombres) con RCV Alto con Colesterol LDL &lt;100 mg/dl no debe ser mayor al Total RCV Alto de Sección A. ")</f>
        <v/>
      </c>
      <c r="BY39" s="381" t="str">
        <f>IF($W$39&lt;=+$W$15,"","* Pacientes 55 a 59 años (Mujeres) con RCV Alto con Colesterol LDL &lt;100 mg/dl no debe ser mayor al Total RCV Alto de Sección A. ")</f>
        <v/>
      </c>
      <c r="BZ39" s="381" t="str">
        <f>IF($X$39&lt;=+$X$15,"","* Pacientes 60 a 64 años (Hombres) con RCV Alto con Colesterol LDL &lt;100 mg/dl no debe ser mayor al Total RCV Alto de Sección A. ")</f>
        <v/>
      </c>
      <c r="CA39" s="381" t="str">
        <f>IF($Y$39&lt;=+$Y$15,"","* Pacientes 60 a 64 años (Mujeres) con RCV Alto con Colesterol LDL &lt;100 mg/dl no debe ser mayor al Total RCV Alto de Sección A. ")</f>
        <v/>
      </c>
      <c r="CB39" s="381" t="str">
        <f>IF($Z$39&lt;=+$Z$15,"","* Pacientes 65 a 69 años (Hombres) con RCV Alto con Colesterol LDL &lt;100 mg/dl no debe ser mayor al Total RCV Alto de Sección A. ")</f>
        <v/>
      </c>
      <c r="CC39" s="381" t="str">
        <f>IF($AA$39&lt;=+$AA$15,"","* Pacientes 65 a 69 años (Mujeres) con RCV Alto con Colesterol LDL &lt;100 mg/dl no debe ser mayor al Total RCV Alto de Sección A. ")</f>
        <v/>
      </c>
      <c r="CD39" s="381" t="str">
        <f>IF($AB$39&lt;=+$AB$15,"","* Pacientes 70 a 74 años (Hombres) con RCV Alto con Colesterol LDL &lt;100 mg/dl no debe ser mayor al Total RCV Alto de Sección A. ")</f>
        <v/>
      </c>
      <c r="CE39" s="381" t="str">
        <f>IF($AC$39&lt;=+$AC$15,"","* Pacientes 70 a 74 años (Mujeres) con RCV Alto con Colesterol LDL &lt;100 mg/dl no debe ser mayor al Total RCV Alto de Sección A. ")</f>
        <v/>
      </c>
      <c r="CF39" s="381" t="str">
        <f>IF($AD$39&lt;=+$AD$15,"","* Pacientes 75 a 79 años (Hombres) con RCV Alto con Colesterol LDL &lt;100 mg/dl no debe ser mayor al Total RCV Alto de Sección A. ")</f>
        <v/>
      </c>
      <c r="CG39" s="381" t="str">
        <f>IF($AE$39&lt;=+$AE$15,"","* Pacientes 75 a 79 años (Mujeres) con RCV Alto con Colesterol LDL &lt;100 mg/dl no debe ser mayor al Total RCV Alto de Sección A. ")</f>
        <v/>
      </c>
      <c r="CH39" s="381" t="str">
        <f>IF($AF$39&lt;=+$AF$15,"","* Pacientes 80 y más años (Hombres) con RCV Alto con Colesterol LDL &lt;100 mg/dl no debe ser mayor al Total RCV Alto de Sección A. ")</f>
        <v/>
      </c>
      <c r="CI39" s="381" t="str">
        <f>IF($AG$39&lt;=+$AG$15,"","* Pacientes 80 y más años (Mujeres) con RCV Alto con Colesterol LDL &lt;100 mg/dl no debe ser mayor al Total RCV Alto de Sección A. ")</f>
        <v/>
      </c>
      <c r="CL39" s="391">
        <f t="shared" si="30"/>
        <v>0</v>
      </c>
      <c r="CM39" s="391">
        <f t="shared" si="31"/>
        <v>0</v>
      </c>
      <c r="CN39" s="391">
        <f>IF($D$39&gt;=$AH$39,0,1)</f>
        <v>0</v>
      </c>
      <c r="CO39" s="391">
        <f>IF($E$39&gt;=$AI$39,0,1)</f>
        <v>0</v>
      </c>
      <c r="CP39" s="391">
        <f t="shared" si="27"/>
        <v>0</v>
      </c>
      <c r="CQ39" s="391">
        <f>IF($E39&gt;=$AJ39,0,1)</f>
        <v>0</v>
      </c>
      <c r="CR39" s="391">
        <f t="shared" ref="CR39:DS39" si="35">IF(F$39&lt;=+F$15,0,1)</f>
        <v>0</v>
      </c>
      <c r="CS39" s="391">
        <f t="shared" si="35"/>
        <v>0</v>
      </c>
      <c r="CT39" s="391">
        <f t="shared" si="35"/>
        <v>0</v>
      </c>
      <c r="CU39" s="391">
        <f t="shared" si="35"/>
        <v>0</v>
      </c>
      <c r="CV39" s="391">
        <f t="shared" si="35"/>
        <v>0</v>
      </c>
      <c r="CW39" s="391">
        <f t="shared" si="35"/>
        <v>0</v>
      </c>
      <c r="CX39" s="391">
        <f t="shared" si="35"/>
        <v>0</v>
      </c>
      <c r="CY39" s="391">
        <f t="shared" si="35"/>
        <v>0</v>
      </c>
      <c r="CZ39" s="391">
        <f t="shared" si="35"/>
        <v>0</v>
      </c>
      <c r="DA39" s="391">
        <f t="shared" si="35"/>
        <v>0</v>
      </c>
      <c r="DB39" s="391">
        <f t="shared" si="35"/>
        <v>0</v>
      </c>
      <c r="DC39" s="391">
        <f t="shared" si="35"/>
        <v>0</v>
      </c>
      <c r="DD39" s="391">
        <f t="shared" si="35"/>
        <v>0</v>
      </c>
      <c r="DE39" s="391">
        <f t="shared" si="35"/>
        <v>0</v>
      </c>
      <c r="DF39" s="391">
        <f t="shared" si="35"/>
        <v>0</v>
      </c>
      <c r="DG39" s="391">
        <f t="shared" si="35"/>
        <v>0</v>
      </c>
      <c r="DH39" s="391">
        <f t="shared" si="35"/>
        <v>0</v>
      </c>
      <c r="DI39" s="391">
        <f t="shared" si="35"/>
        <v>0</v>
      </c>
      <c r="DJ39" s="391">
        <f t="shared" si="35"/>
        <v>0</v>
      </c>
      <c r="DK39" s="391">
        <f t="shared" si="35"/>
        <v>0</v>
      </c>
      <c r="DL39" s="391">
        <f t="shared" si="35"/>
        <v>0</v>
      </c>
      <c r="DM39" s="391">
        <f t="shared" si="35"/>
        <v>0</v>
      </c>
      <c r="DN39" s="391">
        <f t="shared" si="35"/>
        <v>0</v>
      </c>
      <c r="DO39" s="391">
        <f t="shared" si="35"/>
        <v>0</v>
      </c>
      <c r="DP39" s="391">
        <f t="shared" si="35"/>
        <v>0</v>
      </c>
      <c r="DQ39" s="391">
        <f t="shared" si="35"/>
        <v>0</v>
      </c>
      <c r="DR39" s="391">
        <f t="shared" si="35"/>
        <v>0</v>
      </c>
      <c r="DS39" s="391">
        <f t="shared" si="35"/>
        <v>0</v>
      </c>
    </row>
    <row r="40" spans="1:123" ht="23.25" customHeight="1" x14ac:dyDescent="0.15">
      <c r="A40" s="2105" t="s">
        <v>168</v>
      </c>
      <c r="B40" s="1244" t="s">
        <v>617</v>
      </c>
      <c r="C40" s="722">
        <f t="shared" si="29"/>
        <v>0</v>
      </c>
      <c r="D40" s="789">
        <f t="shared" si="34"/>
        <v>0</v>
      </c>
      <c r="E40" s="801">
        <f t="shared" si="34"/>
        <v>0</v>
      </c>
      <c r="F40" s="755"/>
      <c r="G40" s="756"/>
      <c r="H40" s="755"/>
      <c r="I40" s="756"/>
      <c r="J40" s="755"/>
      <c r="K40" s="756"/>
      <c r="L40" s="755"/>
      <c r="M40" s="756"/>
      <c r="N40" s="755"/>
      <c r="O40" s="756"/>
      <c r="P40" s="755"/>
      <c r="Q40" s="756"/>
      <c r="R40" s="755"/>
      <c r="S40" s="756"/>
      <c r="T40" s="755"/>
      <c r="U40" s="756"/>
      <c r="V40" s="755"/>
      <c r="W40" s="756"/>
      <c r="X40" s="755"/>
      <c r="Y40" s="756"/>
      <c r="Z40" s="755"/>
      <c r="AA40" s="756"/>
      <c r="AB40" s="755"/>
      <c r="AC40" s="756"/>
      <c r="AD40" s="755"/>
      <c r="AE40" s="756"/>
      <c r="AF40" s="816"/>
      <c r="AG40" s="817"/>
      <c r="AH40" s="750"/>
      <c r="AI40" s="732"/>
      <c r="AJ40" s="810"/>
      <c r="AK40" s="732"/>
      <c r="AL40" s="1681" t="str">
        <f xml:space="preserve"> BD40 &amp; BE40 &amp; BH40 &amp; BI40 &amp; BJ40 &amp; BK40 &amp; BL40 &amp; BM40 &amp; BN40 &amp; BO40 &amp; BP40 &amp; BQ40 &amp; BR40 &amp; BS40 &amp; BT40 &amp; BU40 &amp; BV40 &amp; BW40 &amp; BX40 &amp; BY40 &amp; BZ40 &amp; CA40 &amp; CB40 &amp; CC40 &amp; CD40 &amp; CE40 &amp; CF40 &amp; CH40 &amp; CI40 &amp; CG40 &amp; BF40 &amp; BG40 &amp; BB40 &amp; BC40</f>
        <v/>
      </c>
      <c r="BB40" s="381" t="str">
        <f t="shared" si="23"/>
        <v/>
      </c>
      <c r="BC40" s="381" t="str">
        <f t="shared" si="24"/>
        <v/>
      </c>
      <c r="BD40" s="381" t="str">
        <f>IF($D$40&gt;=$AH$40,"","* Pueblos Originarios-Hombres no debe ser mayor al Total de personas Hombres. ")</f>
        <v/>
      </c>
      <c r="BE40" s="381" t="str">
        <f>IF($E$40&gt;=$AI$40,"","* Pueblos Originarios-Mujeres no debe ser mayor al Total de personas Mujeres. ")</f>
        <v/>
      </c>
      <c r="BF40" s="381" t="str">
        <f t="shared" si="25"/>
        <v/>
      </c>
      <c r="BG40" s="381" t="str">
        <f t="shared" si="26"/>
        <v/>
      </c>
      <c r="BH40" s="381" t="str">
        <f>IF($F$40&lt;=$F$20+$F$21,"","* Pacientes 15 a 19 años (Hombres) con con antecedentes ECV con tto. Antiagregante plaquetario no debe ser mayor al Total Población con Antecedentes de IAM y ECV de Sección A. ")</f>
        <v/>
      </c>
      <c r="BI40" s="381" t="str">
        <f>IF($G$40&lt;=$G$20+$G$21,"","* Pacientes 15 a 19 años (Mujeres) con con antecedentes ECV con tto. Antiagregante plaquetario no debe ser mayor al Total Población con Antecedentes de IAM y ECV de Sección A. ")</f>
        <v/>
      </c>
      <c r="BJ40" s="381" t="str">
        <f>IF($H$40&lt;=$H$20+$H$21,"","* Pacientes 20 a 24 años (Hombres) con con antecedentes ECV con tto. Antiagregante plaquetario no debe ser mayor al Total Población con Antecedentes de IAM y ECV de Sección A. ")</f>
        <v/>
      </c>
      <c r="BK40" s="381" t="str">
        <f>IF($I$40&lt;=$I$20+$I$21,"","* Pacientes 20 a 24 años (Mujeres) con con antecedentes ECV con tto. Antiagregante plaquetario no debe ser mayor al Total Población con Antecedentes de IAM y ECV de Sección A. ")</f>
        <v/>
      </c>
      <c r="BL40" s="381" t="str">
        <f>IF($J$40&lt;=$J$20+$J$21,"","* Pacientes 25 a 29 años (Hombres) con con antecedentes ECV con tto. Antiagregante plaquetario no debe ser mayor al Total Población con Antecedentes de IAM y ECV de Sección A. ")</f>
        <v/>
      </c>
      <c r="BM40" s="381" t="str">
        <f>IF($K$40&lt;=$K$20+$K$21,"","* Pacientes 25 a 29 años (Mujeres) con con antecedentes ECV con tto. Antiagregante plaquetario no debe ser mayor al Total Población con Antecedentes de IAM y ECV de Sección A. ")</f>
        <v/>
      </c>
      <c r="BN40" s="381" t="str">
        <f>IF($L$40&lt;=$L$20+$L$21,"","* Pacientes 30 a 34 años (Hombres) con con antecedentes ECV con tto. Antiagregante plaquetario no debe ser mayor al Total Población con Antecedentes de IAM y ECV de Sección A. ")</f>
        <v/>
      </c>
      <c r="BO40" s="381" t="str">
        <f>IF($M$40&lt;=$M$20+$M$21,"","* Pacientes 30 a 34 años (Mujeres) con con antecedentes ECV con tto. Antiagregante plaquetario no debe ser mayor al Total Población con Antecedentes de IAM y ECV de Sección A. ")</f>
        <v/>
      </c>
      <c r="BP40" s="381" t="str">
        <f>IF($N$40&lt;=$N$20+$N$21,"","* Pacientes 35 a 39 años (Hombres) con con antecedentes ECV con tto. Antiagregante plaquetario no debe ser mayor al Total Población con Antecedentes de IAM y ECV de Sección A. ")</f>
        <v/>
      </c>
      <c r="BQ40" s="381" t="str">
        <f>IF($O$40&lt;=$O$20+$O$21,"","* Pacientes 35 a 39 años (Mujeres) con con antecedentes ECV con tto. Antiagregante plaquetario no debe ser mayor al Total Población con Antecedentes de IAM y ECV de Sección A. ")</f>
        <v/>
      </c>
      <c r="BR40" s="381" t="str">
        <f>IF($P$40&lt;=$P$20+$P$21,"","* Pacientes 40 a 44 años (Hombres) con con antecedentes ECV con tto.Antiagregante plaquetario no debe ser mayor al Total Población con Antecedentes de IAM y ECV de Sección A. ")</f>
        <v/>
      </c>
      <c r="BS40" s="381" t="str">
        <f>IF($Q$40&lt;=$Q$20+$Q$21,"","* Pacientes 40 a 44 años (Mujeres) con con antecedentes ECV con tto. Antiagregante plaquetario no debe ser mayor al Total Población con Antecedentes de IAM y ECV de Sección A. ")</f>
        <v/>
      </c>
      <c r="BT40" s="381" t="str">
        <f>IF($R$40&lt;=$R$20+$R$21,"","* Pacientes 45 a 49 años (Hombres) con con antecedentes ECV con tto.Antiagregante plaquetario no debe ser mayor al Total Población con Antecedentes de IAM y ECV de Sección A. ")</f>
        <v/>
      </c>
      <c r="BU40" s="381" t="str">
        <f>IF($S$40&lt;=$S$20+$S$21,"","* Pacientes 45 a 49 años (Mujeres) con con antecedentes ECV con tto. Antiagregante plaquetario no debe ser mayor al Total Población con Antecedentes de IAM y ECV de Sección A. ")</f>
        <v/>
      </c>
      <c r="BV40" s="381" t="str">
        <f>IF($T$40&lt;=$T$20+$T$21,"","* Pacientes 50 a 54 años (Hombres) con con antecedentes ECV con tto. Antiagregante plaquetario no debe ser mayor al Total Población con Antecedentes de IAM y ECV de Sección A. ")</f>
        <v/>
      </c>
      <c r="BW40" s="381" t="str">
        <f>IF($U$40&lt;=$U$20+$U$21,"","* Pacientes 50 a 54 años (Mujeres) con con antecedentes ECV con tto. Antiagregante plaquetario no debe ser mayor al Total Población con Antecedentes de IAM y ECV de Sección A. ")</f>
        <v/>
      </c>
      <c r="BX40" s="381" t="str">
        <f>IF($V$40&lt;=$V$20+$V$21,"","* Pacientes 55 a 59 años (Hombres) con con antecedentes ECV con tto. Antiagregante plaquetario no debe ser mayor al Total Población con Antecedentes de IAM y ECV de Sección A. ")</f>
        <v/>
      </c>
      <c r="BY40" s="381" t="str">
        <f>IF($W$40&lt;=$W$20+$W$21,"","* Pacientes 55 a 59 años (Mujeres) con con antecedentes ECV con tto. Antiagregante plaquetario no debe ser mayor al Total Población con Antecedentes de IAM y ECV de Sección A. ")</f>
        <v/>
      </c>
      <c r="BZ40" s="381" t="str">
        <f>IF($X$40&lt;=$X$20+$X$21,"","* Pacientes 60 a 64 años (Hombres) con con antecedentes ECV con tto. Antiagregante plaquetario no debe ser mayor al Total Población con Antecedentes de IAM y ECV de Sección A. ")</f>
        <v/>
      </c>
      <c r="CA40" s="381" t="str">
        <f>IF($Y$40&lt;=$Y$20+$Y$21,"","* Pacientes 60 a 64 años (Mujeres) con con antecedentes ECV con tto. Antiagregante plaquetario no debe ser mayor al Total Población con Antecedentes de IAM y ECV de Sección A. ")</f>
        <v/>
      </c>
      <c r="CB40" s="381" t="str">
        <f>IF($Z$40&lt;=$Z$20+$Z$21,"","* Pacientes 65 a 69 años (Hombres) con con antecedentes ECV con tto. Antiagregante plaquetario no debe ser mayor al Total Población con Antecedentes de IAM y ECV de Sección A. ")</f>
        <v/>
      </c>
      <c r="CC40" s="381" t="str">
        <f>IF($AA$40&lt;=$AA$20+$AA$21,"","* Pacientes 65 a 69 años (Mujeres) con con antecedentes ECV con tto. Antiagregante plaquetario no debe ser mayor al Total Población con Antecedentes de IAM y ECV de Sección A. ")</f>
        <v/>
      </c>
      <c r="CD40" s="381" t="str">
        <f>IF($AB$40&lt;=$AB$20+$AB$21,"","* Pacientes 70 a 74 años (Hombres) con con antecedentes ECV con tto. Antiagregante plaquetario no debe ser mayor al Total Población con Antecedentes de IAM y ECV de Sección A. ")</f>
        <v/>
      </c>
      <c r="CE40" s="381" t="str">
        <f>IF($AC$40&lt;=$AC$20+$AC$21,"","* Pacientes 70 a 74 años (Mujeres) con con antecedentes ECV con tto. Antiagregante plaquetario no debe ser mayor al Total Población con Antecedentes de IAM y ECV de Sección A. ")</f>
        <v/>
      </c>
      <c r="CF40" s="381" t="str">
        <f>IF($AD$40&lt;=$AD$20+$AD$21,"","* Pacientes 75 a 79 años (Hombres) con con antecedentes ECV con tto. Antiagregante plaquetario no debe ser mayor al Total Población con Antecedentes de IAM y ECV de Sección A. ")</f>
        <v/>
      </c>
      <c r="CG40" s="381" t="str">
        <f>IF($AE$40&lt;=$AE$20+$AE$21,"","* Pacientes 75 a 79 años (Mujeres) con con antecedentes ECV con tto. Antiagregante plaquetario no debe ser mayor al Total Población con Antecedentes de IAM y ECV de Sección A. ")</f>
        <v/>
      </c>
      <c r="CH40" s="381" t="str">
        <f>IF($AF$40&lt;=$AF$20+$AF$21,"","* Pacientes 80 y más años (Hombres) con con antecedentes ECV con tto. Antiagregante plaquetario no debe ser mayor al Total Población con Antecedentes de IAM y ECV de Sección A. ")</f>
        <v/>
      </c>
      <c r="CI40" s="381" t="str">
        <f>IF($AG$40&lt;=$AG$20+$AG$21,"","* Pacientes 80 y más años (Mujeres) con con antecedentes ECV con tto. Antiagregante plaquetario no debe ser mayor al Total Población con Antecedentes de IAM y ECV de Sección A. ")</f>
        <v/>
      </c>
      <c r="CL40" s="391">
        <f t="shared" si="30"/>
        <v>0</v>
      </c>
      <c r="CM40" s="391">
        <f t="shared" si="31"/>
        <v>0</v>
      </c>
      <c r="CN40" s="391">
        <f>IF($D$40&gt;=$AH$40,0,1)</f>
        <v>0</v>
      </c>
      <c r="CO40" s="391">
        <f>IF($E$40&gt;=$AI$40,0,1)</f>
        <v>0</v>
      </c>
      <c r="CP40" s="391">
        <f t="shared" si="27"/>
        <v>0</v>
      </c>
      <c r="CQ40" s="391">
        <f>IF($E40&gt;=$AJ40,0,1)</f>
        <v>0</v>
      </c>
      <c r="CR40" s="391">
        <f t="shared" ref="CR40:DA41" si="36">IF(F40&lt;=F$20+F$21,0,1)</f>
        <v>0</v>
      </c>
      <c r="CS40" s="391">
        <f t="shared" si="36"/>
        <v>0</v>
      </c>
      <c r="CT40" s="391">
        <f t="shared" si="36"/>
        <v>0</v>
      </c>
      <c r="CU40" s="391">
        <f t="shared" si="36"/>
        <v>0</v>
      </c>
      <c r="CV40" s="391">
        <f t="shared" si="36"/>
        <v>0</v>
      </c>
      <c r="CW40" s="391">
        <f t="shared" si="36"/>
        <v>0</v>
      </c>
      <c r="CX40" s="391">
        <f t="shared" si="36"/>
        <v>0</v>
      </c>
      <c r="CY40" s="391">
        <f t="shared" si="36"/>
        <v>0</v>
      </c>
      <c r="CZ40" s="391">
        <f t="shared" si="36"/>
        <v>0</v>
      </c>
      <c r="DA40" s="391">
        <f t="shared" si="36"/>
        <v>0</v>
      </c>
      <c r="DB40" s="391">
        <f t="shared" ref="DB40:DK41" si="37">IF(P40&lt;=P$20+P$21,0,1)</f>
        <v>0</v>
      </c>
      <c r="DC40" s="391">
        <f t="shared" si="37"/>
        <v>0</v>
      </c>
      <c r="DD40" s="391">
        <f t="shared" si="37"/>
        <v>0</v>
      </c>
      <c r="DE40" s="391">
        <f t="shared" si="37"/>
        <v>0</v>
      </c>
      <c r="DF40" s="391">
        <f t="shared" si="37"/>
        <v>0</v>
      </c>
      <c r="DG40" s="391">
        <f t="shared" si="37"/>
        <v>0</v>
      </c>
      <c r="DH40" s="391">
        <f t="shared" si="37"/>
        <v>0</v>
      </c>
      <c r="DI40" s="391">
        <f t="shared" si="37"/>
        <v>0</v>
      </c>
      <c r="DJ40" s="391">
        <f t="shared" si="37"/>
        <v>0</v>
      </c>
      <c r="DK40" s="391">
        <f t="shared" si="37"/>
        <v>0</v>
      </c>
      <c r="DL40" s="391">
        <f t="shared" ref="DL40:DS41" si="38">IF(Z40&lt;=Z$20+Z$21,0,1)</f>
        <v>0</v>
      </c>
      <c r="DM40" s="391">
        <f t="shared" si="38"/>
        <v>0</v>
      </c>
      <c r="DN40" s="391">
        <f t="shared" si="38"/>
        <v>0</v>
      </c>
      <c r="DO40" s="391">
        <f t="shared" si="38"/>
        <v>0</v>
      </c>
      <c r="DP40" s="391">
        <f t="shared" si="38"/>
        <v>0</v>
      </c>
      <c r="DQ40" s="391">
        <f t="shared" si="38"/>
        <v>0</v>
      </c>
      <c r="DR40" s="391">
        <f t="shared" si="38"/>
        <v>0</v>
      </c>
      <c r="DS40" s="391">
        <f t="shared" si="38"/>
        <v>0</v>
      </c>
    </row>
    <row r="41" spans="1:123" ht="23.25" customHeight="1" x14ac:dyDescent="0.15">
      <c r="A41" s="2106"/>
      <c r="B41" s="1244" t="s">
        <v>169</v>
      </c>
      <c r="C41" s="725">
        <f t="shared" ref="C41" si="39">SUM(D41:E41)</f>
        <v>0</v>
      </c>
      <c r="D41" s="1576">
        <f t="shared" ref="D41" si="40">+F41+H41+J41+L41+N41+P41+R41+T41+V41+X41+Z41+AB41+AD41+AF41</f>
        <v>0</v>
      </c>
      <c r="E41" s="1564">
        <f t="shared" ref="E41" si="41">+G41+I41+K41+M41+O41+Q41+S41+U41+W41+Y41+AA41+AC41+AE41+AG41</f>
        <v>0</v>
      </c>
      <c r="F41" s="797"/>
      <c r="G41" s="798"/>
      <c r="H41" s="797"/>
      <c r="I41" s="798"/>
      <c r="J41" s="797"/>
      <c r="K41" s="798"/>
      <c r="L41" s="797"/>
      <c r="M41" s="798"/>
      <c r="N41" s="797"/>
      <c r="O41" s="798"/>
      <c r="P41" s="797"/>
      <c r="Q41" s="798"/>
      <c r="R41" s="797"/>
      <c r="S41" s="798"/>
      <c r="T41" s="797"/>
      <c r="U41" s="798"/>
      <c r="V41" s="797"/>
      <c r="W41" s="798"/>
      <c r="X41" s="797"/>
      <c r="Y41" s="798"/>
      <c r="Z41" s="797"/>
      <c r="AA41" s="798"/>
      <c r="AB41" s="797"/>
      <c r="AC41" s="798"/>
      <c r="AD41" s="797"/>
      <c r="AE41" s="798"/>
      <c r="AF41" s="1175"/>
      <c r="AG41" s="995"/>
      <c r="AH41" s="1579"/>
      <c r="AI41" s="798"/>
      <c r="AJ41" s="1175"/>
      <c r="AK41" s="798"/>
      <c r="AL41" s="1681" t="str">
        <f xml:space="preserve"> BD41 &amp; BE41 &amp; BH41 &amp; BI41 &amp; BJ41 &amp; BK41 &amp; BL41 &amp; BM41 &amp; BN41 &amp; BO41 &amp; BP41 &amp; BQ41 &amp; BR41 &amp; BS41 &amp; BT41 &amp; BU41 &amp; BV41 &amp; BW41 &amp; BX41 &amp; BY41 &amp; BZ41 &amp; CA41 &amp; CB41 &amp; CC41 &amp; CD41 &amp; CE41 &amp; CF41 &amp; CH41 &amp; CI41 &amp; CG41 &amp; BF41 &amp; BG41 &amp; BB41 &amp; BC41</f>
        <v/>
      </c>
      <c r="BB41" s="381" t="str">
        <f t="shared" ref="BB41" si="42">IF(AND(D41&lt;&gt;0,AH41=""),"* No olvide escribir en la celda de 'Pueblos Originarios' (Digite CERO si no tiene). ",IF(AND(E41&lt;&gt;0,AI41=""),"* No olvide escribir en la celda de 'Pueblos Originarios' (Digite CERO si no tiene). ",""))</f>
        <v/>
      </c>
      <c r="BC41" s="381" t="str">
        <f t="shared" ref="BC41" si="43">IF(AND(D41&lt;&gt;0,AJ41=""),"* No olvide escribir en la celda de 'Población Migrantes' (Digite CERO si no tiene). ",IF(AND(E41&lt;&gt;0,AK41=""),"* No olvide escribir en la celda de 'Población Migrantes' (Digite CERO si no tiene). ",""))</f>
        <v/>
      </c>
      <c r="BD41" s="381" t="str">
        <f>IF($D41&gt;=$AH41,"","* Pueblos Originarios-Hombres no debe ser mayor al Total de personas Hombres. ")</f>
        <v/>
      </c>
      <c r="BE41" s="381" t="str">
        <f>IF($E41&gt;=$AI41,"","* Pueblos Originarios-Mujeres no debe ser mayor al Total de personas Mujeres. ")</f>
        <v/>
      </c>
      <c r="BF41" s="381" t="str">
        <f t="shared" si="25"/>
        <v/>
      </c>
      <c r="BG41" s="381" t="str">
        <f t="shared" si="26"/>
        <v/>
      </c>
      <c r="BH41" s="381" t="str">
        <f>IF($F41&lt;=$F$20+$F$21,"","* Pacientes 15 a 19 años (Hombres) con con antecedentes ECV con Estatina no debe ser mayor al Total Población con Antecedentes de IAM y ECV de Sección A. ")</f>
        <v/>
      </c>
      <c r="BI41" s="381" t="str">
        <f>IF($G41&lt;=$G$20+$G$21,"","* Pacientes 15 a 19 años (Mujeres) con con antecedentes ECV con Estatina no debe ser mayor al Total Población con Antecedentes de IAM y ECV de Sección A. ")</f>
        <v/>
      </c>
      <c r="BJ41" s="381" t="str">
        <f>IF($H41&lt;=$H$20+$H$21,"","* Pacientes 20 a 24 años (Hombres) con con antecedentes ECV con Estatina no debe ser mayor al Total Población con Antecedentes de IAM y ECV de Sección A. ")</f>
        <v/>
      </c>
      <c r="BK41" s="381" t="str">
        <f>IF($I41&lt;=$I$20+$I$21,"","* Pacientes 20 a 24 años (Mujeres) con con antecedentes ECV con Estatina no debe ser mayor al Total Población con Antecedentes de IAM y ECV de Sección A. ")</f>
        <v/>
      </c>
      <c r="BL41" s="381" t="str">
        <f>IF($J41&lt;=$J$20+$J$21,"","* Pacientes 25 a 29 años (Hombres) con con antecedentes ECV con Estatina no debe ser mayor al Total Población con Antecedentes de IAM y ECV de Sección A. ")</f>
        <v/>
      </c>
      <c r="BM41" s="381" t="str">
        <f>IF($K41&lt;=$K$20+$K$21,"","* Pacientes 25 a 29 años (Mujeres) con con antecedentes ECV con Estatina no debe ser mayor al Total Población con Antecedentes de IAM y ECV de Sección A. ")</f>
        <v/>
      </c>
      <c r="BN41" s="381" t="str">
        <f>IF($L41&lt;=$L$20+$L$21,"","* Pacientes 30 a 34 años (Hombres) con con antecedentes ECV con Estatina no debe ser mayor al Total Población con Antecedentes de IAM y ECV de Sección A. ")</f>
        <v/>
      </c>
      <c r="BO41" s="381" t="str">
        <f>IF($M41&lt;=$M$20+$M$21,"","* Pacientes 30 a 34 años (Mujeres) con con antecedentes ECV con Estatina no debe ser mayor al Total Población con Antecedentes de IAM y ECV de Sección A. ")</f>
        <v/>
      </c>
      <c r="BP41" s="381" t="str">
        <f>IF($N41&lt;=$N$20+$N$21,"","* Pacientes 35 a 39 años (Hombres) con con antecedentes ECV con Estatina no debe ser mayor al Total Población con Antecedentes de IAM y ECV de Sección A. ")</f>
        <v/>
      </c>
      <c r="BQ41" s="381" t="str">
        <f>IF($O41&lt;=$O$20+$O$21,"","* Pacientes 35 a 39 años (Mujeres) con con antecedentes ECV con Estatina no debe ser mayor al Total Población con Antecedentes de IAM y ECV de Sección A. ")</f>
        <v/>
      </c>
      <c r="BR41" s="381" t="str">
        <f>IF($P41&lt;=$P$20+$P$21,"","* Pacientes 40 a 44 años (Hombres) con con antecedentes ECV con Estatina no debe ser mayor al Total Población con Antecedentes de IAM y ECV de Sección A. ")</f>
        <v/>
      </c>
      <c r="BS41" s="381" t="str">
        <f>IF($Q41&lt;=$Q$20+$Q$21,"","* Pacientes 40 a 44 años (Mujeres) con con antecedentes ECV con Estatina no debe ser mayor al Total Población con Antecedentes de IAM y ECV de Sección A. ")</f>
        <v/>
      </c>
      <c r="BT41" s="381" t="str">
        <f>IF($R41&lt;=$R$20+$R$21,"","* Pacientes 45 a 49 años (Hombres) con con antecedentes ECV con Estatina no debe ser mayor al Total Población con Antecedentes de IAM y ECV de Sección A. ")</f>
        <v/>
      </c>
      <c r="BU41" s="381" t="str">
        <f>IF($S41&lt;=$S$20+$S$21,"","* Pacientes 45 a 49 años (Mujeres) con con antecedentes ECV con Estatina no debe ser mayor al Total Población con Antecedentes de IAM y ECV de Sección A. ")</f>
        <v/>
      </c>
      <c r="BV41" s="381" t="str">
        <f>IF($T41&lt;=$T$20+$T$21,"","* Pacientes 50 a 54 años (Hombres) con con antecedentes ECV con Estatina no debe ser mayor al Total Población con Antecedentes de IAM y ECV de Sección A. ")</f>
        <v/>
      </c>
      <c r="BW41" s="381" t="str">
        <f>IF($U41&lt;=$U$20+$U$21,"","* Pacientes 50 a 54 años (Mujeres) con con antecedentes ECV con Estatina no debe ser mayor al Total Población con Antecedentes de IAM y ECV de Sección A. ")</f>
        <v/>
      </c>
      <c r="BX41" s="381" t="str">
        <f>IF($V41&lt;=$V$20+$V$21,"","* Pacientes 55 a 59 años (Hombres) con con antecedentes ECV con Estatina no debe ser mayor al Total Población con Antecedentes de IAM y ECV de Sección A. ")</f>
        <v/>
      </c>
      <c r="BY41" s="381" t="str">
        <f>IF($W41&lt;=$W$20+$W$21,"","* Pacientes 55 a 59 años (Mujeres) con con antecedentes ECV con Estatina no debe ser mayor al Total Población con Antecedentes de IAM y ECV de Sección A. ")</f>
        <v/>
      </c>
      <c r="BZ41" s="381" t="str">
        <f>IF($X41&lt;=$X$20+$X$21,"","* Pacientes 60 a 64 años (Hombres) con con antecedentes ECV con Estatina no debe ser mayor al Total Población con Antecedentes de IAM y ECV de Sección A. ")</f>
        <v/>
      </c>
      <c r="CA41" s="381" t="str">
        <f>IF($Y41&lt;=$Y$20+$Y$21,"","* Pacientes 60 a 64 años (Mujeres) con con antecedentes ECV con Estatina no debe ser mayor al Total Población con Antecedentes de IAM y ECV de Sección A. ")</f>
        <v/>
      </c>
      <c r="CB41" s="381" t="str">
        <f>IF($Z41&lt;=$Z$20+$Z$21,"","* Pacientes 65 a 69 años (Hombres) con con antecedentes ECV con Estatina no debe ser mayor al Total Población con Antecedentes de IAM y ECV de Sección A. ")</f>
        <v/>
      </c>
      <c r="CC41" s="381" t="str">
        <f>IF($AA41&lt;=$AA$20+$AA$21,"","* Pacientes 65 a 69 años (Mujeres) con con antecedentes ECV con Estatina no debe ser mayor al Total Población con Antecedentes de IAM y ECV de Sección A. ")</f>
        <v/>
      </c>
      <c r="CD41" s="381" t="str">
        <f>IF($AB41&lt;=$AB$20+$AB$21,"","* Pacientes 70 a 74 años (Hombres) con con antecedentes ECV con Estatina no debe ser mayor al Total Población con Antecedentes de IAM y ECV de Sección A. ")</f>
        <v/>
      </c>
      <c r="CE41" s="381" t="str">
        <f>IF($AC41&lt;=$AC$20+$AC$21,"","* Pacientes 70 a 74 años (Mujeres) con con antecedentes ECV con Estatina no debe ser mayor al Total Población con Antecedentes de IAM y ECV de Sección A. ")</f>
        <v/>
      </c>
      <c r="CF41" s="381" t="str">
        <f>IF($AD41&lt;=$AD$20+$AD$21,"","* Pacientes 75 a 79 años (Hombres) con con antecedentes ECV con Estatina no debe ser mayor al Total Población con Antecedentes de IAM y ECV de Sección A. ")</f>
        <v/>
      </c>
      <c r="CG41" s="381" t="str">
        <f>IF($AE41&lt;=$AE$20+$AE$21,"","* Pacientes 75 a 79 años (Mujeres) con con antecedentes ECV con Estatina no debe ser mayor al Total Población con Antecedentes de IAM y ECV de Sección A. ")</f>
        <v/>
      </c>
      <c r="CH41" s="381" t="str">
        <f>IF($AF41&lt;=$AF$20+$AF$21,"","* Pacientes 80 y más años (Hombres) con con antecedentes ECV con Estatina no debe ser mayor al Total Población con Antecedentes de IAM y ECV de Sección A. ")</f>
        <v/>
      </c>
      <c r="CI41" s="381" t="str">
        <f>IF($AG41&lt;=$AG$20+$AG$21,"","* Pacientes 80 y más años (Mujeres) con con antecedentes ECV con Estatina no debe ser mayor al Total Población con Antecedentes de IAM y ECV de Sección A. ")</f>
        <v/>
      </c>
      <c r="CL41" s="391">
        <f t="shared" ref="CL41" si="44">IF(AND(D41&lt;&gt;0,AH41=""),1,IF(AND(E41&lt;&gt;0,AI41=""),1,0))</f>
        <v>0</v>
      </c>
      <c r="CM41" s="391">
        <f t="shared" ref="CM41" si="45">IF(AND(D41&lt;&gt;0,AJ41=""),1,IF(AND(E41&lt;&gt;0,AK41=""),1,0))</f>
        <v>0</v>
      </c>
      <c r="CN41" s="391">
        <f>IF($D$42&gt;=$AH$42,0,1)</f>
        <v>0</v>
      </c>
      <c r="CO41" s="391">
        <f>IF($E$42&gt;=$AI$42,0,1)</f>
        <v>0</v>
      </c>
      <c r="CP41" s="391">
        <f t="shared" si="27"/>
        <v>0</v>
      </c>
      <c r="CQ41" s="391">
        <f>IF($E41&gt;=$AJ41,0,1)</f>
        <v>0</v>
      </c>
      <c r="CR41" s="391">
        <f t="shared" si="36"/>
        <v>0</v>
      </c>
      <c r="CS41" s="391">
        <f t="shared" si="36"/>
        <v>0</v>
      </c>
      <c r="CT41" s="391">
        <f t="shared" si="36"/>
        <v>0</v>
      </c>
      <c r="CU41" s="391">
        <f t="shared" si="36"/>
        <v>0</v>
      </c>
      <c r="CV41" s="391">
        <f t="shared" si="36"/>
        <v>0</v>
      </c>
      <c r="CW41" s="391">
        <f t="shared" si="36"/>
        <v>0</v>
      </c>
      <c r="CX41" s="391">
        <f t="shared" si="36"/>
        <v>0</v>
      </c>
      <c r="CY41" s="391">
        <f t="shared" si="36"/>
        <v>0</v>
      </c>
      <c r="CZ41" s="391">
        <f t="shared" si="36"/>
        <v>0</v>
      </c>
      <c r="DA41" s="391">
        <f t="shared" si="36"/>
        <v>0</v>
      </c>
      <c r="DB41" s="391">
        <f t="shared" si="37"/>
        <v>0</v>
      </c>
      <c r="DC41" s="391">
        <f t="shared" si="37"/>
        <v>0</v>
      </c>
      <c r="DD41" s="391">
        <f t="shared" si="37"/>
        <v>0</v>
      </c>
      <c r="DE41" s="391">
        <f t="shared" si="37"/>
        <v>0</v>
      </c>
      <c r="DF41" s="391">
        <f t="shared" si="37"/>
        <v>0</v>
      </c>
      <c r="DG41" s="391">
        <f t="shared" si="37"/>
        <v>0</v>
      </c>
      <c r="DH41" s="391">
        <f t="shared" si="37"/>
        <v>0</v>
      </c>
      <c r="DI41" s="391">
        <f t="shared" si="37"/>
        <v>0</v>
      </c>
      <c r="DJ41" s="391">
        <f t="shared" si="37"/>
        <v>0</v>
      </c>
      <c r="DK41" s="391">
        <f t="shared" si="37"/>
        <v>0</v>
      </c>
      <c r="DL41" s="391">
        <f t="shared" si="38"/>
        <v>0</v>
      </c>
      <c r="DM41" s="391">
        <f t="shared" si="38"/>
        <v>0</v>
      </c>
      <c r="DN41" s="391">
        <f t="shared" si="38"/>
        <v>0</v>
      </c>
      <c r="DO41" s="391">
        <f t="shared" si="38"/>
        <v>0</v>
      </c>
      <c r="DP41" s="391">
        <f t="shared" si="38"/>
        <v>0</v>
      </c>
      <c r="DQ41" s="391">
        <f t="shared" si="38"/>
        <v>0</v>
      </c>
      <c r="DR41" s="391">
        <f t="shared" si="38"/>
        <v>0</v>
      </c>
      <c r="DS41" s="391">
        <f t="shared" si="38"/>
        <v>0</v>
      </c>
    </row>
    <row r="42" spans="1:123" ht="23.25" customHeight="1" x14ac:dyDescent="0.15">
      <c r="A42" s="2107"/>
      <c r="B42" s="1285" t="s">
        <v>668</v>
      </c>
      <c r="C42" s="719">
        <f>SUM(D42:E42)</f>
        <v>0</v>
      </c>
      <c r="D42" s="720">
        <f>+F42+H42+J42+L42+N42+P42+R42+T42+V42+X42+Z42+AB42+AD42+AF42</f>
        <v>0</v>
      </c>
      <c r="E42" s="805">
        <f>+G42+I42+K42+M42+O42+Q42+S42+U42+W42+Y42+AA42+AC42+AE42+AG42</f>
        <v>0</v>
      </c>
      <c r="F42" s="740"/>
      <c r="G42" s="741"/>
      <c r="H42" s="740"/>
      <c r="I42" s="741"/>
      <c r="J42" s="740"/>
      <c r="K42" s="741"/>
      <c r="L42" s="740"/>
      <c r="M42" s="741"/>
      <c r="N42" s="740"/>
      <c r="O42" s="741"/>
      <c r="P42" s="740"/>
      <c r="Q42" s="741"/>
      <c r="R42" s="740"/>
      <c r="S42" s="741"/>
      <c r="T42" s="740"/>
      <c r="U42" s="741"/>
      <c r="V42" s="740"/>
      <c r="W42" s="741"/>
      <c r="X42" s="740"/>
      <c r="Y42" s="741"/>
      <c r="Z42" s="740"/>
      <c r="AA42" s="741"/>
      <c r="AB42" s="740"/>
      <c r="AC42" s="741"/>
      <c r="AD42" s="740"/>
      <c r="AE42" s="741"/>
      <c r="AF42" s="812"/>
      <c r="AG42" s="818"/>
      <c r="AH42" s="754"/>
      <c r="AI42" s="741"/>
      <c r="AJ42" s="812"/>
      <c r="AK42" s="741"/>
      <c r="AL42" s="1681" t="str">
        <f xml:space="preserve"> BD42 &amp; BE42 &amp; BH42 &amp; BI42 &amp; BJ42 &amp; BK42 &amp; BL42 &amp; BM42 &amp; BN42 &amp; BO42 &amp; BP42 &amp; BQ42 &amp; BR42 &amp; BS42 &amp; BT42 &amp; BU42 &amp; BV42 &amp; BW42 &amp; BX42 &amp; BY42 &amp; BZ42 &amp; CA42 &amp; CB42 &amp; CC42 &amp; CD42 &amp; CE42 &amp; CF42 &amp; CH42 &amp; CI42 &amp; CG42 &amp; BG42 &amp; BF42 &amp; BB42 &amp; BC42</f>
        <v/>
      </c>
      <c r="BB42" s="381" t="str">
        <f t="shared" si="23"/>
        <v/>
      </c>
      <c r="BC42" s="381" t="str">
        <f t="shared" si="24"/>
        <v/>
      </c>
      <c r="BD42" s="381" t="str">
        <f>IF($D$42&gt;=$AH$42,"","* Pueblos Originarios-Hombres no debe ser mayor al Total de personas Hombres. ")</f>
        <v/>
      </c>
      <c r="BE42" s="381" t="str">
        <f>IF($E$42&gt;=$AI$42,"","* Pueblos Originarios-Mujeres no debe ser mayor al Total de personas Mujeres. ")</f>
        <v/>
      </c>
      <c r="BF42" s="381" t="str">
        <f t="shared" si="25"/>
        <v/>
      </c>
      <c r="BG42" s="381" t="str">
        <f t="shared" si="26"/>
        <v/>
      </c>
      <c r="CL42" s="391">
        <f t="shared" si="30"/>
        <v>0</v>
      </c>
      <c r="CM42" s="391">
        <f t="shared" si="31"/>
        <v>0</v>
      </c>
      <c r="CN42" s="391">
        <f>IF($D$42&gt;=$AH$42,0,1)</f>
        <v>0</v>
      </c>
      <c r="CO42" s="391">
        <f>IF($E$42&gt;=$AI$42,0,1)</f>
        <v>0</v>
      </c>
      <c r="CP42" s="391">
        <f t="shared" si="27"/>
        <v>0</v>
      </c>
      <c r="CQ42" s="391">
        <f>IF($E42&gt;=$AJ42,0,1)</f>
        <v>0</v>
      </c>
      <c r="CR42" s="385"/>
      <c r="CS42" s="385"/>
      <c r="CT42" s="385"/>
      <c r="CU42" s="385"/>
      <c r="CV42" s="385"/>
      <c r="CW42" s="385"/>
      <c r="CX42" s="385"/>
      <c r="CY42" s="385"/>
      <c r="CZ42" s="385"/>
      <c r="DA42" s="385"/>
      <c r="DB42" s="385"/>
      <c r="DC42" s="385"/>
      <c r="DD42" s="385"/>
      <c r="DE42" s="385"/>
      <c r="DF42" s="385"/>
      <c r="DG42" s="385"/>
      <c r="DH42" s="385"/>
      <c r="DI42" s="385"/>
      <c r="DJ42" s="385"/>
      <c r="DK42" s="385"/>
      <c r="DL42" s="385"/>
      <c r="DM42" s="385"/>
      <c r="DN42" s="385"/>
      <c r="DO42" s="385"/>
      <c r="DP42" s="385"/>
      <c r="DQ42" s="385"/>
      <c r="DR42" s="385"/>
      <c r="DS42" s="385"/>
    </row>
    <row r="43" spans="1:123" ht="25.15" customHeight="1" x14ac:dyDescent="0.2">
      <c r="A43" s="1062" t="s">
        <v>170</v>
      </c>
      <c r="B43" s="1063"/>
      <c r="C43" s="1562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AK43" s="1600"/>
      <c r="CL43" s="385"/>
      <c r="CM43" s="385"/>
      <c r="CN43" s="385"/>
      <c r="CO43" s="385"/>
      <c r="CP43" s="385"/>
      <c r="CQ43" s="385"/>
      <c r="CR43" s="385"/>
      <c r="CS43" s="385"/>
      <c r="CT43" s="385"/>
      <c r="CU43" s="385"/>
      <c r="CV43" s="385"/>
      <c r="CW43" s="385"/>
      <c r="CX43" s="385"/>
      <c r="CY43" s="385"/>
      <c r="CZ43" s="385"/>
      <c r="DA43" s="385"/>
      <c r="DB43" s="385"/>
      <c r="DC43" s="385"/>
      <c r="DD43" s="385"/>
      <c r="DE43" s="385"/>
      <c r="DF43" s="385"/>
      <c r="DG43" s="385"/>
      <c r="DH43" s="385"/>
      <c r="DI43" s="385"/>
      <c r="DJ43" s="385"/>
      <c r="DK43" s="385"/>
      <c r="DL43" s="385"/>
      <c r="DM43" s="385"/>
      <c r="DN43" s="385"/>
      <c r="DO43" s="385"/>
      <c r="DP43" s="385"/>
      <c r="DQ43" s="385"/>
      <c r="DR43" s="385"/>
      <c r="DS43" s="385"/>
    </row>
    <row r="44" spans="1:123" ht="20.25" customHeight="1" x14ac:dyDescent="0.15">
      <c r="A44" s="2058" t="s">
        <v>171</v>
      </c>
      <c r="B44" s="2059"/>
      <c r="C44" s="2076" t="s">
        <v>196</v>
      </c>
      <c r="D44" s="2077"/>
      <c r="E44" s="2078"/>
      <c r="F44" s="1965" t="s">
        <v>126</v>
      </c>
      <c r="G44" s="2082"/>
      <c r="H44" s="2082"/>
      <c r="I44" s="2082"/>
      <c r="J44" s="2082"/>
      <c r="K44" s="2082"/>
      <c r="L44" s="2082"/>
      <c r="M44" s="2082"/>
      <c r="N44" s="2082"/>
      <c r="O44" s="2082"/>
      <c r="P44" s="2082"/>
      <c r="Q44" s="2082"/>
      <c r="R44" s="2082"/>
      <c r="S44" s="2082"/>
      <c r="T44" s="2082"/>
      <c r="U44" s="2082"/>
      <c r="V44" s="2082"/>
      <c r="W44" s="2082"/>
      <c r="X44" s="2082"/>
      <c r="Y44" s="2082"/>
      <c r="Z44" s="2082"/>
      <c r="AA44" s="2082"/>
      <c r="AB44" s="2082"/>
      <c r="AC44" s="2082"/>
      <c r="AD44" s="2082"/>
      <c r="AE44" s="2082"/>
      <c r="AF44" s="2082"/>
      <c r="AG44" s="2083"/>
      <c r="AH44" s="1794" t="s">
        <v>15</v>
      </c>
      <c r="AI44" s="1797"/>
      <c r="AJ44" s="1796" t="s">
        <v>814</v>
      </c>
      <c r="AK44" s="1797"/>
      <c r="BD44" s="2112" t="s">
        <v>15</v>
      </c>
      <c r="BE44" s="2112"/>
      <c r="BF44" s="2112" t="s">
        <v>465</v>
      </c>
      <c r="BG44" s="2112"/>
      <c r="BJ44" s="2112" t="s">
        <v>15</v>
      </c>
      <c r="BK44" s="2112" t="s">
        <v>465</v>
      </c>
      <c r="CL44" s="385"/>
      <c r="CM44" s="385"/>
      <c r="CN44" s="2112" t="s">
        <v>15</v>
      </c>
      <c r="CO44" s="2112"/>
      <c r="CP44" s="2112" t="s">
        <v>465</v>
      </c>
      <c r="CQ44" s="2112"/>
      <c r="CR44" s="385"/>
      <c r="CS44" s="385"/>
      <c r="CT44" s="385"/>
      <c r="CU44" s="385"/>
      <c r="CV44" s="2112" t="s">
        <v>15</v>
      </c>
      <c r="CW44" s="2112" t="s">
        <v>465</v>
      </c>
      <c r="CX44" s="385"/>
      <c r="CY44" s="385"/>
      <c r="CZ44" s="385"/>
      <c r="DA44" s="385"/>
      <c r="DB44" s="385"/>
      <c r="DC44" s="385"/>
      <c r="DD44" s="385"/>
      <c r="DE44" s="385"/>
      <c r="DF44" s="385"/>
      <c r="DG44" s="385"/>
      <c r="DH44" s="385"/>
      <c r="DI44" s="385"/>
      <c r="DJ44" s="385"/>
      <c r="DK44" s="385"/>
      <c r="DL44" s="385"/>
      <c r="DM44" s="385"/>
      <c r="DN44" s="385"/>
      <c r="DO44" s="385"/>
      <c r="DP44" s="385"/>
      <c r="DQ44" s="385"/>
      <c r="DR44" s="385"/>
      <c r="DS44" s="385"/>
    </row>
    <row r="45" spans="1:123" ht="18.75" customHeight="1" x14ac:dyDescent="0.15">
      <c r="A45" s="2060"/>
      <c r="B45" s="2061"/>
      <c r="C45" s="2079"/>
      <c r="D45" s="2080"/>
      <c r="E45" s="2081"/>
      <c r="F45" s="2089" t="s">
        <v>17</v>
      </c>
      <c r="G45" s="2090"/>
      <c r="H45" s="2074" t="s">
        <v>18</v>
      </c>
      <c r="I45" s="2075"/>
      <c r="J45" s="1967" t="s">
        <v>19</v>
      </c>
      <c r="K45" s="1967"/>
      <c r="L45" s="1968" t="s">
        <v>20</v>
      </c>
      <c r="M45" s="2073"/>
      <c r="N45" s="1967" t="s">
        <v>21</v>
      </c>
      <c r="O45" s="1967"/>
      <c r="P45" s="1968" t="s">
        <v>22</v>
      </c>
      <c r="Q45" s="2073"/>
      <c r="R45" s="1967" t="s">
        <v>23</v>
      </c>
      <c r="S45" s="1967"/>
      <c r="T45" s="1968" t="s">
        <v>24</v>
      </c>
      <c r="U45" s="2073"/>
      <c r="V45" s="1967" t="s">
        <v>208</v>
      </c>
      <c r="W45" s="1967"/>
      <c r="X45" s="1968" t="s">
        <v>209</v>
      </c>
      <c r="Y45" s="2073"/>
      <c r="Z45" s="1970" t="s">
        <v>181</v>
      </c>
      <c r="AA45" s="2049"/>
      <c r="AB45" s="1970" t="s">
        <v>182</v>
      </c>
      <c r="AC45" s="2049"/>
      <c r="AD45" s="1970" t="s">
        <v>183</v>
      </c>
      <c r="AE45" s="2049"/>
      <c r="AF45" s="1970" t="s">
        <v>195</v>
      </c>
      <c r="AG45" s="2049"/>
      <c r="AH45" s="1795"/>
      <c r="AI45" s="1799"/>
      <c r="AJ45" s="1798"/>
      <c r="AK45" s="1799"/>
      <c r="BD45" s="2112"/>
      <c r="BE45" s="2112"/>
      <c r="BF45" s="2112"/>
      <c r="BG45" s="2112"/>
      <c r="BJ45" s="2112"/>
      <c r="BK45" s="2112"/>
      <c r="CL45" s="385"/>
      <c r="CM45" s="385"/>
      <c r="CN45" s="2112"/>
      <c r="CO45" s="2112"/>
      <c r="CP45" s="2112"/>
      <c r="CQ45" s="2112"/>
      <c r="CR45" s="385"/>
      <c r="CS45" s="385"/>
      <c r="CT45" s="385"/>
      <c r="CU45" s="385"/>
      <c r="CV45" s="2112"/>
      <c r="CW45" s="2112"/>
      <c r="CX45" s="385"/>
      <c r="CY45" s="385"/>
      <c r="CZ45" s="385"/>
      <c r="DA45" s="385"/>
      <c r="DB45" s="385"/>
      <c r="DC45" s="385"/>
      <c r="DD45" s="385"/>
      <c r="DE45" s="385"/>
      <c r="DF45" s="385"/>
      <c r="DG45" s="385"/>
      <c r="DH45" s="385"/>
      <c r="DI45" s="385"/>
      <c r="DJ45" s="385"/>
      <c r="DK45" s="385"/>
      <c r="DL45" s="385"/>
      <c r="DM45" s="385"/>
      <c r="DN45" s="385"/>
      <c r="DO45" s="385"/>
      <c r="DP45" s="385"/>
      <c r="DQ45" s="385"/>
      <c r="DR45" s="385"/>
      <c r="DS45" s="385"/>
    </row>
    <row r="46" spans="1:123" ht="32.25" customHeight="1" x14ac:dyDescent="0.15">
      <c r="A46" s="2062"/>
      <c r="B46" s="2063"/>
      <c r="C46" s="130" t="s">
        <v>93</v>
      </c>
      <c r="D46" s="1571" t="s">
        <v>31</v>
      </c>
      <c r="E46" s="1578" t="s">
        <v>94</v>
      </c>
      <c r="F46" s="150" t="s">
        <v>31</v>
      </c>
      <c r="G46" s="1578" t="s">
        <v>94</v>
      </c>
      <c r="H46" s="150" t="s">
        <v>31</v>
      </c>
      <c r="I46" s="1578" t="s">
        <v>94</v>
      </c>
      <c r="J46" s="150" t="s">
        <v>31</v>
      </c>
      <c r="K46" s="1578" t="s">
        <v>94</v>
      </c>
      <c r="L46" s="150" t="s">
        <v>31</v>
      </c>
      <c r="M46" s="1578" t="s">
        <v>94</v>
      </c>
      <c r="N46" s="150" t="s">
        <v>31</v>
      </c>
      <c r="O46" s="1578" t="s">
        <v>94</v>
      </c>
      <c r="P46" s="150" t="s">
        <v>31</v>
      </c>
      <c r="Q46" s="1578" t="s">
        <v>94</v>
      </c>
      <c r="R46" s="150" t="s">
        <v>31</v>
      </c>
      <c r="S46" s="1578" t="s">
        <v>94</v>
      </c>
      <c r="T46" s="150" t="s">
        <v>31</v>
      </c>
      <c r="U46" s="1578" t="s">
        <v>94</v>
      </c>
      <c r="V46" s="150" t="s">
        <v>31</v>
      </c>
      <c r="W46" s="1578" t="s">
        <v>94</v>
      </c>
      <c r="X46" s="150" t="s">
        <v>31</v>
      </c>
      <c r="Y46" s="1578" t="s">
        <v>94</v>
      </c>
      <c r="Z46" s="150" t="s">
        <v>129</v>
      </c>
      <c r="AA46" s="1578" t="s">
        <v>94</v>
      </c>
      <c r="AB46" s="150" t="s">
        <v>129</v>
      </c>
      <c r="AC46" s="1578" t="s">
        <v>94</v>
      </c>
      <c r="AD46" s="150" t="s">
        <v>129</v>
      </c>
      <c r="AE46" s="1578" t="s">
        <v>94</v>
      </c>
      <c r="AF46" s="136" t="s">
        <v>129</v>
      </c>
      <c r="AG46" s="1569" t="s">
        <v>94</v>
      </c>
      <c r="AH46" s="1572" t="s">
        <v>31</v>
      </c>
      <c r="AI46" s="1570" t="s">
        <v>94</v>
      </c>
      <c r="AJ46" s="1563" t="s">
        <v>31</v>
      </c>
      <c r="AK46" s="1570" t="s">
        <v>94</v>
      </c>
      <c r="BD46" s="976" t="s">
        <v>31</v>
      </c>
      <c r="BE46" s="976" t="s">
        <v>94</v>
      </c>
      <c r="BF46" s="976" t="s">
        <v>31</v>
      </c>
      <c r="BG46" s="976" t="s">
        <v>94</v>
      </c>
      <c r="BJ46" s="974" t="s">
        <v>543</v>
      </c>
      <c r="BK46" s="974" t="s">
        <v>543</v>
      </c>
      <c r="CL46" s="385"/>
      <c r="CM46" s="385"/>
      <c r="CN46" s="976" t="s">
        <v>31</v>
      </c>
      <c r="CO46" s="976" t="s">
        <v>94</v>
      </c>
      <c r="CP46" s="976" t="s">
        <v>31</v>
      </c>
      <c r="CQ46" s="976" t="s">
        <v>94</v>
      </c>
      <c r="CR46" s="385"/>
      <c r="CS46" s="385"/>
      <c r="CT46" s="385"/>
      <c r="CU46" s="385"/>
      <c r="CV46" s="974" t="s">
        <v>543</v>
      </c>
      <c r="CW46" s="974" t="s">
        <v>543</v>
      </c>
      <c r="CX46" s="385"/>
      <c r="CY46" s="385"/>
      <c r="CZ46" s="385"/>
      <c r="DA46" s="385"/>
      <c r="DB46" s="385"/>
      <c r="DC46" s="385"/>
      <c r="DD46" s="385"/>
      <c r="DE46" s="385"/>
      <c r="DF46" s="385"/>
      <c r="DG46" s="385"/>
      <c r="DH46" s="385"/>
      <c r="DI46" s="385"/>
      <c r="DJ46" s="385"/>
      <c r="DK46" s="385"/>
      <c r="DL46" s="385"/>
      <c r="DM46" s="385"/>
      <c r="DN46" s="385"/>
      <c r="DO46" s="385"/>
      <c r="DP46" s="385"/>
      <c r="DQ46" s="385"/>
      <c r="DR46" s="385"/>
      <c r="DS46" s="385"/>
    </row>
    <row r="47" spans="1:123" ht="20.25" customHeight="1" x14ac:dyDescent="0.15">
      <c r="A47" s="1245" t="s">
        <v>619</v>
      </c>
      <c r="B47" s="1433"/>
      <c r="C47" s="2093"/>
      <c r="D47" s="2094"/>
      <c r="E47" s="2094"/>
      <c r="F47" s="2094"/>
      <c r="G47" s="2094"/>
      <c r="H47" s="2094"/>
      <c r="I47" s="2094"/>
      <c r="J47" s="2094"/>
      <c r="K47" s="2094"/>
      <c r="L47" s="2094"/>
      <c r="M47" s="2094"/>
      <c r="N47" s="2094"/>
      <c r="O47" s="2094"/>
      <c r="P47" s="2094"/>
      <c r="Q47" s="2094"/>
      <c r="R47" s="2094"/>
      <c r="S47" s="2094"/>
      <c r="T47" s="2094"/>
      <c r="U47" s="2094"/>
      <c r="V47" s="2094"/>
      <c r="W47" s="2094"/>
      <c r="X47" s="2094"/>
      <c r="Y47" s="2094"/>
      <c r="Z47" s="2094"/>
      <c r="AA47" s="2094"/>
      <c r="AB47" s="2094"/>
      <c r="AC47" s="2094"/>
      <c r="AD47" s="2094"/>
      <c r="AE47" s="2094"/>
      <c r="AF47" s="2094"/>
      <c r="AG47" s="2094"/>
      <c r="AH47" s="2094"/>
      <c r="AI47" s="2094"/>
      <c r="AJ47" s="2094"/>
      <c r="AK47" s="2095"/>
      <c r="CL47" s="385"/>
      <c r="CM47" s="385"/>
      <c r="CN47" s="385"/>
      <c r="CO47" s="385"/>
      <c r="CP47" s="385"/>
      <c r="CQ47" s="385"/>
      <c r="CR47" s="385"/>
      <c r="CS47" s="385"/>
      <c r="CT47" s="385"/>
      <c r="CU47" s="385"/>
      <c r="CV47" s="385"/>
      <c r="CW47" s="385"/>
      <c r="CX47" s="385"/>
      <c r="CY47" s="385"/>
      <c r="CZ47" s="385"/>
      <c r="DA47" s="385"/>
      <c r="DB47" s="385"/>
      <c r="DC47" s="385"/>
      <c r="DD47" s="385"/>
      <c r="DE47" s="385"/>
      <c r="DF47" s="385"/>
      <c r="DG47" s="385"/>
      <c r="DH47" s="385"/>
      <c r="DI47" s="385"/>
      <c r="DJ47" s="385"/>
      <c r="DK47" s="385"/>
      <c r="DL47" s="385"/>
      <c r="DM47" s="385"/>
      <c r="DN47" s="385"/>
      <c r="DO47" s="385"/>
      <c r="DP47" s="385"/>
      <c r="DQ47" s="385"/>
      <c r="DR47" s="385"/>
      <c r="DS47" s="385"/>
    </row>
    <row r="48" spans="1:123" ht="18.75" customHeight="1" x14ac:dyDescent="0.15">
      <c r="A48" s="2070" t="s">
        <v>314</v>
      </c>
      <c r="B48" s="2071"/>
      <c r="C48" s="714">
        <f>SUM(D48:E48)</f>
        <v>0</v>
      </c>
      <c r="D48" s="715">
        <f>+F48+H48+J48+L48+N48+P48+R48+T48+V48+X48+Z48+AB48+AD48+AF48</f>
        <v>0</v>
      </c>
      <c r="E48" s="1573">
        <f>+G48+I48+K48+M48+O48+Q48+S48+U48+W48+Y48+AA48+AC48+AE48+AG48</f>
        <v>0</v>
      </c>
      <c r="F48" s="755"/>
      <c r="G48" s="756"/>
      <c r="H48" s="755"/>
      <c r="I48" s="756"/>
      <c r="J48" s="755"/>
      <c r="K48" s="756"/>
      <c r="L48" s="755"/>
      <c r="M48" s="756"/>
      <c r="N48" s="755"/>
      <c r="O48" s="756"/>
      <c r="P48" s="755"/>
      <c r="Q48" s="756"/>
      <c r="R48" s="755"/>
      <c r="S48" s="756"/>
      <c r="T48" s="755"/>
      <c r="U48" s="756"/>
      <c r="V48" s="755"/>
      <c r="W48" s="756"/>
      <c r="X48" s="755"/>
      <c r="Y48" s="756"/>
      <c r="Z48" s="755"/>
      <c r="AA48" s="756"/>
      <c r="AB48" s="755"/>
      <c r="AC48" s="756"/>
      <c r="AD48" s="755"/>
      <c r="AE48" s="756"/>
      <c r="AF48" s="816"/>
      <c r="AG48" s="743"/>
      <c r="AH48" s="816"/>
      <c r="AI48" s="756"/>
      <c r="AJ48" s="816"/>
      <c r="AK48" s="756"/>
      <c r="AL48" s="376" t="str">
        <f>BD48&amp;BE48&amp;BF48&amp;BG48&amp;BJ48&amp;BK48</f>
        <v/>
      </c>
      <c r="BD48" s="381" t="str">
        <f>IF($D48&gt;=$AH48,"",CONCATENATE("* Pueblos Originarios-Hombres no debe ser mayor al Total de personas ",A48,"."))</f>
        <v/>
      </c>
      <c r="BE48" s="381" t="str">
        <f>IF($E48&gt;=$AI48,"",CONCATENATE("* Pueblos Originarios-Mujeres no debe ser mayor al Total de personas ",A48,"."))</f>
        <v/>
      </c>
      <c r="BF48" s="381" t="str">
        <f>IF($D48&gt;=$AJ48,"",CONCATENATE("* Población Migrante-Hombres no debe ser mayor al Total de personas ",A48,"."))</f>
        <v/>
      </c>
      <c r="BG48" s="381" t="str">
        <f>IF($E48&gt;=$AK48,"",CONCATENATE("* Población Migrante - Mujeres no debe ser mayor al Total de personas ",A48,"."))</f>
        <v/>
      </c>
      <c r="BJ48" s="381" t="str">
        <f t="shared" ref="BJ48" si="46">IF(AND(D48&lt;&gt;0,AH48=""),"* No olvide escribir en la celda de 'Pueblos Originarios' (Digite CERO si no tiene). ",IF(AND(E48&lt;&gt;0,AI48=""),"* No olvide escribir en la celda de 'Pueblos Originarios' (Digite CERO si no tiene). ",""))</f>
        <v/>
      </c>
      <c r="BK48" s="381" t="str">
        <f t="shared" ref="BK48" si="47">IF(AND(D48&lt;&gt;0,AJ48=""),"* No olvide escribir en la celda de 'Población Migrantes' (Digite CERO si no tiene). ",IF(AND(E48&lt;&gt;0,AK48=""),"* No olvide escribir en la celda de 'Población Migrantes' (Digite CERO si no tiene). ",""))</f>
        <v/>
      </c>
      <c r="CL48" s="385"/>
      <c r="CM48" s="385"/>
      <c r="CN48" s="391">
        <f>IF($D48&gt;=$AH48,0,1)</f>
        <v>0</v>
      </c>
      <c r="CO48" s="391">
        <f>IF($E48&gt;=$AI48,0,1)</f>
        <v>0</v>
      </c>
      <c r="CP48" s="391">
        <f>IF($D48&gt;=$AJ48,0,1)</f>
        <v>0</v>
      </c>
      <c r="CQ48" s="391">
        <f>IF($E48&gt;=$AK48,0,1)</f>
        <v>0</v>
      </c>
      <c r="CR48" s="385"/>
      <c r="CS48" s="385"/>
      <c r="CT48" s="385"/>
      <c r="CU48" s="385"/>
      <c r="CV48" s="391">
        <f>IF(AND(D51&lt;&gt;0,AH51=""),1,IF(AND(E51&lt;&gt;0,AI51=""),1,0))</f>
        <v>0</v>
      </c>
      <c r="CW48" s="391">
        <f>IF(AND(D51&lt;&gt;0,AJ51=""),1,IF(AND(E51&lt;&gt;0,AK51=""),1,0))</f>
        <v>0</v>
      </c>
      <c r="CX48" s="385"/>
      <c r="CY48" s="385"/>
      <c r="CZ48" s="385"/>
      <c r="DA48" s="385"/>
      <c r="DB48" s="385"/>
      <c r="DC48" s="385"/>
      <c r="DD48" s="385"/>
      <c r="DE48" s="385"/>
      <c r="DF48" s="385"/>
      <c r="DG48" s="385"/>
      <c r="DH48" s="385"/>
      <c r="DI48" s="385"/>
      <c r="DJ48" s="385"/>
      <c r="DK48" s="385"/>
      <c r="DL48" s="385"/>
      <c r="DM48" s="385"/>
      <c r="DN48" s="385"/>
      <c r="DO48" s="385"/>
      <c r="DP48" s="385"/>
      <c r="DQ48" s="385"/>
      <c r="DR48" s="385"/>
      <c r="DS48" s="385"/>
    </row>
    <row r="49" spans="1:123" ht="18.75" customHeight="1" x14ac:dyDescent="0.15">
      <c r="A49" s="2050" t="s">
        <v>663</v>
      </c>
      <c r="B49" s="2051"/>
      <c r="C49" s="716">
        <f t="shared" ref="C49:C73" si="48">SUM(D49:E49)</f>
        <v>0</v>
      </c>
      <c r="D49" s="717">
        <f t="shared" ref="D49:D73" si="49">+F49+H49+J49+L49+N49+P49+R49+T49+V49+X49+Z49+AB49+AD49+AF49</f>
        <v>0</v>
      </c>
      <c r="E49" s="791">
        <f t="shared" ref="E49:E73" si="50">+G49+I49+K49+M49+O49+Q49+S49+U49+W49+Y49+AA49+AC49+AE49+AG49</f>
        <v>0</v>
      </c>
      <c r="F49" s="735"/>
      <c r="G49" s="736"/>
      <c r="H49" s="735"/>
      <c r="I49" s="736"/>
      <c r="J49" s="735"/>
      <c r="K49" s="736"/>
      <c r="L49" s="735"/>
      <c r="M49" s="736"/>
      <c r="N49" s="735"/>
      <c r="O49" s="736"/>
      <c r="P49" s="735"/>
      <c r="Q49" s="736"/>
      <c r="R49" s="735"/>
      <c r="S49" s="736"/>
      <c r="T49" s="735"/>
      <c r="U49" s="736"/>
      <c r="V49" s="735"/>
      <c r="W49" s="736"/>
      <c r="X49" s="735"/>
      <c r="Y49" s="736"/>
      <c r="Z49" s="735"/>
      <c r="AA49" s="736"/>
      <c r="AB49" s="735"/>
      <c r="AC49" s="736"/>
      <c r="AD49" s="735"/>
      <c r="AE49" s="736"/>
      <c r="AF49" s="813"/>
      <c r="AG49" s="744"/>
      <c r="AH49" s="816"/>
      <c r="AI49" s="756"/>
      <c r="AJ49" s="816"/>
      <c r="AK49" s="756"/>
      <c r="AL49" s="376" t="str">
        <f t="shared" ref="AL49:AL86" si="51">BD49&amp;BE49&amp;BF49&amp;BG49&amp;BJ49&amp;BK49</f>
        <v/>
      </c>
      <c r="BD49" s="381" t="str">
        <f t="shared" ref="BD49:BD74" si="52">IF($D49&gt;=$AH49,"",CONCATENATE("* Pueblos Originarios-Hombres no debe ser mayor al Total de personas ",A49,"."))</f>
        <v/>
      </c>
      <c r="BE49" s="381" t="str">
        <f t="shared" ref="BE49:BE74" si="53">IF($E49&gt;=$AI49,"",CONCATENATE("* Pueblos Originarios-Mujeres no debe ser mayor al Total de personas ",A49,"."))</f>
        <v/>
      </c>
      <c r="BF49" s="381" t="str">
        <f t="shared" ref="BF49:BF74" si="54">IF($D49&gt;=$AJ49,"",CONCATENATE("* Población Migrante-Hombres no debe ser mayor al Total de personas ",A49,"."))</f>
        <v/>
      </c>
      <c r="BG49" s="381" t="str">
        <f t="shared" ref="BG49:BG74" si="55">IF($E49&gt;=$AK49,"",CONCATENATE("* Población Migrante - Mujeres no debe ser mayor al Total de personas ",A49,"."))</f>
        <v/>
      </c>
      <c r="BJ49" s="381" t="str">
        <f t="shared" ref="BJ49:BJ74" si="56">IF(AND(D49&lt;&gt;0,AH49=""),"* No olvide escribir en la celda de 'Pueblos Originarios' (Digite CERO si no tiene). ",IF(AND(E49&lt;&gt;0,AI49=""),"* No olvide escribir en la celda de 'Pueblos Originarios' (Digite CERO si no tiene). ",""))</f>
        <v/>
      </c>
      <c r="BK49" s="381" t="str">
        <f t="shared" ref="BK49:BK74" si="57">IF(AND(D49&lt;&gt;0,AJ49=""),"* No olvide escribir en la celda de 'Población Migrantes' (Digite CERO si no tiene). ",IF(AND(E49&lt;&gt;0,AK49=""),"* No olvide escribir en la celda de 'Población Migrantes' (Digite CERO si no tiene). ",""))</f>
        <v/>
      </c>
      <c r="CL49" s="385"/>
      <c r="CM49" s="385"/>
      <c r="CN49" s="391">
        <f t="shared" ref="CN49:CN74" si="58">IF($D49&gt;=$AH49,0,1)</f>
        <v>0</v>
      </c>
      <c r="CO49" s="391">
        <f t="shared" ref="CO49:CO74" si="59">IF($E49&gt;=$AI49,0,1)</f>
        <v>0</v>
      </c>
      <c r="CP49" s="391">
        <f t="shared" ref="CP49:CP74" si="60">IF($D49&gt;=$AJ49,0,1)</f>
        <v>0</v>
      </c>
      <c r="CQ49" s="391">
        <f t="shared" ref="CQ49:CQ74" si="61">IF($E49&gt;=$AK49,0,1)</f>
        <v>0</v>
      </c>
      <c r="CR49" s="385"/>
      <c r="CS49" s="385"/>
      <c r="CT49" s="385"/>
      <c r="CU49" s="385"/>
      <c r="CV49" s="391">
        <f t="shared" ref="CV49:CV74" si="62">IF(AND(D52&lt;&gt;0,AH52=""),1,IF(AND(E52&lt;&gt;0,AI52=""),1,0))</f>
        <v>0</v>
      </c>
      <c r="CW49" s="391">
        <f t="shared" ref="CW49:CW74" si="63">IF(AND(D52&lt;&gt;0,AJ52=""),1,IF(AND(E52&lt;&gt;0,AK52=""),1,0))</f>
        <v>0</v>
      </c>
      <c r="CX49" s="385"/>
      <c r="CY49" s="385"/>
      <c r="CZ49" s="385"/>
      <c r="DA49" s="385"/>
      <c r="DB49" s="385"/>
      <c r="DC49" s="385"/>
      <c r="DD49" s="385"/>
      <c r="DE49" s="385"/>
      <c r="DF49" s="385"/>
      <c r="DG49" s="385"/>
      <c r="DH49" s="385"/>
      <c r="DI49" s="385"/>
      <c r="DJ49" s="385"/>
      <c r="DK49" s="385"/>
      <c r="DL49" s="385"/>
      <c r="DM49" s="385"/>
      <c r="DN49" s="385"/>
      <c r="DO49" s="385"/>
      <c r="DP49" s="385"/>
      <c r="DQ49" s="385"/>
      <c r="DR49" s="385"/>
      <c r="DS49" s="385"/>
    </row>
    <row r="50" spans="1:123" ht="23.25" customHeight="1" x14ac:dyDescent="0.15">
      <c r="A50" s="2064" t="s">
        <v>664</v>
      </c>
      <c r="B50" s="2065"/>
      <c r="C50" s="722">
        <f>SUM(D50:E50)</f>
        <v>0</v>
      </c>
      <c r="D50" s="789">
        <f>+F50+H50+J50+L50+N50+P50+R50+T50+V50+X50+Z50+AB50+AD50+AF50</f>
        <v>0</v>
      </c>
      <c r="E50" s="801">
        <f>+G50+I50+K50+M50+O50+Q50+S50+U50+W50+Y50+AA50+AC50+AE50+AG50</f>
        <v>0</v>
      </c>
      <c r="F50" s="735"/>
      <c r="G50" s="736"/>
      <c r="H50" s="735"/>
      <c r="I50" s="736"/>
      <c r="J50" s="735"/>
      <c r="K50" s="736"/>
      <c r="L50" s="735"/>
      <c r="M50" s="736"/>
      <c r="N50" s="735"/>
      <c r="O50" s="736"/>
      <c r="P50" s="735"/>
      <c r="Q50" s="736"/>
      <c r="R50" s="735"/>
      <c r="S50" s="736"/>
      <c r="T50" s="735"/>
      <c r="U50" s="736"/>
      <c r="V50" s="735"/>
      <c r="W50" s="736"/>
      <c r="X50" s="735"/>
      <c r="Y50" s="736"/>
      <c r="Z50" s="735"/>
      <c r="AA50" s="736"/>
      <c r="AB50" s="735"/>
      <c r="AC50" s="736"/>
      <c r="AD50" s="735"/>
      <c r="AE50" s="736"/>
      <c r="AF50" s="813"/>
      <c r="AG50" s="744"/>
      <c r="AH50" s="816"/>
      <c r="AI50" s="756"/>
      <c r="AJ50" s="816"/>
      <c r="AK50" s="756"/>
      <c r="AL50" s="376" t="str">
        <f t="shared" si="51"/>
        <v/>
      </c>
      <c r="BD50" s="381" t="str">
        <f t="shared" si="52"/>
        <v/>
      </c>
      <c r="BE50" s="381" t="str">
        <f t="shared" si="53"/>
        <v/>
      </c>
      <c r="BF50" s="381" t="str">
        <f t="shared" si="54"/>
        <v/>
      </c>
      <c r="BG50" s="381" t="str">
        <f t="shared" si="55"/>
        <v/>
      </c>
      <c r="BJ50" s="381" t="str">
        <f t="shared" si="56"/>
        <v/>
      </c>
      <c r="BK50" s="381" t="str">
        <f t="shared" si="57"/>
        <v/>
      </c>
      <c r="CL50" s="385"/>
      <c r="CM50" s="385"/>
      <c r="CN50" s="391">
        <f t="shared" si="58"/>
        <v>0</v>
      </c>
      <c r="CO50" s="391">
        <f t="shared" si="59"/>
        <v>0</v>
      </c>
      <c r="CP50" s="391">
        <f t="shared" si="60"/>
        <v>0</v>
      </c>
      <c r="CQ50" s="391">
        <f t="shared" si="61"/>
        <v>0</v>
      </c>
      <c r="CR50" s="385"/>
      <c r="CS50" s="385"/>
      <c r="CT50" s="385"/>
      <c r="CU50" s="385"/>
      <c r="CV50" s="391">
        <f t="shared" si="62"/>
        <v>0</v>
      </c>
      <c r="CW50" s="391">
        <f t="shared" si="63"/>
        <v>0</v>
      </c>
      <c r="CX50" s="385"/>
      <c r="CY50" s="385"/>
      <c r="CZ50" s="385"/>
      <c r="DA50" s="385"/>
      <c r="DB50" s="385"/>
      <c r="DC50" s="385"/>
      <c r="DD50" s="385"/>
      <c r="DE50" s="385"/>
      <c r="DF50" s="385"/>
      <c r="DG50" s="385"/>
      <c r="DH50" s="385"/>
      <c r="DI50" s="385"/>
      <c r="DJ50" s="385"/>
      <c r="DK50" s="385"/>
      <c r="DL50" s="385"/>
      <c r="DM50" s="385"/>
      <c r="DN50" s="385"/>
      <c r="DO50" s="385"/>
      <c r="DP50" s="385"/>
      <c r="DQ50" s="385"/>
      <c r="DR50" s="385"/>
      <c r="DS50" s="385"/>
    </row>
    <row r="51" spans="1:123" ht="18.75" customHeight="1" x14ac:dyDescent="0.15">
      <c r="A51" s="2103" t="s">
        <v>315</v>
      </c>
      <c r="B51" s="2104"/>
      <c r="C51" s="722">
        <f t="shared" si="48"/>
        <v>0</v>
      </c>
      <c r="D51" s="789">
        <f t="shared" si="49"/>
        <v>0</v>
      </c>
      <c r="E51" s="801">
        <f t="shared" si="50"/>
        <v>0</v>
      </c>
      <c r="F51" s="735"/>
      <c r="G51" s="736"/>
      <c r="H51" s="735"/>
      <c r="I51" s="736"/>
      <c r="J51" s="735"/>
      <c r="K51" s="736"/>
      <c r="L51" s="735"/>
      <c r="M51" s="736"/>
      <c r="N51" s="735"/>
      <c r="O51" s="736"/>
      <c r="P51" s="735"/>
      <c r="Q51" s="736"/>
      <c r="R51" s="735"/>
      <c r="S51" s="736"/>
      <c r="T51" s="735"/>
      <c r="U51" s="736"/>
      <c r="V51" s="735"/>
      <c r="W51" s="736"/>
      <c r="X51" s="735"/>
      <c r="Y51" s="736"/>
      <c r="Z51" s="735"/>
      <c r="AA51" s="736"/>
      <c r="AB51" s="735"/>
      <c r="AC51" s="736"/>
      <c r="AD51" s="735"/>
      <c r="AE51" s="736"/>
      <c r="AF51" s="813"/>
      <c r="AG51" s="744"/>
      <c r="AH51" s="816"/>
      <c r="AI51" s="756"/>
      <c r="AJ51" s="816"/>
      <c r="AK51" s="756"/>
      <c r="AL51" s="376" t="str">
        <f t="shared" si="51"/>
        <v/>
      </c>
      <c r="BD51" s="381" t="str">
        <f t="shared" si="52"/>
        <v/>
      </c>
      <c r="BE51" s="381" t="str">
        <f t="shared" si="53"/>
        <v/>
      </c>
      <c r="BF51" s="381" t="str">
        <f t="shared" si="54"/>
        <v/>
      </c>
      <c r="BG51" s="381" t="str">
        <f t="shared" si="55"/>
        <v/>
      </c>
      <c r="BJ51" s="381" t="str">
        <f t="shared" si="56"/>
        <v/>
      </c>
      <c r="BK51" s="381" t="str">
        <f t="shared" si="57"/>
        <v/>
      </c>
      <c r="CL51" s="385"/>
      <c r="CM51" s="385"/>
      <c r="CN51" s="391">
        <f t="shared" si="58"/>
        <v>0</v>
      </c>
      <c r="CO51" s="391">
        <f t="shared" si="59"/>
        <v>0</v>
      </c>
      <c r="CP51" s="391">
        <f t="shared" si="60"/>
        <v>0</v>
      </c>
      <c r="CQ51" s="391">
        <f t="shared" si="61"/>
        <v>0</v>
      </c>
      <c r="CR51" s="385"/>
      <c r="CS51" s="385"/>
      <c r="CT51" s="385"/>
      <c r="CU51" s="385"/>
      <c r="CV51" s="391">
        <f t="shared" si="62"/>
        <v>0</v>
      </c>
      <c r="CW51" s="391">
        <f t="shared" si="63"/>
        <v>0</v>
      </c>
      <c r="CX51" s="385"/>
      <c r="CY51" s="385"/>
      <c r="CZ51" s="385"/>
      <c r="DA51" s="385"/>
      <c r="DB51" s="385"/>
      <c r="DC51" s="385"/>
      <c r="DD51" s="385"/>
      <c r="DE51" s="385"/>
      <c r="DF51" s="385"/>
      <c r="DG51" s="385"/>
      <c r="DH51" s="385"/>
      <c r="DI51" s="385"/>
      <c r="DJ51" s="385"/>
      <c r="DK51" s="385"/>
      <c r="DL51" s="385"/>
      <c r="DM51" s="385"/>
      <c r="DN51" s="385"/>
      <c r="DO51" s="385"/>
      <c r="DP51" s="385"/>
      <c r="DQ51" s="385"/>
      <c r="DR51" s="385"/>
      <c r="DS51" s="385"/>
    </row>
    <row r="52" spans="1:123" ht="18.75" customHeight="1" x14ac:dyDescent="0.15">
      <c r="A52" s="2050" t="s">
        <v>558</v>
      </c>
      <c r="B52" s="2051"/>
      <c r="C52" s="725">
        <f t="shared" si="48"/>
        <v>0</v>
      </c>
      <c r="D52" s="1576">
        <f t="shared" si="49"/>
        <v>0</v>
      </c>
      <c r="E52" s="1564">
        <f t="shared" si="50"/>
        <v>0</v>
      </c>
      <c r="F52" s="735"/>
      <c r="G52" s="736"/>
      <c r="H52" s="735"/>
      <c r="I52" s="736"/>
      <c r="J52" s="735"/>
      <c r="K52" s="736"/>
      <c r="L52" s="735"/>
      <c r="M52" s="736"/>
      <c r="N52" s="735"/>
      <c r="O52" s="736"/>
      <c r="P52" s="735"/>
      <c r="Q52" s="736"/>
      <c r="R52" s="735"/>
      <c r="S52" s="736"/>
      <c r="T52" s="735"/>
      <c r="U52" s="736"/>
      <c r="V52" s="735"/>
      <c r="W52" s="736"/>
      <c r="X52" s="735"/>
      <c r="Y52" s="736"/>
      <c r="Z52" s="735"/>
      <c r="AA52" s="736"/>
      <c r="AB52" s="735"/>
      <c r="AC52" s="736"/>
      <c r="AD52" s="735"/>
      <c r="AE52" s="736"/>
      <c r="AF52" s="813"/>
      <c r="AG52" s="744"/>
      <c r="AH52" s="816"/>
      <c r="AI52" s="756"/>
      <c r="AJ52" s="816"/>
      <c r="AK52" s="756"/>
      <c r="AL52" s="376" t="str">
        <f t="shared" si="51"/>
        <v/>
      </c>
      <c r="BD52" s="381" t="str">
        <f t="shared" si="52"/>
        <v/>
      </c>
      <c r="BE52" s="381" t="str">
        <f t="shared" si="53"/>
        <v/>
      </c>
      <c r="BF52" s="381" t="str">
        <f t="shared" si="54"/>
        <v/>
      </c>
      <c r="BG52" s="381" t="str">
        <f t="shared" si="55"/>
        <v/>
      </c>
      <c r="BJ52" s="381" t="str">
        <f t="shared" si="56"/>
        <v/>
      </c>
      <c r="BK52" s="381" t="str">
        <f t="shared" si="57"/>
        <v/>
      </c>
      <c r="CL52" s="385"/>
      <c r="CM52" s="385"/>
      <c r="CN52" s="391">
        <f t="shared" si="58"/>
        <v>0</v>
      </c>
      <c r="CO52" s="391">
        <f t="shared" si="59"/>
        <v>0</v>
      </c>
      <c r="CP52" s="391">
        <f t="shared" si="60"/>
        <v>0</v>
      </c>
      <c r="CQ52" s="391">
        <f t="shared" si="61"/>
        <v>0</v>
      </c>
      <c r="CR52" s="385"/>
      <c r="CS52" s="385"/>
      <c r="CT52" s="385"/>
      <c r="CU52" s="385"/>
      <c r="CV52" s="391">
        <f t="shared" si="62"/>
        <v>0</v>
      </c>
      <c r="CW52" s="391">
        <f t="shared" si="63"/>
        <v>0</v>
      </c>
      <c r="CX52" s="385"/>
      <c r="CY52" s="385"/>
      <c r="CZ52" s="385"/>
      <c r="DA52" s="385"/>
      <c r="DB52" s="385"/>
      <c r="DC52" s="385"/>
      <c r="DD52" s="385"/>
      <c r="DE52" s="385"/>
      <c r="DF52" s="385"/>
      <c r="DG52" s="385"/>
      <c r="DH52" s="385"/>
      <c r="DI52" s="385"/>
      <c r="DJ52" s="385"/>
      <c r="DK52" s="385"/>
      <c r="DL52" s="385"/>
      <c r="DM52" s="385"/>
      <c r="DN52" s="385"/>
      <c r="DO52" s="385"/>
      <c r="DP52" s="385"/>
      <c r="DQ52" s="385"/>
      <c r="DR52" s="385"/>
      <c r="DS52" s="385"/>
    </row>
    <row r="53" spans="1:123" ht="18.75" customHeight="1" x14ac:dyDescent="0.15">
      <c r="A53" s="2050" t="s">
        <v>364</v>
      </c>
      <c r="B53" s="2051"/>
      <c r="C53" s="716">
        <f t="shared" si="48"/>
        <v>0</v>
      </c>
      <c r="D53" s="717">
        <f t="shared" si="49"/>
        <v>0</v>
      </c>
      <c r="E53" s="795">
        <f t="shared" si="50"/>
        <v>0</v>
      </c>
      <c r="F53" s="735"/>
      <c r="G53" s="736"/>
      <c r="H53" s="735"/>
      <c r="I53" s="736"/>
      <c r="J53" s="735"/>
      <c r="K53" s="736"/>
      <c r="L53" s="735"/>
      <c r="M53" s="736"/>
      <c r="N53" s="735"/>
      <c r="O53" s="736"/>
      <c r="P53" s="735"/>
      <c r="Q53" s="736"/>
      <c r="R53" s="735"/>
      <c r="S53" s="736"/>
      <c r="T53" s="735"/>
      <c r="U53" s="736"/>
      <c r="V53" s="735"/>
      <c r="W53" s="736"/>
      <c r="X53" s="735"/>
      <c r="Y53" s="736"/>
      <c r="Z53" s="735"/>
      <c r="AA53" s="736"/>
      <c r="AB53" s="735"/>
      <c r="AC53" s="736"/>
      <c r="AD53" s="735"/>
      <c r="AE53" s="736"/>
      <c r="AF53" s="813"/>
      <c r="AG53" s="744"/>
      <c r="AH53" s="816"/>
      <c r="AI53" s="756"/>
      <c r="AJ53" s="816"/>
      <c r="AK53" s="756"/>
      <c r="AL53" s="376" t="str">
        <f t="shared" si="51"/>
        <v/>
      </c>
      <c r="BD53" s="381" t="str">
        <f t="shared" si="52"/>
        <v/>
      </c>
      <c r="BE53" s="381" t="str">
        <f t="shared" si="53"/>
        <v/>
      </c>
      <c r="BF53" s="381" t="str">
        <f t="shared" si="54"/>
        <v/>
      </c>
      <c r="BG53" s="381" t="str">
        <f t="shared" si="55"/>
        <v/>
      </c>
      <c r="BJ53" s="381" t="str">
        <f t="shared" si="56"/>
        <v/>
      </c>
      <c r="BK53" s="381" t="str">
        <f t="shared" si="57"/>
        <v/>
      </c>
      <c r="CL53" s="385"/>
      <c r="CM53" s="385"/>
      <c r="CN53" s="391">
        <f t="shared" si="58"/>
        <v>0</v>
      </c>
      <c r="CO53" s="391">
        <f t="shared" si="59"/>
        <v>0</v>
      </c>
      <c r="CP53" s="391">
        <f t="shared" si="60"/>
        <v>0</v>
      </c>
      <c r="CQ53" s="391">
        <f t="shared" si="61"/>
        <v>0</v>
      </c>
      <c r="CR53" s="385"/>
      <c r="CS53" s="385"/>
      <c r="CT53" s="385"/>
      <c r="CU53" s="385"/>
      <c r="CV53" s="391">
        <f t="shared" si="62"/>
        <v>0</v>
      </c>
      <c r="CW53" s="391">
        <f t="shared" si="63"/>
        <v>0</v>
      </c>
      <c r="CX53" s="385"/>
      <c r="CY53" s="385"/>
      <c r="CZ53" s="385"/>
      <c r="DA53" s="385"/>
      <c r="DB53" s="385"/>
      <c r="DC53" s="385"/>
      <c r="DD53" s="385"/>
      <c r="DE53" s="385"/>
      <c r="DF53" s="385"/>
      <c r="DG53" s="385"/>
      <c r="DH53" s="385"/>
      <c r="DI53" s="385"/>
      <c r="DJ53" s="385"/>
      <c r="DK53" s="385"/>
      <c r="DL53" s="385"/>
      <c r="DM53" s="385"/>
      <c r="DN53" s="385"/>
      <c r="DO53" s="385"/>
      <c r="DP53" s="385"/>
      <c r="DQ53" s="385"/>
      <c r="DR53" s="385"/>
      <c r="DS53" s="385"/>
    </row>
    <row r="54" spans="1:123" ht="18.75" customHeight="1" x14ac:dyDescent="0.15">
      <c r="A54" s="2050" t="s">
        <v>172</v>
      </c>
      <c r="B54" s="2051"/>
      <c r="C54" s="716">
        <f t="shared" si="48"/>
        <v>0</v>
      </c>
      <c r="D54" s="717">
        <f t="shared" si="49"/>
        <v>0</v>
      </c>
      <c r="E54" s="795">
        <f t="shared" si="50"/>
        <v>0</v>
      </c>
      <c r="F54" s="735"/>
      <c r="G54" s="736"/>
      <c r="H54" s="735"/>
      <c r="I54" s="736"/>
      <c r="J54" s="735"/>
      <c r="K54" s="736"/>
      <c r="L54" s="735"/>
      <c r="M54" s="736"/>
      <c r="N54" s="735"/>
      <c r="O54" s="736"/>
      <c r="P54" s="735"/>
      <c r="Q54" s="736"/>
      <c r="R54" s="735"/>
      <c r="S54" s="736"/>
      <c r="T54" s="735"/>
      <c r="U54" s="736"/>
      <c r="V54" s="735"/>
      <c r="W54" s="736"/>
      <c r="X54" s="735"/>
      <c r="Y54" s="736"/>
      <c r="Z54" s="735"/>
      <c r="AA54" s="736"/>
      <c r="AB54" s="735"/>
      <c r="AC54" s="736"/>
      <c r="AD54" s="735"/>
      <c r="AE54" s="736"/>
      <c r="AF54" s="813"/>
      <c r="AG54" s="744"/>
      <c r="AH54" s="816"/>
      <c r="AI54" s="756"/>
      <c r="AJ54" s="816"/>
      <c r="AK54" s="756"/>
      <c r="AL54" s="376" t="str">
        <f t="shared" si="51"/>
        <v/>
      </c>
      <c r="BD54" s="381" t="str">
        <f t="shared" si="52"/>
        <v/>
      </c>
      <c r="BE54" s="381" t="str">
        <f t="shared" si="53"/>
        <v/>
      </c>
      <c r="BF54" s="381" t="str">
        <f t="shared" si="54"/>
        <v/>
      </c>
      <c r="BG54" s="381" t="str">
        <f t="shared" si="55"/>
        <v/>
      </c>
      <c r="BJ54" s="381" t="str">
        <f t="shared" si="56"/>
        <v/>
      </c>
      <c r="BK54" s="381" t="str">
        <f t="shared" si="57"/>
        <v/>
      </c>
      <c r="CL54" s="385"/>
      <c r="CM54" s="385"/>
      <c r="CN54" s="391">
        <f t="shared" si="58"/>
        <v>0</v>
      </c>
      <c r="CO54" s="391">
        <f t="shared" si="59"/>
        <v>0</v>
      </c>
      <c r="CP54" s="391">
        <f t="shared" si="60"/>
        <v>0</v>
      </c>
      <c r="CQ54" s="391">
        <f t="shared" si="61"/>
        <v>0</v>
      </c>
      <c r="CR54" s="385"/>
      <c r="CS54" s="385"/>
      <c r="CT54" s="385"/>
      <c r="CU54" s="385"/>
      <c r="CV54" s="391">
        <f t="shared" si="62"/>
        <v>0</v>
      </c>
      <c r="CW54" s="391">
        <f t="shared" si="63"/>
        <v>0</v>
      </c>
      <c r="CX54" s="385"/>
      <c r="CY54" s="385"/>
      <c r="CZ54" s="385"/>
      <c r="DA54" s="385"/>
      <c r="DB54" s="385"/>
      <c r="DC54" s="385"/>
      <c r="DD54" s="385"/>
      <c r="DE54" s="385"/>
      <c r="DF54" s="385"/>
      <c r="DG54" s="385"/>
      <c r="DH54" s="385"/>
      <c r="DI54" s="385"/>
      <c r="DJ54" s="385"/>
      <c r="DK54" s="385"/>
      <c r="DL54" s="385"/>
      <c r="DM54" s="385"/>
      <c r="DN54" s="385"/>
      <c r="DO54" s="385"/>
      <c r="DP54" s="385"/>
      <c r="DQ54" s="385"/>
      <c r="DR54" s="385"/>
      <c r="DS54" s="385"/>
    </row>
    <row r="55" spans="1:123" ht="18.75" customHeight="1" x14ac:dyDescent="0.15">
      <c r="A55" s="2050" t="s">
        <v>573</v>
      </c>
      <c r="B55" s="2051"/>
      <c r="C55" s="722">
        <f t="shared" si="48"/>
        <v>0</v>
      </c>
      <c r="D55" s="789">
        <f t="shared" si="49"/>
        <v>0</v>
      </c>
      <c r="E55" s="801">
        <f t="shared" si="50"/>
        <v>0</v>
      </c>
      <c r="F55" s="755"/>
      <c r="G55" s="756"/>
      <c r="H55" s="755"/>
      <c r="I55" s="756"/>
      <c r="J55" s="755"/>
      <c r="K55" s="756"/>
      <c r="L55" s="755"/>
      <c r="M55" s="756"/>
      <c r="N55" s="755"/>
      <c r="O55" s="756"/>
      <c r="P55" s="755"/>
      <c r="Q55" s="756"/>
      <c r="R55" s="755"/>
      <c r="S55" s="756"/>
      <c r="T55" s="755"/>
      <c r="U55" s="756"/>
      <c r="V55" s="755"/>
      <c r="W55" s="756"/>
      <c r="X55" s="755"/>
      <c r="Y55" s="756"/>
      <c r="Z55" s="755"/>
      <c r="AA55" s="756"/>
      <c r="AB55" s="755"/>
      <c r="AC55" s="756"/>
      <c r="AD55" s="755"/>
      <c r="AE55" s="756"/>
      <c r="AF55" s="816"/>
      <c r="AG55" s="757"/>
      <c r="AH55" s="816"/>
      <c r="AI55" s="756"/>
      <c r="AJ55" s="816"/>
      <c r="AK55" s="756"/>
      <c r="AL55" s="376" t="str">
        <f t="shared" si="51"/>
        <v/>
      </c>
      <c r="BD55" s="381" t="str">
        <f t="shared" si="52"/>
        <v/>
      </c>
      <c r="BE55" s="381" t="str">
        <f t="shared" si="53"/>
        <v/>
      </c>
      <c r="BF55" s="381" t="str">
        <f t="shared" si="54"/>
        <v/>
      </c>
      <c r="BG55" s="381" t="str">
        <f t="shared" si="55"/>
        <v/>
      </c>
      <c r="BJ55" s="381" t="str">
        <f t="shared" si="56"/>
        <v/>
      </c>
      <c r="BK55" s="381" t="str">
        <f t="shared" si="57"/>
        <v/>
      </c>
      <c r="CL55" s="385"/>
      <c r="CM55" s="385"/>
      <c r="CN55" s="391">
        <f t="shared" si="58"/>
        <v>0</v>
      </c>
      <c r="CO55" s="391">
        <f t="shared" si="59"/>
        <v>0</v>
      </c>
      <c r="CP55" s="391">
        <f t="shared" si="60"/>
        <v>0</v>
      </c>
      <c r="CQ55" s="391">
        <f t="shared" si="61"/>
        <v>0</v>
      </c>
      <c r="CR55" s="385"/>
      <c r="CS55" s="385"/>
      <c r="CT55" s="385"/>
      <c r="CU55" s="385"/>
      <c r="CV55" s="391">
        <f t="shared" si="62"/>
        <v>0</v>
      </c>
      <c r="CW55" s="391">
        <f t="shared" si="63"/>
        <v>0</v>
      </c>
      <c r="CX55" s="385"/>
      <c r="CY55" s="385"/>
      <c r="CZ55" s="385"/>
      <c r="DA55" s="385"/>
      <c r="DB55" s="385"/>
      <c r="DC55" s="385"/>
      <c r="DD55" s="385"/>
      <c r="DE55" s="385"/>
      <c r="DF55" s="385"/>
      <c r="DG55" s="385"/>
      <c r="DH55" s="385"/>
      <c r="DI55" s="385"/>
      <c r="DJ55" s="385"/>
      <c r="DK55" s="385"/>
      <c r="DL55" s="385"/>
      <c r="DM55" s="385"/>
      <c r="DN55" s="385"/>
      <c r="DO55" s="385"/>
      <c r="DP55" s="385"/>
      <c r="DQ55" s="385"/>
      <c r="DR55" s="385"/>
      <c r="DS55" s="385"/>
    </row>
    <row r="56" spans="1:123" ht="18.75" customHeight="1" x14ac:dyDescent="0.15">
      <c r="A56" s="2122" t="s">
        <v>173</v>
      </c>
      <c r="B56" s="2123"/>
      <c r="C56" s="716">
        <f t="shared" si="48"/>
        <v>0</v>
      </c>
      <c r="D56" s="717">
        <f t="shared" si="49"/>
        <v>0</v>
      </c>
      <c r="E56" s="795">
        <f t="shared" si="50"/>
        <v>0</v>
      </c>
      <c r="F56" s="735"/>
      <c r="G56" s="736"/>
      <c r="H56" s="735"/>
      <c r="I56" s="736"/>
      <c r="J56" s="735"/>
      <c r="K56" s="736"/>
      <c r="L56" s="735"/>
      <c r="M56" s="736"/>
      <c r="N56" s="735"/>
      <c r="O56" s="736"/>
      <c r="P56" s="735"/>
      <c r="Q56" s="736"/>
      <c r="R56" s="735"/>
      <c r="S56" s="736"/>
      <c r="T56" s="735"/>
      <c r="U56" s="736"/>
      <c r="V56" s="735"/>
      <c r="W56" s="736"/>
      <c r="X56" s="735"/>
      <c r="Y56" s="736"/>
      <c r="Z56" s="735"/>
      <c r="AA56" s="736"/>
      <c r="AB56" s="735"/>
      <c r="AC56" s="736"/>
      <c r="AD56" s="735"/>
      <c r="AE56" s="736"/>
      <c r="AF56" s="813"/>
      <c r="AG56" s="744"/>
      <c r="AH56" s="816"/>
      <c r="AI56" s="756"/>
      <c r="AJ56" s="816"/>
      <c r="AK56" s="756"/>
      <c r="AL56" s="376" t="str">
        <f t="shared" si="51"/>
        <v/>
      </c>
      <c r="BD56" s="381" t="str">
        <f t="shared" si="52"/>
        <v/>
      </c>
      <c r="BE56" s="381" t="str">
        <f t="shared" si="53"/>
        <v/>
      </c>
      <c r="BF56" s="381" t="str">
        <f t="shared" si="54"/>
        <v/>
      </c>
      <c r="BG56" s="381" t="str">
        <f t="shared" si="55"/>
        <v/>
      </c>
      <c r="BJ56" s="381" t="str">
        <f t="shared" si="56"/>
        <v/>
      </c>
      <c r="BK56" s="381" t="str">
        <f t="shared" si="57"/>
        <v/>
      </c>
      <c r="CL56" s="385"/>
      <c r="CM56" s="385"/>
      <c r="CN56" s="391">
        <f t="shared" si="58"/>
        <v>0</v>
      </c>
      <c r="CO56" s="391">
        <f t="shared" si="59"/>
        <v>0</v>
      </c>
      <c r="CP56" s="391">
        <f t="shared" si="60"/>
        <v>0</v>
      </c>
      <c r="CQ56" s="391">
        <f t="shared" si="61"/>
        <v>0</v>
      </c>
      <c r="CR56" s="385"/>
      <c r="CS56" s="385"/>
      <c r="CT56" s="385"/>
      <c r="CU56" s="385"/>
      <c r="CV56" s="391">
        <f t="shared" si="62"/>
        <v>0</v>
      </c>
      <c r="CW56" s="391">
        <f t="shared" si="63"/>
        <v>0</v>
      </c>
      <c r="CX56" s="385"/>
      <c r="CY56" s="385"/>
      <c r="CZ56" s="385"/>
      <c r="DA56" s="385"/>
      <c r="DB56" s="385"/>
      <c r="DC56" s="385"/>
      <c r="DD56" s="385"/>
      <c r="DE56" s="385"/>
      <c r="DF56" s="385"/>
      <c r="DG56" s="385"/>
      <c r="DH56" s="385"/>
      <c r="DI56" s="385"/>
      <c r="DJ56" s="385"/>
      <c r="DK56" s="385"/>
      <c r="DL56" s="385"/>
      <c r="DM56" s="385"/>
      <c r="DN56" s="385"/>
      <c r="DO56" s="385"/>
      <c r="DP56" s="385"/>
      <c r="DQ56" s="385"/>
      <c r="DR56" s="385"/>
      <c r="DS56" s="385"/>
    </row>
    <row r="57" spans="1:123" ht="18.75" customHeight="1" x14ac:dyDescent="0.15">
      <c r="A57" s="1283" t="s">
        <v>665</v>
      </c>
      <c r="B57" s="1280"/>
      <c r="C57" s="722">
        <f>SUM(D57:E57)</f>
        <v>0</v>
      </c>
      <c r="D57" s="789">
        <f t="shared" ref="D57" si="64">+F57+H57+J57+L57+N57+P57+R57+T57+V57+X57+Z57+AB57+AD57+AF57</f>
        <v>0</v>
      </c>
      <c r="E57" s="801">
        <f t="shared" ref="E57" si="65">+G57+I57+K57+M57+O57+Q57+S57+U57+W57+Y57+AA57+AC57+AE57+AG57</f>
        <v>0</v>
      </c>
      <c r="F57" s="755"/>
      <c r="G57" s="756"/>
      <c r="H57" s="755"/>
      <c r="I57" s="756"/>
      <c r="J57" s="755"/>
      <c r="K57" s="756"/>
      <c r="L57" s="755"/>
      <c r="M57" s="756"/>
      <c r="N57" s="755"/>
      <c r="O57" s="756"/>
      <c r="P57" s="755"/>
      <c r="Q57" s="756"/>
      <c r="R57" s="755"/>
      <c r="S57" s="756"/>
      <c r="T57" s="755"/>
      <c r="U57" s="756"/>
      <c r="V57" s="755"/>
      <c r="W57" s="756"/>
      <c r="X57" s="755"/>
      <c r="Y57" s="756"/>
      <c r="Z57" s="755"/>
      <c r="AA57" s="756"/>
      <c r="AB57" s="755"/>
      <c r="AC57" s="756"/>
      <c r="AD57" s="755"/>
      <c r="AE57" s="756"/>
      <c r="AF57" s="816"/>
      <c r="AG57" s="757"/>
      <c r="AH57" s="816"/>
      <c r="AI57" s="756"/>
      <c r="AJ57" s="816"/>
      <c r="AK57" s="756"/>
      <c r="AL57" s="376" t="str">
        <f t="shared" si="51"/>
        <v/>
      </c>
      <c r="BD57" s="381" t="str">
        <f t="shared" si="52"/>
        <v/>
      </c>
      <c r="BE57" s="381" t="str">
        <f t="shared" si="53"/>
        <v/>
      </c>
      <c r="BF57" s="381" t="str">
        <f t="shared" si="54"/>
        <v/>
      </c>
      <c r="BG57" s="381" t="str">
        <f t="shared" si="55"/>
        <v/>
      </c>
      <c r="BJ57" s="381" t="str">
        <f t="shared" si="56"/>
        <v/>
      </c>
      <c r="BK57" s="381" t="str">
        <f t="shared" si="57"/>
        <v/>
      </c>
      <c r="CL57" s="385"/>
      <c r="CM57" s="385"/>
      <c r="CN57" s="391">
        <f t="shared" si="58"/>
        <v>0</v>
      </c>
      <c r="CO57" s="391">
        <f t="shared" si="59"/>
        <v>0</v>
      </c>
      <c r="CP57" s="391">
        <f t="shared" si="60"/>
        <v>0</v>
      </c>
      <c r="CQ57" s="391">
        <f t="shared" si="61"/>
        <v>0</v>
      </c>
      <c r="CR57" s="385"/>
      <c r="CS57" s="385"/>
      <c r="CT57" s="385"/>
      <c r="CU57" s="385"/>
      <c r="CV57" s="391">
        <f t="shared" si="62"/>
        <v>0</v>
      </c>
      <c r="CW57" s="391">
        <f t="shared" si="63"/>
        <v>0</v>
      </c>
      <c r="CX57" s="385"/>
      <c r="CY57" s="385"/>
      <c r="CZ57" s="385"/>
      <c r="DA57" s="385"/>
      <c r="DB57" s="385"/>
      <c r="DC57" s="385"/>
      <c r="DD57" s="385"/>
      <c r="DE57" s="385"/>
      <c r="DF57" s="385"/>
      <c r="DG57" s="385"/>
      <c r="DH57" s="385"/>
      <c r="DI57" s="385"/>
      <c r="DJ57" s="385"/>
      <c r="DK57" s="385"/>
      <c r="DL57" s="385"/>
      <c r="DM57" s="385"/>
      <c r="DN57" s="385"/>
      <c r="DO57" s="385"/>
      <c r="DP57" s="385"/>
      <c r="DQ57" s="385"/>
      <c r="DR57" s="385"/>
      <c r="DS57" s="385"/>
    </row>
    <row r="58" spans="1:123" ht="18.75" customHeight="1" x14ac:dyDescent="0.15">
      <c r="A58" s="2087" t="s">
        <v>848</v>
      </c>
      <c r="B58" s="2088"/>
      <c r="C58" s="722">
        <f t="shared" si="48"/>
        <v>0</v>
      </c>
      <c r="D58" s="789">
        <f>+F58+H58+J58+L58+N58+P58+R58+T58+V58+X58+Z58+AB58+AD58+AF58</f>
        <v>0</v>
      </c>
      <c r="E58" s="790">
        <f>+G58+I58+K58+M58+O58+Q58+S58+U58+W58+Y58+AA58+AC58+AE58+AG58</f>
        <v>0</v>
      </c>
      <c r="F58" s="755"/>
      <c r="G58" s="756"/>
      <c r="H58" s="755"/>
      <c r="I58" s="756"/>
      <c r="J58" s="755"/>
      <c r="K58" s="756"/>
      <c r="L58" s="755"/>
      <c r="M58" s="756"/>
      <c r="N58" s="755"/>
      <c r="O58" s="756"/>
      <c r="P58" s="755"/>
      <c r="Q58" s="756"/>
      <c r="R58" s="755"/>
      <c r="S58" s="756"/>
      <c r="T58" s="755"/>
      <c r="U58" s="756"/>
      <c r="V58" s="755"/>
      <c r="W58" s="756"/>
      <c r="X58" s="755"/>
      <c r="Y58" s="756"/>
      <c r="Z58" s="755"/>
      <c r="AA58" s="756"/>
      <c r="AB58" s="755"/>
      <c r="AC58" s="756"/>
      <c r="AD58" s="755"/>
      <c r="AE58" s="756"/>
      <c r="AF58" s="816"/>
      <c r="AG58" s="757"/>
      <c r="AH58" s="816"/>
      <c r="AI58" s="756"/>
      <c r="AJ58" s="816"/>
      <c r="AK58" s="756"/>
      <c r="AL58" s="376" t="str">
        <f t="shared" si="51"/>
        <v/>
      </c>
      <c r="BD58" s="381" t="str">
        <f t="shared" si="52"/>
        <v/>
      </c>
      <c r="BE58" s="381" t="str">
        <f t="shared" si="53"/>
        <v/>
      </c>
      <c r="BF58" s="381" t="str">
        <f t="shared" si="54"/>
        <v/>
      </c>
      <c r="BG58" s="381" t="str">
        <f t="shared" si="55"/>
        <v/>
      </c>
      <c r="BJ58" s="381" t="str">
        <f t="shared" si="56"/>
        <v/>
      </c>
      <c r="BK58" s="381" t="str">
        <f t="shared" si="57"/>
        <v/>
      </c>
      <c r="CL58" s="385"/>
      <c r="CM58" s="385"/>
      <c r="CN58" s="391">
        <f t="shared" si="58"/>
        <v>0</v>
      </c>
      <c r="CO58" s="391">
        <f t="shared" si="59"/>
        <v>0</v>
      </c>
      <c r="CP58" s="391">
        <f t="shared" si="60"/>
        <v>0</v>
      </c>
      <c r="CQ58" s="391">
        <f t="shared" si="61"/>
        <v>0</v>
      </c>
      <c r="CR58" s="385"/>
      <c r="CS58" s="385"/>
      <c r="CT58" s="385"/>
      <c r="CU58" s="385"/>
      <c r="CV58" s="391">
        <f t="shared" si="62"/>
        <v>0</v>
      </c>
      <c r="CW58" s="391">
        <f t="shared" si="63"/>
        <v>0</v>
      </c>
      <c r="CX58" s="385"/>
      <c r="CY58" s="385"/>
      <c r="CZ58" s="385"/>
      <c r="DA58" s="385"/>
      <c r="DB58" s="385"/>
      <c r="DC58" s="385"/>
      <c r="DD58" s="385"/>
      <c r="DE58" s="385"/>
      <c r="DF58" s="385"/>
      <c r="DG58" s="385"/>
      <c r="DH58" s="385"/>
      <c r="DI58" s="385"/>
      <c r="DJ58" s="385"/>
      <c r="DK58" s="385"/>
      <c r="DL58" s="385"/>
      <c r="DM58" s="385"/>
      <c r="DN58" s="385"/>
      <c r="DO58" s="385"/>
      <c r="DP58" s="385"/>
      <c r="DQ58" s="385"/>
      <c r="DR58" s="385"/>
      <c r="DS58" s="385"/>
    </row>
    <row r="59" spans="1:123" ht="18.75" customHeight="1" x14ac:dyDescent="0.15">
      <c r="A59" s="1357" t="s">
        <v>849</v>
      </c>
      <c r="B59" s="1358"/>
      <c r="C59" s="725">
        <f t="shared" si="48"/>
        <v>0</v>
      </c>
      <c r="D59" s="1576">
        <f t="shared" si="49"/>
        <v>0</v>
      </c>
      <c r="E59" s="1582">
        <f t="shared" si="50"/>
        <v>0</v>
      </c>
      <c r="F59" s="746"/>
      <c r="G59" s="747"/>
      <c r="H59" s="746"/>
      <c r="I59" s="747"/>
      <c r="J59" s="746"/>
      <c r="K59" s="747"/>
      <c r="L59" s="746"/>
      <c r="M59" s="747"/>
      <c r="N59" s="746"/>
      <c r="O59" s="747"/>
      <c r="P59" s="746"/>
      <c r="Q59" s="747"/>
      <c r="R59" s="746"/>
      <c r="S59" s="747"/>
      <c r="T59" s="746"/>
      <c r="U59" s="747"/>
      <c r="V59" s="746"/>
      <c r="W59" s="747"/>
      <c r="X59" s="746"/>
      <c r="Y59" s="747"/>
      <c r="Z59" s="746"/>
      <c r="AA59" s="747"/>
      <c r="AB59" s="746"/>
      <c r="AC59" s="747"/>
      <c r="AD59" s="746"/>
      <c r="AE59" s="747"/>
      <c r="AF59" s="1166"/>
      <c r="AG59" s="748"/>
      <c r="AH59" s="1166"/>
      <c r="AI59" s="747"/>
      <c r="AJ59" s="1166"/>
      <c r="AK59" s="747"/>
      <c r="AL59" s="376" t="str">
        <f t="shared" si="51"/>
        <v/>
      </c>
      <c r="BD59" s="381" t="str">
        <f t="shared" si="52"/>
        <v/>
      </c>
      <c r="BE59" s="381" t="str">
        <f t="shared" si="53"/>
        <v/>
      </c>
      <c r="BF59" s="381" t="str">
        <f t="shared" si="54"/>
        <v/>
      </c>
      <c r="BG59" s="381" t="str">
        <f t="shared" si="55"/>
        <v/>
      </c>
      <c r="BJ59" s="381" t="str">
        <f t="shared" si="56"/>
        <v/>
      </c>
      <c r="BK59" s="381" t="str">
        <f t="shared" si="57"/>
        <v/>
      </c>
      <c r="CL59" s="385"/>
      <c r="CM59" s="385"/>
      <c r="CN59" s="391">
        <f t="shared" si="58"/>
        <v>0</v>
      </c>
      <c r="CO59" s="391">
        <f t="shared" si="59"/>
        <v>0</v>
      </c>
      <c r="CP59" s="391">
        <f t="shared" si="60"/>
        <v>0</v>
      </c>
      <c r="CQ59" s="391">
        <f t="shared" si="61"/>
        <v>0</v>
      </c>
      <c r="CR59" s="385"/>
      <c r="CS59" s="385"/>
      <c r="CT59" s="385"/>
      <c r="CU59" s="385"/>
      <c r="CV59" s="391">
        <f t="shared" si="62"/>
        <v>0</v>
      </c>
      <c r="CW59" s="391">
        <f t="shared" si="63"/>
        <v>0</v>
      </c>
      <c r="CX59" s="385"/>
      <c r="CY59" s="385"/>
      <c r="CZ59" s="385"/>
      <c r="DA59" s="385"/>
      <c r="DB59" s="385"/>
      <c r="DC59" s="385"/>
      <c r="DD59" s="385"/>
      <c r="DE59" s="385"/>
      <c r="DF59" s="385"/>
      <c r="DG59" s="385"/>
      <c r="DH59" s="385"/>
      <c r="DI59" s="385"/>
      <c r="DJ59" s="385"/>
      <c r="DK59" s="385"/>
      <c r="DL59" s="385"/>
      <c r="DM59" s="385"/>
      <c r="DN59" s="385"/>
      <c r="DO59" s="385"/>
      <c r="DP59" s="385"/>
      <c r="DQ59" s="385"/>
      <c r="DR59" s="385"/>
      <c r="DS59" s="385"/>
    </row>
    <row r="60" spans="1:123" ht="18.75" customHeight="1" x14ac:dyDescent="0.15">
      <c r="A60" s="2100" t="s">
        <v>827</v>
      </c>
      <c r="B60" s="2101"/>
      <c r="C60" s="719">
        <f t="shared" ref="C60" si="66">SUM(D60:E60)</f>
        <v>0</v>
      </c>
      <c r="D60" s="720">
        <f t="shared" ref="D60" si="67">+F60+H60+J60+L60+N60+P60+R60+T60+V60+X60+Z60+AB60+AD60+AF60</f>
        <v>0</v>
      </c>
      <c r="E60" s="793">
        <f t="shared" ref="E60" si="68">+G60+I60+K60+M60+O60+Q60+S60+U60+W60+Y60+AA60+AC60+AE60+AG60</f>
        <v>0</v>
      </c>
      <c r="F60" s="740"/>
      <c r="G60" s="741"/>
      <c r="H60" s="740"/>
      <c r="I60" s="741"/>
      <c r="J60" s="740"/>
      <c r="K60" s="741"/>
      <c r="L60" s="740"/>
      <c r="M60" s="741"/>
      <c r="N60" s="740"/>
      <c r="O60" s="741"/>
      <c r="P60" s="740"/>
      <c r="Q60" s="741"/>
      <c r="R60" s="740"/>
      <c r="S60" s="741"/>
      <c r="T60" s="740"/>
      <c r="U60" s="741"/>
      <c r="V60" s="740"/>
      <c r="W60" s="741"/>
      <c r="X60" s="740"/>
      <c r="Y60" s="741"/>
      <c r="Z60" s="740"/>
      <c r="AA60" s="741"/>
      <c r="AB60" s="740"/>
      <c r="AC60" s="741"/>
      <c r="AD60" s="740"/>
      <c r="AE60" s="741"/>
      <c r="AF60" s="812"/>
      <c r="AG60" s="771"/>
      <c r="AH60" s="812"/>
      <c r="AI60" s="741"/>
      <c r="AJ60" s="812"/>
      <c r="AK60" s="741"/>
      <c r="AL60" s="376" t="str">
        <f t="shared" si="51"/>
        <v/>
      </c>
      <c r="BD60" s="381" t="str">
        <f t="shared" si="52"/>
        <v/>
      </c>
      <c r="BE60" s="381" t="str">
        <f t="shared" si="53"/>
        <v/>
      </c>
      <c r="BF60" s="381" t="str">
        <f t="shared" si="54"/>
        <v/>
      </c>
      <c r="BG60" s="381" t="str">
        <f t="shared" si="55"/>
        <v/>
      </c>
      <c r="BJ60" s="381" t="str">
        <f t="shared" si="56"/>
        <v/>
      </c>
      <c r="BK60" s="381" t="str">
        <f t="shared" si="57"/>
        <v/>
      </c>
      <c r="CL60" s="385"/>
      <c r="CM60" s="385"/>
      <c r="CN60" s="391">
        <f t="shared" si="58"/>
        <v>0</v>
      </c>
      <c r="CO60" s="391">
        <f t="shared" si="59"/>
        <v>0</v>
      </c>
      <c r="CP60" s="391">
        <f t="shared" si="60"/>
        <v>0</v>
      </c>
      <c r="CQ60" s="391">
        <f t="shared" si="61"/>
        <v>0</v>
      </c>
      <c r="CR60" s="385"/>
      <c r="CS60" s="385"/>
      <c r="CT60" s="385"/>
      <c r="CU60" s="385"/>
      <c r="CV60" s="391">
        <f t="shared" si="62"/>
        <v>0</v>
      </c>
      <c r="CW60" s="391">
        <f t="shared" si="63"/>
        <v>0</v>
      </c>
      <c r="CX60" s="385"/>
      <c r="CY60" s="385"/>
      <c r="CZ60" s="385"/>
      <c r="DA60" s="385"/>
      <c r="DB60" s="385"/>
      <c r="DC60" s="385"/>
      <c r="DD60" s="385"/>
      <c r="DE60" s="385"/>
      <c r="DF60" s="385"/>
      <c r="DG60" s="385"/>
      <c r="DH60" s="385"/>
      <c r="DI60" s="385"/>
      <c r="DJ60" s="385"/>
      <c r="DK60" s="385"/>
      <c r="DL60" s="385"/>
      <c r="DM60" s="385"/>
      <c r="DN60" s="385"/>
      <c r="DO60" s="385"/>
      <c r="DP60" s="385"/>
      <c r="DQ60" s="385"/>
      <c r="DR60" s="385"/>
      <c r="DS60" s="385"/>
    </row>
    <row r="61" spans="1:123" ht="18.75" customHeight="1" x14ac:dyDescent="0.15">
      <c r="A61" s="2098" t="s">
        <v>593</v>
      </c>
      <c r="B61" s="1064" t="s">
        <v>174</v>
      </c>
      <c r="C61" s="722">
        <f t="shared" si="48"/>
        <v>0</v>
      </c>
      <c r="D61" s="789">
        <f>+F61+H61+J61+L61+N61+P61+R61+T61+V61+X61+Z61+AB61+AD61+AF61</f>
        <v>0</v>
      </c>
      <c r="E61" s="801">
        <f>+G61+I61+K61+M61+O61+Q61+S61+U61+W61+Y61+AA61+AC61+AE61+AG61</f>
        <v>0</v>
      </c>
      <c r="F61" s="755"/>
      <c r="G61" s="756"/>
      <c r="H61" s="755"/>
      <c r="I61" s="756"/>
      <c r="J61" s="755"/>
      <c r="K61" s="756"/>
      <c r="L61" s="755"/>
      <c r="M61" s="756"/>
      <c r="N61" s="755"/>
      <c r="O61" s="756"/>
      <c r="P61" s="755"/>
      <c r="Q61" s="756"/>
      <c r="R61" s="755"/>
      <c r="S61" s="756"/>
      <c r="T61" s="755"/>
      <c r="U61" s="756"/>
      <c r="V61" s="755"/>
      <c r="W61" s="756"/>
      <c r="X61" s="755"/>
      <c r="Y61" s="756"/>
      <c r="Z61" s="755"/>
      <c r="AA61" s="756"/>
      <c r="AB61" s="755"/>
      <c r="AC61" s="756"/>
      <c r="AD61" s="755"/>
      <c r="AE61" s="756"/>
      <c r="AF61" s="816"/>
      <c r="AG61" s="757"/>
      <c r="AH61" s="816"/>
      <c r="AI61" s="756"/>
      <c r="AJ61" s="816"/>
      <c r="AK61" s="756"/>
      <c r="AL61" s="376" t="str">
        <f t="shared" si="51"/>
        <v/>
      </c>
      <c r="BD61" s="381" t="str">
        <f t="shared" si="52"/>
        <v/>
      </c>
      <c r="BE61" s="381" t="str">
        <f t="shared" si="53"/>
        <v/>
      </c>
      <c r="BF61" s="381" t="str">
        <f t="shared" si="54"/>
        <v/>
      </c>
      <c r="BG61" s="381" t="str">
        <f t="shared" si="55"/>
        <v/>
      </c>
      <c r="BJ61" s="381" t="str">
        <f t="shared" si="56"/>
        <v/>
      </c>
      <c r="BK61" s="381" t="str">
        <f t="shared" si="57"/>
        <v/>
      </c>
      <c r="CL61" s="385"/>
      <c r="CM61" s="385"/>
      <c r="CN61" s="391">
        <f t="shared" si="58"/>
        <v>0</v>
      </c>
      <c r="CO61" s="391">
        <f t="shared" si="59"/>
        <v>0</v>
      </c>
      <c r="CP61" s="391">
        <f t="shared" si="60"/>
        <v>0</v>
      </c>
      <c r="CQ61" s="391">
        <f t="shared" si="61"/>
        <v>0</v>
      </c>
      <c r="CR61" s="385"/>
      <c r="CS61" s="385"/>
      <c r="CT61" s="385"/>
      <c r="CU61" s="385"/>
      <c r="CV61" s="391">
        <f t="shared" si="62"/>
        <v>0</v>
      </c>
      <c r="CW61" s="391">
        <f t="shared" si="63"/>
        <v>0</v>
      </c>
      <c r="CX61" s="385"/>
      <c r="CY61" s="385"/>
      <c r="CZ61" s="385"/>
      <c r="DA61" s="385"/>
      <c r="DB61" s="385"/>
      <c r="DC61" s="385"/>
      <c r="DD61" s="385"/>
      <c r="DE61" s="385"/>
      <c r="DF61" s="385"/>
      <c r="DG61" s="385"/>
      <c r="DH61" s="385"/>
      <c r="DI61" s="385"/>
      <c r="DJ61" s="385"/>
      <c r="DK61" s="385"/>
      <c r="DL61" s="385"/>
      <c r="DM61" s="385"/>
      <c r="DN61" s="385"/>
      <c r="DO61" s="385"/>
      <c r="DP61" s="385"/>
      <c r="DQ61" s="385"/>
      <c r="DR61" s="385"/>
      <c r="DS61" s="385"/>
    </row>
    <row r="62" spans="1:123" ht="18.75" customHeight="1" x14ac:dyDescent="0.15">
      <c r="A62" s="2098"/>
      <c r="B62" s="1064" t="s">
        <v>175</v>
      </c>
      <c r="C62" s="716">
        <f t="shared" si="48"/>
        <v>0</v>
      </c>
      <c r="D62" s="717">
        <f t="shared" si="49"/>
        <v>0</v>
      </c>
      <c r="E62" s="791">
        <f t="shared" si="50"/>
        <v>0</v>
      </c>
      <c r="F62" s="735"/>
      <c r="G62" s="736"/>
      <c r="H62" s="735"/>
      <c r="I62" s="736"/>
      <c r="J62" s="735"/>
      <c r="K62" s="736"/>
      <c r="L62" s="735"/>
      <c r="M62" s="736"/>
      <c r="N62" s="735"/>
      <c r="O62" s="736"/>
      <c r="P62" s="735"/>
      <c r="Q62" s="736"/>
      <c r="R62" s="735"/>
      <c r="S62" s="736"/>
      <c r="T62" s="735"/>
      <c r="U62" s="736"/>
      <c r="V62" s="735"/>
      <c r="W62" s="736"/>
      <c r="X62" s="735"/>
      <c r="Y62" s="736"/>
      <c r="Z62" s="735"/>
      <c r="AA62" s="736"/>
      <c r="AB62" s="735"/>
      <c r="AC62" s="736"/>
      <c r="AD62" s="735"/>
      <c r="AE62" s="736"/>
      <c r="AF62" s="813"/>
      <c r="AG62" s="744"/>
      <c r="AH62" s="816"/>
      <c r="AI62" s="756"/>
      <c r="AJ62" s="816"/>
      <c r="AK62" s="756"/>
      <c r="AL62" s="376" t="str">
        <f t="shared" si="51"/>
        <v/>
      </c>
      <c r="BD62" s="381" t="str">
        <f t="shared" si="52"/>
        <v/>
      </c>
      <c r="BE62" s="381" t="str">
        <f t="shared" si="53"/>
        <v/>
      </c>
      <c r="BF62" s="381" t="str">
        <f t="shared" si="54"/>
        <v/>
      </c>
      <c r="BG62" s="381" t="str">
        <f t="shared" si="55"/>
        <v/>
      </c>
      <c r="BJ62" s="381" t="str">
        <f t="shared" si="56"/>
        <v/>
      </c>
      <c r="BK62" s="381" t="str">
        <f t="shared" si="57"/>
        <v/>
      </c>
      <c r="CL62" s="385"/>
      <c r="CM62" s="385"/>
      <c r="CN62" s="391">
        <f t="shared" si="58"/>
        <v>0</v>
      </c>
      <c r="CO62" s="391">
        <f t="shared" si="59"/>
        <v>0</v>
      </c>
      <c r="CP62" s="391">
        <f t="shared" si="60"/>
        <v>0</v>
      </c>
      <c r="CQ62" s="391">
        <f t="shared" si="61"/>
        <v>0</v>
      </c>
      <c r="CR62" s="385"/>
      <c r="CS62" s="385"/>
      <c r="CT62" s="385"/>
      <c r="CU62" s="385"/>
      <c r="CV62" s="391">
        <f t="shared" si="62"/>
        <v>0</v>
      </c>
      <c r="CW62" s="391">
        <f t="shared" si="63"/>
        <v>0</v>
      </c>
      <c r="CX62" s="385"/>
      <c r="CY62" s="385"/>
      <c r="CZ62" s="385"/>
      <c r="DA62" s="385"/>
      <c r="DB62" s="385"/>
      <c r="DC62" s="385"/>
      <c r="DD62" s="385"/>
      <c r="DE62" s="385"/>
      <c r="DF62" s="385"/>
      <c r="DG62" s="385"/>
      <c r="DH62" s="385"/>
      <c r="DI62" s="385"/>
      <c r="DJ62" s="385"/>
      <c r="DK62" s="385"/>
      <c r="DL62" s="385"/>
      <c r="DM62" s="385"/>
      <c r="DN62" s="385"/>
      <c r="DO62" s="385"/>
      <c r="DP62" s="385"/>
      <c r="DQ62" s="385"/>
      <c r="DR62" s="385"/>
      <c r="DS62" s="385"/>
    </row>
    <row r="63" spans="1:123" ht="18.75" customHeight="1" x14ac:dyDescent="0.15">
      <c r="A63" s="2098"/>
      <c r="B63" s="1065" t="s">
        <v>176</v>
      </c>
      <c r="C63" s="722">
        <f t="shared" si="48"/>
        <v>0</v>
      </c>
      <c r="D63" s="789">
        <f t="shared" si="49"/>
        <v>0</v>
      </c>
      <c r="E63" s="790">
        <f t="shared" si="50"/>
        <v>0</v>
      </c>
      <c r="F63" s="735"/>
      <c r="G63" s="736"/>
      <c r="H63" s="735"/>
      <c r="I63" s="736"/>
      <c r="J63" s="735"/>
      <c r="K63" s="736"/>
      <c r="L63" s="735"/>
      <c r="M63" s="736"/>
      <c r="N63" s="735"/>
      <c r="O63" s="736"/>
      <c r="P63" s="735"/>
      <c r="Q63" s="736"/>
      <c r="R63" s="735"/>
      <c r="S63" s="736"/>
      <c r="T63" s="735"/>
      <c r="U63" s="736"/>
      <c r="V63" s="735"/>
      <c r="W63" s="736"/>
      <c r="X63" s="735"/>
      <c r="Y63" s="736"/>
      <c r="Z63" s="735"/>
      <c r="AA63" s="736"/>
      <c r="AB63" s="735"/>
      <c r="AC63" s="736"/>
      <c r="AD63" s="735"/>
      <c r="AE63" s="736"/>
      <c r="AF63" s="813"/>
      <c r="AG63" s="744"/>
      <c r="AH63" s="816"/>
      <c r="AI63" s="756"/>
      <c r="AJ63" s="816"/>
      <c r="AK63" s="756"/>
      <c r="AL63" s="376" t="str">
        <f t="shared" si="51"/>
        <v/>
      </c>
      <c r="BD63" s="381" t="str">
        <f t="shared" si="52"/>
        <v/>
      </c>
      <c r="BE63" s="381" t="str">
        <f t="shared" si="53"/>
        <v/>
      </c>
      <c r="BF63" s="381" t="str">
        <f t="shared" si="54"/>
        <v/>
      </c>
      <c r="BG63" s="381" t="str">
        <f t="shared" si="55"/>
        <v/>
      </c>
      <c r="BJ63" s="381" t="str">
        <f t="shared" si="56"/>
        <v/>
      </c>
      <c r="BK63" s="381" t="str">
        <f t="shared" si="57"/>
        <v/>
      </c>
      <c r="CL63" s="385"/>
      <c r="CM63" s="385"/>
      <c r="CN63" s="391">
        <f t="shared" si="58"/>
        <v>0</v>
      </c>
      <c r="CO63" s="391">
        <f t="shared" si="59"/>
        <v>0</v>
      </c>
      <c r="CP63" s="391">
        <f t="shared" si="60"/>
        <v>0</v>
      </c>
      <c r="CQ63" s="391">
        <f t="shared" si="61"/>
        <v>0</v>
      </c>
      <c r="CR63" s="385"/>
      <c r="CS63" s="385"/>
      <c r="CT63" s="385"/>
      <c r="CU63" s="385"/>
      <c r="CV63" s="391">
        <f t="shared" si="62"/>
        <v>0</v>
      </c>
      <c r="CW63" s="391">
        <f t="shared" si="63"/>
        <v>0</v>
      </c>
      <c r="CX63" s="385"/>
      <c r="CY63" s="385"/>
      <c r="CZ63" s="385"/>
      <c r="DA63" s="385"/>
      <c r="DB63" s="385"/>
      <c r="DC63" s="385"/>
      <c r="DD63" s="385"/>
      <c r="DE63" s="385"/>
      <c r="DF63" s="385"/>
      <c r="DG63" s="385"/>
      <c r="DH63" s="385"/>
      <c r="DI63" s="385"/>
      <c r="DJ63" s="385"/>
      <c r="DK63" s="385"/>
      <c r="DL63" s="385"/>
      <c r="DM63" s="385"/>
      <c r="DN63" s="385"/>
      <c r="DO63" s="385"/>
      <c r="DP63" s="385"/>
      <c r="DQ63" s="385"/>
      <c r="DR63" s="385"/>
      <c r="DS63" s="385"/>
    </row>
    <row r="64" spans="1:123" ht="18.75" customHeight="1" x14ac:dyDescent="0.15">
      <c r="A64" s="2099"/>
      <c r="B64" s="1066" t="s">
        <v>177</v>
      </c>
      <c r="C64" s="719">
        <f t="shared" si="48"/>
        <v>0</v>
      </c>
      <c r="D64" s="720">
        <f t="shared" si="49"/>
        <v>0</v>
      </c>
      <c r="E64" s="793">
        <f t="shared" si="50"/>
        <v>0</v>
      </c>
      <c r="F64" s="740"/>
      <c r="G64" s="741"/>
      <c r="H64" s="740"/>
      <c r="I64" s="741"/>
      <c r="J64" s="740"/>
      <c r="K64" s="741"/>
      <c r="L64" s="740"/>
      <c r="M64" s="741"/>
      <c r="N64" s="740"/>
      <c r="O64" s="741"/>
      <c r="P64" s="740"/>
      <c r="Q64" s="741"/>
      <c r="R64" s="740"/>
      <c r="S64" s="741"/>
      <c r="T64" s="740"/>
      <c r="U64" s="741"/>
      <c r="V64" s="740"/>
      <c r="W64" s="741"/>
      <c r="X64" s="740"/>
      <c r="Y64" s="741"/>
      <c r="Z64" s="740"/>
      <c r="AA64" s="741"/>
      <c r="AB64" s="740"/>
      <c r="AC64" s="741"/>
      <c r="AD64" s="740"/>
      <c r="AE64" s="741"/>
      <c r="AF64" s="812"/>
      <c r="AG64" s="771"/>
      <c r="AH64" s="812"/>
      <c r="AI64" s="741"/>
      <c r="AJ64" s="812"/>
      <c r="AK64" s="741"/>
      <c r="AL64" s="376" t="str">
        <f t="shared" si="51"/>
        <v/>
      </c>
      <c r="BD64" s="381" t="str">
        <f t="shared" si="52"/>
        <v/>
      </c>
      <c r="BE64" s="381" t="str">
        <f t="shared" si="53"/>
        <v/>
      </c>
      <c r="BF64" s="381" t="str">
        <f t="shared" si="54"/>
        <v/>
      </c>
      <c r="BG64" s="381" t="str">
        <f t="shared" si="55"/>
        <v/>
      </c>
      <c r="BJ64" s="381" t="str">
        <f t="shared" si="56"/>
        <v/>
      </c>
      <c r="BK64" s="381" t="str">
        <f t="shared" si="57"/>
        <v/>
      </c>
      <c r="CL64" s="385"/>
      <c r="CM64" s="385"/>
      <c r="CN64" s="391">
        <f t="shared" si="58"/>
        <v>0</v>
      </c>
      <c r="CO64" s="391">
        <f t="shared" si="59"/>
        <v>0</v>
      </c>
      <c r="CP64" s="391">
        <f t="shared" si="60"/>
        <v>0</v>
      </c>
      <c r="CQ64" s="391">
        <f t="shared" si="61"/>
        <v>0</v>
      </c>
      <c r="CR64" s="385"/>
      <c r="CS64" s="385"/>
      <c r="CT64" s="385"/>
      <c r="CU64" s="385"/>
      <c r="CV64" s="391">
        <f t="shared" si="62"/>
        <v>0</v>
      </c>
      <c r="CW64" s="391">
        <f t="shared" si="63"/>
        <v>0</v>
      </c>
      <c r="CX64" s="385"/>
      <c r="CY64" s="385"/>
      <c r="CZ64" s="385"/>
      <c r="DA64" s="385"/>
      <c r="DB64" s="385"/>
      <c r="DC64" s="385"/>
      <c r="DD64" s="385"/>
      <c r="DE64" s="385"/>
      <c r="DF64" s="385"/>
      <c r="DG64" s="385"/>
      <c r="DH64" s="385"/>
      <c r="DI64" s="385"/>
      <c r="DJ64" s="385"/>
      <c r="DK64" s="385"/>
      <c r="DL64" s="385"/>
      <c r="DM64" s="385"/>
      <c r="DN64" s="385"/>
      <c r="DO64" s="385"/>
      <c r="DP64" s="385"/>
      <c r="DQ64" s="385"/>
      <c r="DR64" s="385"/>
      <c r="DS64" s="385"/>
    </row>
    <row r="65" spans="1:123" ht="18.75" customHeight="1" x14ac:dyDescent="0.15">
      <c r="A65" s="2084" t="s">
        <v>888</v>
      </c>
      <c r="B65" s="1287" t="s">
        <v>178</v>
      </c>
      <c r="C65" s="722">
        <f t="shared" si="48"/>
        <v>0</v>
      </c>
      <c r="D65" s="789">
        <f>+F65+H65+J65+L65+N65+P65+R65+T65+V65+X65+Z65+AB65+AD65+AF65</f>
        <v>0</v>
      </c>
      <c r="E65" s="801">
        <f>+G65+I65+K65+M65+O65+Q65+S65+U65+W65+Y65+AA65+AC65+AE65+AG65</f>
        <v>0</v>
      </c>
      <c r="F65" s="755"/>
      <c r="G65" s="756"/>
      <c r="H65" s="755"/>
      <c r="I65" s="756"/>
      <c r="J65" s="755"/>
      <c r="K65" s="756"/>
      <c r="L65" s="755"/>
      <c r="M65" s="756"/>
      <c r="N65" s="755"/>
      <c r="O65" s="756"/>
      <c r="P65" s="755"/>
      <c r="Q65" s="756"/>
      <c r="R65" s="755"/>
      <c r="S65" s="756"/>
      <c r="T65" s="755"/>
      <c r="U65" s="756"/>
      <c r="V65" s="755"/>
      <c r="W65" s="756"/>
      <c r="X65" s="755"/>
      <c r="Y65" s="756"/>
      <c r="Z65" s="755"/>
      <c r="AA65" s="756"/>
      <c r="AB65" s="755"/>
      <c r="AC65" s="756"/>
      <c r="AD65" s="755"/>
      <c r="AE65" s="756"/>
      <c r="AF65" s="816"/>
      <c r="AG65" s="757"/>
      <c r="AH65" s="816"/>
      <c r="AI65" s="756"/>
      <c r="AJ65" s="816"/>
      <c r="AK65" s="756"/>
      <c r="AL65" s="376" t="str">
        <f t="shared" si="51"/>
        <v/>
      </c>
      <c r="BD65" s="381" t="str">
        <f t="shared" si="52"/>
        <v/>
      </c>
      <c r="BE65" s="381" t="str">
        <f t="shared" si="53"/>
        <v/>
      </c>
      <c r="BF65" s="381" t="str">
        <f t="shared" si="54"/>
        <v/>
      </c>
      <c r="BG65" s="381" t="str">
        <f t="shared" si="55"/>
        <v/>
      </c>
      <c r="BJ65" s="381" t="str">
        <f t="shared" si="56"/>
        <v/>
      </c>
      <c r="BK65" s="381" t="str">
        <f t="shared" si="57"/>
        <v/>
      </c>
      <c r="CL65" s="385"/>
      <c r="CM65" s="385"/>
      <c r="CN65" s="391">
        <f t="shared" si="58"/>
        <v>0</v>
      </c>
      <c r="CO65" s="391">
        <f t="shared" si="59"/>
        <v>0</v>
      </c>
      <c r="CP65" s="391">
        <f t="shared" si="60"/>
        <v>0</v>
      </c>
      <c r="CQ65" s="391">
        <f t="shared" si="61"/>
        <v>0</v>
      </c>
      <c r="CR65" s="385"/>
      <c r="CS65" s="385"/>
      <c r="CT65" s="385"/>
      <c r="CU65" s="385"/>
      <c r="CV65" s="391">
        <f t="shared" si="62"/>
        <v>0</v>
      </c>
      <c r="CW65" s="391">
        <f t="shared" si="63"/>
        <v>0</v>
      </c>
      <c r="CX65" s="385"/>
      <c r="CY65" s="385"/>
      <c r="CZ65" s="385"/>
      <c r="DA65" s="385"/>
      <c r="DB65" s="385"/>
      <c r="DC65" s="385"/>
      <c r="DD65" s="385"/>
      <c r="DE65" s="385"/>
      <c r="DF65" s="385"/>
      <c r="DG65" s="385"/>
      <c r="DH65" s="385"/>
      <c r="DI65" s="385"/>
      <c r="DJ65" s="385"/>
      <c r="DK65" s="385"/>
      <c r="DL65" s="385"/>
      <c r="DM65" s="385"/>
      <c r="DN65" s="385"/>
      <c r="DO65" s="385"/>
      <c r="DP65" s="385"/>
      <c r="DQ65" s="385"/>
      <c r="DR65" s="385"/>
      <c r="DS65" s="385"/>
    </row>
    <row r="66" spans="1:123" ht="18.75" customHeight="1" x14ac:dyDescent="0.15">
      <c r="A66" s="2085"/>
      <c r="B66" s="1065" t="s">
        <v>179</v>
      </c>
      <c r="C66" s="725">
        <f t="shared" ref="C66" si="69">SUM(D66:E66)</f>
        <v>0</v>
      </c>
      <c r="D66" s="1576">
        <f t="shared" ref="D66" si="70">+F66+H66+J66+L66+N66+P66+R66+T66+V66+X66+Z66+AB66+AD66+AF66</f>
        <v>0</v>
      </c>
      <c r="E66" s="1564">
        <f t="shared" ref="E66" si="71">+G66+I66+K66+M66+O66+Q66+S66+U66+W66+Y66+AA66+AC66+AE66+AG66</f>
        <v>0</v>
      </c>
      <c r="F66" s="797"/>
      <c r="G66" s="798"/>
      <c r="H66" s="797"/>
      <c r="I66" s="798"/>
      <c r="J66" s="797"/>
      <c r="K66" s="798"/>
      <c r="L66" s="797"/>
      <c r="M66" s="798"/>
      <c r="N66" s="797"/>
      <c r="O66" s="798"/>
      <c r="P66" s="797"/>
      <c r="Q66" s="798"/>
      <c r="R66" s="797"/>
      <c r="S66" s="798"/>
      <c r="T66" s="797"/>
      <c r="U66" s="798"/>
      <c r="V66" s="797"/>
      <c r="W66" s="798"/>
      <c r="X66" s="797"/>
      <c r="Y66" s="798"/>
      <c r="Z66" s="797"/>
      <c r="AA66" s="798"/>
      <c r="AB66" s="797"/>
      <c r="AC66" s="798"/>
      <c r="AD66" s="797"/>
      <c r="AE66" s="798"/>
      <c r="AF66" s="1175"/>
      <c r="AG66" s="799"/>
      <c r="AH66" s="1175"/>
      <c r="AI66" s="798"/>
      <c r="AJ66" s="1175"/>
      <c r="AK66" s="798"/>
      <c r="AL66" s="376" t="str">
        <f t="shared" si="51"/>
        <v/>
      </c>
      <c r="BD66" s="381" t="str">
        <f t="shared" si="52"/>
        <v/>
      </c>
      <c r="BE66" s="381" t="str">
        <f t="shared" si="53"/>
        <v/>
      </c>
      <c r="BF66" s="381" t="str">
        <f t="shared" si="54"/>
        <v/>
      </c>
      <c r="BG66" s="381" t="str">
        <f t="shared" si="55"/>
        <v/>
      </c>
      <c r="BJ66" s="381" t="str">
        <f t="shared" si="56"/>
        <v/>
      </c>
      <c r="BK66" s="381" t="str">
        <f t="shared" si="57"/>
        <v/>
      </c>
      <c r="CL66" s="385"/>
      <c r="CM66" s="385"/>
      <c r="CN66" s="391">
        <f t="shared" si="58"/>
        <v>0</v>
      </c>
      <c r="CO66" s="391">
        <f t="shared" si="59"/>
        <v>0</v>
      </c>
      <c r="CP66" s="391">
        <f t="shared" si="60"/>
        <v>0</v>
      </c>
      <c r="CQ66" s="391">
        <f t="shared" si="61"/>
        <v>0</v>
      </c>
      <c r="CR66" s="385"/>
      <c r="CS66" s="385"/>
      <c r="CT66" s="385"/>
      <c r="CU66" s="385"/>
      <c r="CV66" s="391">
        <f t="shared" si="62"/>
        <v>0</v>
      </c>
      <c r="CW66" s="391">
        <f t="shared" si="63"/>
        <v>0</v>
      </c>
      <c r="CX66" s="385"/>
      <c r="CY66" s="385"/>
      <c r="CZ66" s="385"/>
      <c r="DA66" s="385"/>
      <c r="DB66" s="385"/>
      <c r="DC66" s="385"/>
      <c r="DD66" s="385"/>
      <c r="DE66" s="385"/>
      <c r="DF66" s="385"/>
      <c r="DG66" s="385"/>
      <c r="DH66" s="385"/>
      <c r="DI66" s="385"/>
      <c r="DJ66" s="385"/>
      <c r="DK66" s="385"/>
      <c r="DL66" s="385"/>
      <c r="DM66" s="385"/>
      <c r="DN66" s="385"/>
      <c r="DO66" s="385"/>
      <c r="DP66" s="385"/>
      <c r="DQ66" s="385"/>
      <c r="DR66" s="385"/>
      <c r="DS66" s="385"/>
    </row>
    <row r="67" spans="1:123" ht="18.75" customHeight="1" x14ac:dyDescent="0.15">
      <c r="A67" s="2086"/>
      <c r="B67" s="1300" t="s">
        <v>666</v>
      </c>
      <c r="C67" s="719">
        <f>SUM(D67:E67)</f>
        <v>0</v>
      </c>
      <c r="D67" s="720">
        <f t="shared" ref="D67:E69" si="72">+F67+H67+J67+L67+N67+P67+R67+T67+V67+X67+Z67+AB67+AD67+AF67</f>
        <v>0</v>
      </c>
      <c r="E67" s="805">
        <f t="shared" si="72"/>
        <v>0</v>
      </c>
      <c r="F67" s="740"/>
      <c r="G67" s="741"/>
      <c r="H67" s="740"/>
      <c r="I67" s="741"/>
      <c r="J67" s="740"/>
      <c r="K67" s="741"/>
      <c r="L67" s="740"/>
      <c r="M67" s="741"/>
      <c r="N67" s="740"/>
      <c r="O67" s="741"/>
      <c r="P67" s="740"/>
      <c r="Q67" s="741"/>
      <c r="R67" s="740"/>
      <c r="S67" s="741"/>
      <c r="T67" s="740"/>
      <c r="U67" s="741"/>
      <c r="V67" s="740"/>
      <c r="W67" s="741"/>
      <c r="X67" s="740"/>
      <c r="Y67" s="741"/>
      <c r="Z67" s="740"/>
      <c r="AA67" s="741"/>
      <c r="AB67" s="740"/>
      <c r="AC67" s="741"/>
      <c r="AD67" s="740"/>
      <c r="AE67" s="741"/>
      <c r="AF67" s="812"/>
      <c r="AG67" s="771"/>
      <c r="AH67" s="812"/>
      <c r="AI67" s="741"/>
      <c r="AJ67" s="812"/>
      <c r="AK67" s="741"/>
      <c r="AL67" s="376" t="str">
        <f t="shared" si="51"/>
        <v/>
      </c>
      <c r="BD67" s="381" t="str">
        <f t="shared" si="52"/>
        <v/>
      </c>
      <c r="BE67" s="381" t="str">
        <f t="shared" si="53"/>
        <v/>
      </c>
      <c r="BF67" s="381" t="str">
        <f t="shared" si="54"/>
        <v/>
      </c>
      <c r="BG67" s="381" t="str">
        <f t="shared" si="55"/>
        <v/>
      </c>
      <c r="BJ67" s="381" t="str">
        <f t="shared" si="56"/>
        <v/>
      </c>
      <c r="BK67" s="381" t="str">
        <f t="shared" si="57"/>
        <v/>
      </c>
      <c r="CL67" s="385"/>
      <c r="CM67" s="385"/>
      <c r="CN67" s="391">
        <f t="shared" si="58"/>
        <v>0</v>
      </c>
      <c r="CO67" s="391">
        <f t="shared" si="59"/>
        <v>0</v>
      </c>
      <c r="CP67" s="391">
        <f t="shared" si="60"/>
        <v>0</v>
      </c>
      <c r="CQ67" s="391">
        <f t="shared" si="61"/>
        <v>0</v>
      </c>
      <c r="CR67" s="385"/>
      <c r="CS67" s="385"/>
      <c r="CT67" s="385"/>
      <c r="CU67" s="385"/>
      <c r="CV67" s="391">
        <f t="shared" si="62"/>
        <v>0</v>
      </c>
      <c r="CW67" s="391">
        <f t="shared" si="63"/>
        <v>0</v>
      </c>
      <c r="CX67" s="385"/>
      <c r="CY67" s="385"/>
      <c r="CZ67" s="385"/>
      <c r="DA67" s="385"/>
      <c r="DB67" s="385"/>
      <c r="DC67" s="385"/>
      <c r="DD67" s="385"/>
      <c r="DE67" s="385"/>
      <c r="DF67" s="385"/>
      <c r="DG67" s="385"/>
      <c r="DH67" s="385"/>
      <c r="DI67" s="385"/>
      <c r="DJ67" s="385"/>
      <c r="DK67" s="385"/>
      <c r="DL67" s="385"/>
      <c r="DM67" s="385"/>
      <c r="DN67" s="385"/>
      <c r="DO67" s="385"/>
      <c r="DP67" s="385"/>
      <c r="DQ67" s="385"/>
      <c r="DR67" s="385"/>
      <c r="DS67" s="385"/>
    </row>
    <row r="68" spans="1:123" ht="18.75" customHeight="1" x14ac:dyDescent="0.15">
      <c r="A68" s="2070" t="s">
        <v>696</v>
      </c>
      <c r="B68" s="2071"/>
      <c r="C68" s="714">
        <f t="shared" si="48"/>
        <v>0</v>
      </c>
      <c r="D68" s="715">
        <f t="shared" si="72"/>
        <v>0</v>
      </c>
      <c r="E68" s="794">
        <f t="shared" si="72"/>
        <v>0</v>
      </c>
      <c r="F68" s="731"/>
      <c r="G68" s="732"/>
      <c r="H68" s="731"/>
      <c r="I68" s="732"/>
      <c r="J68" s="731"/>
      <c r="K68" s="732"/>
      <c r="L68" s="731"/>
      <c r="M68" s="732"/>
      <c r="N68" s="731"/>
      <c r="O68" s="732"/>
      <c r="P68" s="731"/>
      <c r="Q68" s="732"/>
      <c r="R68" s="731"/>
      <c r="S68" s="732"/>
      <c r="T68" s="731"/>
      <c r="U68" s="732"/>
      <c r="V68" s="731"/>
      <c r="W68" s="732"/>
      <c r="X68" s="731"/>
      <c r="Y68" s="732"/>
      <c r="Z68" s="731"/>
      <c r="AA68" s="732"/>
      <c r="AB68" s="731"/>
      <c r="AC68" s="732"/>
      <c r="AD68" s="731"/>
      <c r="AE68" s="732"/>
      <c r="AF68" s="810"/>
      <c r="AG68" s="743"/>
      <c r="AH68" s="810"/>
      <c r="AI68" s="732"/>
      <c r="AJ68" s="810"/>
      <c r="AK68" s="732"/>
      <c r="AL68" s="376"/>
      <c r="BD68" s="381" t="str">
        <f t="shared" si="52"/>
        <v/>
      </c>
      <c r="BE68" s="381" t="str">
        <f t="shared" si="53"/>
        <v/>
      </c>
      <c r="BF68" s="381" t="str">
        <f t="shared" si="54"/>
        <v/>
      </c>
      <c r="BG68" s="381" t="str">
        <f t="shared" si="55"/>
        <v/>
      </c>
      <c r="BJ68" s="381" t="str">
        <f t="shared" si="56"/>
        <v/>
      </c>
      <c r="BK68" s="381" t="str">
        <f t="shared" si="57"/>
        <v/>
      </c>
      <c r="CL68" s="385"/>
      <c r="CM68" s="385"/>
      <c r="CN68" s="391">
        <f t="shared" si="58"/>
        <v>0</v>
      </c>
      <c r="CO68" s="391">
        <f t="shared" si="59"/>
        <v>0</v>
      </c>
      <c r="CP68" s="391">
        <f t="shared" si="60"/>
        <v>0</v>
      </c>
      <c r="CQ68" s="391">
        <f t="shared" si="61"/>
        <v>0</v>
      </c>
      <c r="CR68" s="385"/>
      <c r="CS68" s="385"/>
      <c r="CT68" s="385"/>
      <c r="CU68" s="385"/>
      <c r="CV68" s="391">
        <f t="shared" si="62"/>
        <v>0</v>
      </c>
      <c r="CW68" s="391">
        <f t="shared" si="63"/>
        <v>0</v>
      </c>
      <c r="CX68" s="385"/>
      <c r="CY68" s="385"/>
      <c r="CZ68" s="385"/>
      <c r="DA68" s="385"/>
      <c r="DB68" s="385"/>
      <c r="DC68" s="385"/>
      <c r="DD68" s="385"/>
      <c r="DE68" s="385"/>
      <c r="DF68" s="385"/>
      <c r="DG68" s="385"/>
      <c r="DH68" s="385"/>
      <c r="DI68" s="385"/>
      <c r="DJ68" s="385"/>
      <c r="DK68" s="385"/>
      <c r="DL68" s="385"/>
      <c r="DM68" s="385"/>
      <c r="DN68" s="385"/>
      <c r="DO68" s="385"/>
      <c r="DP68" s="385"/>
      <c r="DQ68" s="385"/>
      <c r="DR68" s="385"/>
      <c r="DS68" s="385"/>
    </row>
    <row r="69" spans="1:123" ht="18.75" customHeight="1" x14ac:dyDescent="0.15">
      <c r="A69" s="2052" t="s">
        <v>569</v>
      </c>
      <c r="B69" s="2053"/>
      <c r="C69" s="722">
        <f t="shared" si="48"/>
        <v>0</v>
      </c>
      <c r="D69" s="789">
        <f t="shared" si="72"/>
        <v>0</v>
      </c>
      <c r="E69" s="801">
        <f t="shared" si="72"/>
        <v>0</v>
      </c>
      <c r="F69" s="755"/>
      <c r="G69" s="756"/>
      <c r="H69" s="755"/>
      <c r="I69" s="756"/>
      <c r="J69" s="755"/>
      <c r="K69" s="756"/>
      <c r="L69" s="755"/>
      <c r="M69" s="756"/>
      <c r="N69" s="755"/>
      <c r="O69" s="756"/>
      <c r="P69" s="755"/>
      <c r="Q69" s="756"/>
      <c r="R69" s="755"/>
      <c r="S69" s="756"/>
      <c r="T69" s="755"/>
      <c r="U69" s="756"/>
      <c r="V69" s="755"/>
      <c r="W69" s="756"/>
      <c r="X69" s="755"/>
      <c r="Y69" s="756"/>
      <c r="Z69" s="755"/>
      <c r="AA69" s="756"/>
      <c r="AB69" s="755"/>
      <c r="AC69" s="756"/>
      <c r="AD69" s="755"/>
      <c r="AE69" s="756"/>
      <c r="AF69" s="816"/>
      <c r="AG69" s="757"/>
      <c r="AH69" s="816"/>
      <c r="AI69" s="756"/>
      <c r="AJ69" s="816"/>
      <c r="AK69" s="756"/>
      <c r="AL69" s="376"/>
      <c r="BD69" s="381" t="str">
        <f t="shared" si="52"/>
        <v/>
      </c>
      <c r="BE69" s="381" t="str">
        <f t="shared" si="53"/>
        <v/>
      </c>
      <c r="BF69" s="381" t="str">
        <f t="shared" si="54"/>
        <v/>
      </c>
      <c r="BG69" s="381" t="str">
        <f t="shared" si="55"/>
        <v/>
      </c>
      <c r="BJ69" s="381" t="str">
        <f t="shared" si="56"/>
        <v/>
      </c>
      <c r="BK69" s="381" t="str">
        <f t="shared" si="57"/>
        <v/>
      </c>
      <c r="CL69" s="385"/>
      <c r="CM69" s="385"/>
      <c r="CN69" s="391">
        <f t="shared" si="58"/>
        <v>0</v>
      </c>
      <c r="CO69" s="391">
        <f t="shared" si="59"/>
        <v>0</v>
      </c>
      <c r="CP69" s="391">
        <f t="shared" si="60"/>
        <v>0</v>
      </c>
      <c r="CQ69" s="391">
        <f t="shared" si="61"/>
        <v>0</v>
      </c>
      <c r="CR69" s="385"/>
      <c r="CS69" s="385"/>
      <c r="CT69" s="385"/>
      <c r="CU69" s="385"/>
      <c r="CV69" s="391">
        <f t="shared" si="62"/>
        <v>0</v>
      </c>
      <c r="CW69" s="391">
        <f t="shared" si="63"/>
        <v>0</v>
      </c>
      <c r="CX69" s="385"/>
      <c r="CY69" s="385"/>
      <c r="CZ69" s="385"/>
      <c r="DA69" s="385"/>
      <c r="DB69" s="385"/>
      <c r="DC69" s="385"/>
      <c r="DD69" s="385"/>
      <c r="DE69" s="385"/>
      <c r="DF69" s="385"/>
      <c r="DG69" s="385"/>
      <c r="DH69" s="385"/>
      <c r="DI69" s="385"/>
      <c r="DJ69" s="385"/>
      <c r="DK69" s="385"/>
      <c r="DL69" s="385"/>
      <c r="DM69" s="385"/>
      <c r="DN69" s="385"/>
      <c r="DO69" s="385"/>
      <c r="DP69" s="385"/>
      <c r="DQ69" s="385"/>
      <c r="DR69" s="385"/>
      <c r="DS69" s="385"/>
    </row>
    <row r="70" spans="1:123" ht="18.75" customHeight="1" x14ac:dyDescent="0.15">
      <c r="A70" s="2054" t="s">
        <v>671</v>
      </c>
      <c r="B70" s="2055"/>
      <c r="C70" s="734">
        <f t="shared" si="48"/>
        <v>0</v>
      </c>
      <c r="D70" s="717">
        <f t="shared" si="49"/>
        <v>0</v>
      </c>
      <c r="E70" s="795">
        <f t="shared" si="50"/>
        <v>0</v>
      </c>
      <c r="F70" s="735"/>
      <c r="G70" s="736"/>
      <c r="H70" s="735"/>
      <c r="I70" s="736"/>
      <c r="J70" s="735"/>
      <c r="K70" s="736"/>
      <c r="L70" s="735"/>
      <c r="M70" s="736"/>
      <c r="N70" s="735"/>
      <c r="O70" s="736"/>
      <c r="P70" s="735"/>
      <c r="Q70" s="736"/>
      <c r="R70" s="735"/>
      <c r="S70" s="736"/>
      <c r="T70" s="735"/>
      <c r="U70" s="736"/>
      <c r="V70" s="735"/>
      <c r="W70" s="736"/>
      <c r="X70" s="735"/>
      <c r="Y70" s="736"/>
      <c r="Z70" s="735"/>
      <c r="AA70" s="736"/>
      <c r="AB70" s="735"/>
      <c r="AC70" s="736"/>
      <c r="AD70" s="735"/>
      <c r="AE70" s="736"/>
      <c r="AF70" s="813"/>
      <c r="AG70" s="744"/>
      <c r="AH70" s="816"/>
      <c r="AI70" s="756"/>
      <c r="AJ70" s="816"/>
      <c r="AK70" s="756"/>
      <c r="AL70" s="376" t="str">
        <f t="shared" si="51"/>
        <v/>
      </c>
      <c r="BD70" s="381" t="str">
        <f t="shared" si="52"/>
        <v/>
      </c>
      <c r="BE70" s="381" t="str">
        <f t="shared" si="53"/>
        <v/>
      </c>
      <c r="BF70" s="381" t="str">
        <f t="shared" si="54"/>
        <v/>
      </c>
      <c r="BG70" s="381" t="str">
        <f t="shared" si="55"/>
        <v/>
      </c>
      <c r="BJ70" s="381" t="str">
        <f t="shared" si="56"/>
        <v/>
      </c>
      <c r="BK70" s="381" t="str">
        <f t="shared" si="57"/>
        <v/>
      </c>
      <c r="CL70" s="385"/>
      <c r="CM70" s="385"/>
      <c r="CN70" s="391">
        <f t="shared" si="58"/>
        <v>0</v>
      </c>
      <c r="CO70" s="391">
        <f t="shared" si="59"/>
        <v>0</v>
      </c>
      <c r="CP70" s="391">
        <f t="shared" si="60"/>
        <v>0</v>
      </c>
      <c r="CQ70" s="391">
        <f t="shared" si="61"/>
        <v>0</v>
      </c>
      <c r="CR70" s="385"/>
      <c r="CS70" s="385"/>
      <c r="CT70" s="385"/>
      <c r="CU70" s="385"/>
      <c r="CV70" s="391">
        <f t="shared" si="62"/>
        <v>0</v>
      </c>
      <c r="CW70" s="391">
        <f t="shared" si="63"/>
        <v>0</v>
      </c>
      <c r="CX70" s="385"/>
      <c r="CY70" s="385"/>
      <c r="CZ70" s="385"/>
      <c r="DA70" s="385"/>
      <c r="DB70" s="385"/>
      <c r="DC70" s="385"/>
      <c r="DD70" s="385"/>
      <c r="DE70" s="385"/>
      <c r="DF70" s="385"/>
      <c r="DG70" s="385"/>
      <c r="DH70" s="385"/>
      <c r="DI70" s="385"/>
      <c r="DJ70" s="385"/>
      <c r="DK70" s="385"/>
      <c r="DL70" s="385"/>
      <c r="DM70" s="385"/>
      <c r="DN70" s="385"/>
      <c r="DO70" s="385"/>
      <c r="DP70" s="385"/>
      <c r="DQ70" s="385"/>
      <c r="DR70" s="385"/>
      <c r="DS70" s="385"/>
    </row>
    <row r="71" spans="1:123" ht="18.75" customHeight="1" x14ac:dyDescent="0.15">
      <c r="A71" s="2054" t="s">
        <v>672</v>
      </c>
      <c r="B71" s="2055"/>
      <c r="C71" s="723">
        <f>SUM(D71:E71)</f>
        <v>0</v>
      </c>
      <c r="D71" s="789">
        <f>+F71+H71+J71+L71+N71+P71+R71+T71+V71+X71+Z71+AB71+AD71+AF71</f>
        <v>0</v>
      </c>
      <c r="E71" s="801">
        <f>+G71+I71+K71+M71+O71+Q71+S71+U71+W71+Y71+AA71+AC71+AE71+AG71</f>
        <v>0</v>
      </c>
      <c r="F71" s="755"/>
      <c r="G71" s="756"/>
      <c r="H71" s="755"/>
      <c r="I71" s="756"/>
      <c r="J71" s="755"/>
      <c r="K71" s="756"/>
      <c r="L71" s="755"/>
      <c r="M71" s="756"/>
      <c r="N71" s="755"/>
      <c r="O71" s="756"/>
      <c r="P71" s="755"/>
      <c r="Q71" s="756"/>
      <c r="R71" s="755"/>
      <c r="S71" s="756"/>
      <c r="T71" s="755"/>
      <c r="U71" s="756"/>
      <c r="V71" s="755"/>
      <c r="W71" s="756"/>
      <c r="X71" s="755"/>
      <c r="Y71" s="756"/>
      <c r="Z71" s="755"/>
      <c r="AA71" s="756"/>
      <c r="AB71" s="755"/>
      <c r="AC71" s="756"/>
      <c r="AD71" s="755"/>
      <c r="AE71" s="756"/>
      <c r="AF71" s="816"/>
      <c r="AG71" s="757"/>
      <c r="AH71" s="816"/>
      <c r="AI71" s="756"/>
      <c r="AJ71" s="816"/>
      <c r="AK71" s="756"/>
      <c r="AL71" s="376" t="str">
        <f t="shared" si="51"/>
        <v/>
      </c>
      <c r="BD71" s="381" t="str">
        <f t="shared" si="52"/>
        <v/>
      </c>
      <c r="BE71" s="381" t="str">
        <f t="shared" si="53"/>
        <v/>
      </c>
      <c r="BF71" s="381" t="str">
        <f t="shared" si="54"/>
        <v/>
      </c>
      <c r="BG71" s="381" t="str">
        <f t="shared" si="55"/>
        <v/>
      </c>
      <c r="BJ71" s="381" t="str">
        <f t="shared" si="56"/>
        <v/>
      </c>
      <c r="BK71" s="381" t="str">
        <f t="shared" si="57"/>
        <v/>
      </c>
      <c r="CL71" s="385"/>
      <c r="CM71" s="385"/>
      <c r="CN71" s="391">
        <f t="shared" si="58"/>
        <v>0</v>
      </c>
      <c r="CO71" s="391">
        <f t="shared" si="59"/>
        <v>0</v>
      </c>
      <c r="CP71" s="391">
        <f t="shared" si="60"/>
        <v>0</v>
      </c>
      <c r="CQ71" s="391">
        <f t="shared" si="61"/>
        <v>0</v>
      </c>
      <c r="CR71" s="385"/>
      <c r="CS71" s="385"/>
      <c r="CT71" s="385"/>
      <c r="CU71" s="385"/>
      <c r="CV71" s="391">
        <f t="shared" si="62"/>
        <v>0</v>
      </c>
      <c r="CW71" s="391">
        <f t="shared" si="63"/>
        <v>0</v>
      </c>
      <c r="CX71" s="385"/>
      <c r="CY71" s="385"/>
      <c r="CZ71" s="385"/>
      <c r="DA71" s="385"/>
      <c r="DB71" s="385"/>
      <c r="DC71" s="385"/>
      <c r="DD71" s="385"/>
      <c r="DE71" s="385"/>
      <c r="DF71" s="385"/>
      <c r="DG71" s="385"/>
      <c r="DH71" s="385"/>
      <c r="DI71" s="385"/>
      <c r="DJ71" s="385"/>
      <c r="DK71" s="385"/>
      <c r="DL71" s="385"/>
      <c r="DM71" s="385"/>
      <c r="DN71" s="385"/>
      <c r="DO71" s="385"/>
      <c r="DP71" s="385"/>
      <c r="DQ71" s="385"/>
      <c r="DR71" s="385"/>
      <c r="DS71" s="385"/>
    </row>
    <row r="72" spans="1:123" ht="18.75" customHeight="1" x14ac:dyDescent="0.2">
      <c r="A72" s="1246" t="s">
        <v>620</v>
      </c>
      <c r="B72" s="1067"/>
      <c r="C72" s="723">
        <f>SUM(D72:E72)</f>
        <v>0</v>
      </c>
      <c r="D72" s="789">
        <f t="shared" si="49"/>
        <v>0</v>
      </c>
      <c r="E72" s="791">
        <f t="shared" si="50"/>
        <v>0</v>
      </c>
      <c r="F72" s="816"/>
      <c r="G72" s="756"/>
      <c r="H72" s="755"/>
      <c r="I72" s="756"/>
      <c r="J72" s="755"/>
      <c r="K72" s="756"/>
      <c r="L72" s="755"/>
      <c r="M72" s="756"/>
      <c r="N72" s="755"/>
      <c r="O72" s="756"/>
      <c r="P72" s="755"/>
      <c r="Q72" s="756"/>
      <c r="R72" s="755"/>
      <c r="S72" s="756"/>
      <c r="T72" s="755"/>
      <c r="U72" s="756"/>
      <c r="V72" s="755"/>
      <c r="W72" s="756"/>
      <c r="X72" s="755"/>
      <c r="Y72" s="756"/>
      <c r="Z72" s="755"/>
      <c r="AA72" s="756"/>
      <c r="AB72" s="755"/>
      <c r="AC72" s="756"/>
      <c r="AD72" s="755"/>
      <c r="AE72" s="756"/>
      <c r="AF72" s="816"/>
      <c r="AG72" s="757"/>
      <c r="AH72" s="816"/>
      <c r="AI72" s="756"/>
      <c r="AJ72" s="816"/>
      <c r="AK72" s="756"/>
      <c r="AL72" s="376" t="str">
        <f t="shared" si="51"/>
        <v/>
      </c>
      <c r="BD72" s="381" t="str">
        <f t="shared" si="52"/>
        <v/>
      </c>
      <c r="BE72" s="381" t="str">
        <f t="shared" si="53"/>
        <v/>
      </c>
      <c r="BF72" s="381" t="str">
        <f t="shared" si="54"/>
        <v/>
      </c>
      <c r="BG72" s="381" t="str">
        <f t="shared" si="55"/>
        <v/>
      </c>
      <c r="BJ72" s="381" t="str">
        <f t="shared" si="56"/>
        <v/>
      </c>
      <c r="BK72" s="381" t="str">
        <f t="shared" si="57"/>
        <v/>
      </c>
      <c r="CL72" s="385"/>
      <c r="CM72" s="385"/>
      <c r="CN72" s="391">
        <f t="shared" si="58"/>
        <v>0</v>
      </c>
      <c r="CO72" s="391">
        <f t="shared" si="59"/>
        <v>0</v>
      </c>
      <c r="CP72" s="391">
        <f t="shared" si="60"/>
        <v>0</v>
      </c>
      <c r="CQ72" s="391">
        <f t="shared" si="61"/>
        <v>0</v>
      </c>
      <c r="CR72" s="385"/>
      <c r="CS72" s="385"/>
      <c r="CT72" s="385"/>
      <c r="CU72" s="385"/>
      <c r="CV72" s="391">
        <f t="shared" si="62"/>
        <v>0</v>
      </c>
      <c r="CW72" s="391">
        <f t="shared" si="63"/>
        <v>0</v>
      </c>
      <c r="CX72" s="385"/>
      <c r="CY72" s="385"/>
      <c r="CZ72" s="385"/>
      <c r="DA72" s="385"/>
      <c r="DB72" s="385"/>
      <c r="DC72" s="385"/>
      <c r="DD72" s="385"/>
      <c r="DE72" s="385"/>
      <c r="DF72" s="385"/>
      <c r="DG72" s="385"/>
      <c r="DH72" s="385"/>
      <c r="DI72" s="385"/>
      <c r="DJ72" s="385"/>
      <c r="DK72" s="385"/>
      <c r="DL72" s="385"/>
      <c r="DM72" s="385"/>
      <c r="DN72" s="385"/>
      <c r="DO72" s="385"/>
      <c r="DP72" s="385"/>
      <c r="DQ72" s="385"/>
      <c r="DR72" s="385"/>
      <c r="DS72" s="385"/>
    </row>
    <row r="73" spans="1:123" ht="18.75" customHeight="1" x14ac:dyDescent="0.2">
      <c r="A73" s="1246" t="s">
        <v>621</v>
      </c>
      <c r="B73" s="1067"/>
      <c r="C73" s="723">
        <f t="shared" si="48"/>
        <v>0</v>
      </c>
      <c r="D73" s="789">
        <f t="shared" si="49"/>
        <v>0</v>
      </c>
      <c r="E73" s="791">
        <f t="shared" si="50"/>
        <v>0</v>
      </c>
      <c r="F73" s="813"/>
      <c r="G73" s="915"/>
      <c r="H73" s="735"/>
      <c r="I73" s="736"/>
      <c r="J73" s="813"/>
      <c r="K73" s="736"/>
      <c r="L73" s="813"/>
      <c r="M73" s="736"/>
      <c r="N73" s="813"/>
      <c r="O73" s="736"/>
      <c r="P73" s="813"/>
      <c r="Q73" s="736"/>
      <c r="R73" s="813"/>
      <c r="S73" s="736"/>
      <c r="T73" s="735"/>
      <c r="U73" s="736"/>
      <c r="V73" s="735"/>
      <c r="W73" s="736"/>
      <c r="X73" s="735"/>
      <c r="Y73" s="736"/>
      <c r="Z73" s="735"/>
      <c r="AA73" s="736"/>
      <c r="AB73" s="735"/>
      <c r="AC73" s="736"/>
      <c r="AD73" s="735"/>
      <c r="AE73" s="736"/>
      <c r="AF73" s="813"/>
      <c r="AG73" s="1581"/>
      <c r="AH73" s="813"/>
      <c r="AI73" s="736"/>
      <c r="AJ73" s="813"/>
      <c r="AK73" s="736"/>
      <c r="AL73" s="376" t="str">
        <f t="shared" si="51"/>
        <v/>
      </c>
      <c r="BD73" s="381" t="str">
        <f t="shared" si="52"/>
        <v/>
      </c>
      <c r="BE73" s="381" t="str">
        <f t="shared" si="53"/>
        <v/>
      </c>
      <c r="BF73" s="381" t="str">
        <f t="shared" si="54"/>
        <v/>
      </c>
      <c r="BG73" s="381" t="str">
        <f t="shared" si="55"/>
        <v/>
      </c>
      <c r="BJ73" s="381" t="str">
        <f t="shared" si="56"/>
        <v/>
      </c>
      <c r="BK73" s="381" t="str">
        <f t="shared" si="57"/>
        <v/>
      </c>
      <c r="CL73" s="385"/>
      <c r="CM73" s="385"/>
      <c r="CN73" s="391">
        <f t="shared" si="58"/>
        <v>0</v>
      </c>
      <c r="CO73" s="391">
        <f t="shared" si="59"/>
        <v>0</v>
      </c>
      <c r="CP73" s="391">
        <f t="shared" si="60"/>
        <v>0</v>
      </c>
      <c r="CQ73" s="391">
        <f t="shared" si="61"/>
        <v>0</v>
      </c>
      <c r="CR73" s="385"/>
      <c r="CS73" s="385"/>
      <c r="CT73" s="385"/>
      <c r="CU73" s="385"/>
      <c r="CV73" s="391">
        <f t="shared" si="62"/>
        <v>0</v>
      </c>
      <c r="CW73" s="391">
        <f t="shared" si="63"/>
        <v>0</v>
      </c>
      <c r="CX73" s="385"/>
      <c r="CY73" s="385"/>
      <c r="CZ73" s="385"/>
      <c r="DA73" s="385"/>
      <c r="DB73" s="385"/>
      <c r="DC73" s="385"/>
      <c r="DD73" s="385"/>
      <c r="DE73" s="385"/>
      <c r="DF73" s="385"/>
      <c r="DG73" s="385"/>
      <c r="DH73" s="385"/>
      <c r="DI73" s="385"/>
      <c r="DJ73" s="385"/>
      <c r="DK73" s="385"/>
      <c r="DL73" s="385"/>
      <c r="DM73" s="385"/>
      <c r="DN73" s="385"/>
      <c r="DO73" s="385"/>
      <c r="DP73" s="385"/>
      <c r="DQ73" s="385"/>
      <c r="DR73" s="385"/>
      <c r="DS73" s="385"/>
    </row>
    <row r="74" spans="1:123" ht="21.75" customHeight="1" x14ac:dyDescent="0.2">
      <c r="A74" s="1434" t="s">
        <v>732</v>
      </c>
      <c r="B74" s="1299"/>
      <c r="C74" s="719">
        <f t="shared" ref="C74" si="73">SUM(D74:E74)</f>
        <v>0</v>
      </c>
      <c r="D74" s="720">
        <f t="shared" ref="D74" si="74">+F74+H74+J74+L74+N74+P74+R74+T74+V74+X74+Z74+AB74+AD74+AF74</f>
        <v>0</v>
      </c>
      <c r="E74" s="1575">
        <f t="shared" ref="E74" si="75">+G74+I74+K74+M74+O74+Q74+S74+U74+W74+Y74+AA74+AC74+AE74+AG74</f>
        <v>0</v>
      </c>
      <c r="F74" s="811"/>
      <c r="G74" s="925"/>
      <c r="H74" s="751"/>
      <c r="I74" s="752"/>
      <c r="J74" s="811"/>
      <c r="K74" s="752"/>
      <c r="L74" s="811"/>
      <c r="M74" s="752"/>
      <c r="N74" s="811"/>
      <c r="O74" s="752"/>
      <c r="P74" s="811"/>
      <c r="Q74" s="752"/>
      <c r="R74" s="811"/>
      <c r="S74" s="752"/>
      <c r="T74" s="811"/>
      <c r="U74" s="752"/>
      <c r="V74" s="811"/>
      <c r="W74" s="752"/>
      <c r="X74" s="811"/>
      <c r="Y74" s="752"/>
      <c r="Z74" s="811"/>
      <c r="AA74" s="752"/>
      <c r="AB74" s="811"/>
      <c r="AC74" s="752"/>
      <c r="AD74" s="811"/>
      <c r="AE74" s="752"/>
      <c r="AF74" s="811"/>
      <c r="AG74" s="1580"/>
      <c r="AH74" s="811"/>
      <c r="AI74" s="752"/>
      <c r="AJ74" s="811"/>
      <c r="AK74" s="752"/>
      <c r="AL74" s="376" t="str">
        <f t="shared" si="51"/>
        <v/>
      </c>
      <c r="BD74" s="381" t="str">
        <f t="shared" si="52"/>
        <v/>
      </c>
      <c r="BE74" s="381" t="str">
        <f t="shared" si="53"/>
        <v/>
      </c>
      <c r="BF74" s="381" t="str">
        <f t="shared" si="54"/>
        <v/>
      </c>
      <c r="BG74" s="381" t="str">
        <f t="shared" si="55"/>
        <v/>
      </c>
      <c r="BJ74" s="381" t="str">
        <f t="shared" si="56"/>
        <v/>
      </c>
      <c r="BK74" s="381" t="str">
        <f t="shared" si="57"/>
        <v/>
      </c>
      <c r="CL74" s="385"/>
      <c r="CM74" s="385"/>
      <c r="CN74" s="391">
        <f t="shared" si="58"/>
        <v>0</v>
      </c>
      <c r="CO74" s="391">
        <f t="shared" si="59"/>
        <v>0</v>
      </c>
      <c r="CP74" s="391">
        <f t="shared" si="60"/>
        <v>0</v>
      </c>
      <c r="CQ74" s="391">
        <f t="shared" si="61"/>
        <v>0</v>
      </c>
      <c r="CR74" s="385"/>
      <c r="CS74" s="385"/>
      <c r="CT74" s="385"/>
      <c r="CU74" s="385"/>
      <c r="CV74" s="391">
        <f t="shared" si="62"/>
        <v>0</v>
      </c>
      <c r="CW74" s="391">
        <f t="shared" si="63"/>
        <v>0</v>
      </c>
      <c r="CX74" s="385"/>
      <c r="CY74" s="385"/>
      <c r="CZ74" s="385"/>
      <c r="DA74" s="385"/>
      <c r="DB74" s="385"/>
      <c r="DC74" s="385"/>
      <c r="DD74" s="385"/>
      <c r="DE74" s="385"/>
      <c r="DF74" s="385"/>
      <c r="DG74" s="385"/>
      <c r="DH74" s="385"/>
      <c r="DI74" s="385"/>
      <c r="DJ74" s="385"/>
      <c r="DK74" s="385"/>
      <c r="DL74" s="385"/>
      <c r="DM74" s="385"/>
      <c r="DN74" s="385"/>
      <c r="DO74" s="385"/>
      <c r="DP74" s="385"/>
      <c r="DQ74" s="385"/>
      <c r="DR74" s="385"/>
      <c r="DS74" s="385"/>
    </row>
    <row r="75" spans="1:123" ht="18.75" customHeight="1" x14ac:dyDescent="0.15">
      <c r="A75" s="1247" t="s">
        <v>625</v>
      </c>
      <c r="B75" s="1068"/>
      <c r="C75" s="2096"/>
      <c r="D75" s="2096"/>
      <c r="E75" s="2096"/>
      <c r="F75" s="2096"/>
      <c r="G75" s="2096"/>
      <c r="H75" s="2096"/>
      <c r="I75" s="2096"/>
      <c r="J75" s="2096"/>
      <c r="K75" s="2096"/>
      <c r="L75" s="2096"/>
      <c r="M75" s="2096"/>
      <c r="N75" s="2096"/>
      <c r="O75" s="2096"/>
      <c r="P75" s="2096"/>
      <c r="Q75" s="2096"/>
      <c r="R75" s="2096"/>
      <c r="S75" s="2096"/>
      <c r="T75" s="2096"/>
      <c r="U75" s="2096"/>
      <c r="V75" s="2096"/>
      <c r="W75" s="2096"/>
      <c r="X75" s="2096"/>
      <c r="Y75" s="2096"/>
      <c r="Z75" s="2096"/>
      <c r="AA75" s="2096"/>
      <c r="AB75" s="2096"/>
      <c r="AC75" s="2096"/>
      <c r="AD75" s="2096"/>
      <c r="AE75" s="2096"/>
      <c r="AF75" s="2096"/>
      <c r="AG75" s="2096"/>
      <c r="AH75" s="2096"/>
      <c r="AI75" s="2096"/>
      <c r="AJ75" s="2096"/>
      <c r="AK75" s="2097"/>
      <c r="AL75" s="376"/>
      <c r="CL75" s="385"/>
      <c r="CM75" s="385"/>
      <c r="CN75" s="385"/>
      <c r="CO75" s="385"/>
      <c r="CP75" s="385"/>
      <c r="CQ75" s="385"/>
      <c r="CR75" s="385"/>
      <c r="CS75" s="385"/>
      <c r="CT75" s="385"/>
      <c r="CU75" s="385"/>
      <c r="CV75" s="385"/>
      <c r="CW75" s="385"/>
      <c r="CX75" s="385"/>
      <c r="CY75" s="385"/>
      <c r="CZ75" s="385"/>
      <c r="DA75" s="385"/>
      <c r="DB75" s="385"/>
      <c r="DC75" s="385"/>
      <c r="DD75" s="385"/>
      <c r="DE75" s="385"/>
      <c r="DF75" s="385"/>
      <c r="DG75" s="385"/>
      <c r="DH75" s="385"/>
      <c r="DI75" s="385"/>
      <c r="DJ75" s="385"/>
      <c r="DK75" s="385"/>
      <c r="DL75" s="385"/>
      <c r="DM75" s="385"/>
      <c r="DN75" s="385"/>
      <c r="DO75" s="385"/>
      <c r="DP75" s="385"/>
      <c r="DQ75" s="385"/>
      <c r="DR75" s="385"/>
      <c r="DS75" s="385"/>
    </row>
    <row r="76" spans="1:123" ht="20.25" customHeight="1" x14ac:dyDescent="0.15">
      <c r="A76" s="2070" t="s">
        <v>314</v>
      </c>
      <c r="B76" s="2071"/>
      <c r="C76" s="722">
        <f t="shared" ref="C76:C79" si="76">SUM(D76:E76)</f>
        <v>0</v>
      </c>
      <c r="D76" s="789">
        <f>+F76+H76+J76+L76+N76+P76+R76+T76+V76+X76+Z76+AB76+AD76+AF76</f>
        <v>0</v>
      </c>
      <c r="E76" s="801">
        <f>+G76+I76+K76+M76+O76+Q76+S76+U76+W76+Y76+AA76+AC76+AE76+AG76</f>
        <v>0</v>
      </c>
      <c r="F76" s="755"/>
      <c r="G76" s="756"/>
      <c r="H76" s="755"/>
      <c r="I76" s="756"/>
      <c r="J76" s="755"/>
      <c r="K76" s="756"/>
      <c r="L76" s="755"/>
      <c r="M76" s="756"/>
      <c r="N76" s="755"/>
      <c r="O76" s="756"/>
      <c r="P76" s="755"/>
      <c r="Q76" s="756"/>
      <c r="R76" s="755"/>
      <c r="S76" s="756"/>
      <c r="T76" s="755"/>
      <c r="U76" s="756"/>
      <c r="V76" s="755"/>
      <c r="W76" s="756"/>
      <c r="X76" s="755"/>
      <c r="Y76" s="756"/>
      <c r="Z76" s="755"/>
      <c r="AA76" s="756"/>
      <c r="AB76" s="755"/>
      <c r="AC76" s="756"/>
      <c r="AD76" s="755"/>
      <c r="AE76" s="756"/>
      <c r="AF76" s="816"/>
      <c r="AG76" s="757"/>
      <c r="AH76" s="816"/>
      <c r="AI76" s="756"/>
      <c r="AJ76" s="816"/>
      <c r="AK76" s="756"/>
      <c r="AL76" s="376" t="str">
        <f t="shared" si="51"/>
        <v/>
      </c>
      <c r="BD76" s="381" t="str">
        <f>IF($D76&gt;=$AH76,"",CONCATENATE("* Pueblos Originarios-Hombres no debe ser mayor al Total de personas ",A76,"."))</f>
        <v/>
      </c>
      <c r="BE76" s="381" t="str">
        <f>IF($E76&gt;=$AI76,"",CONCATENATE("* Pueblos Originarios-Mujeres no debe ser mayor al Total de personas ",A76,"."))</f>
        <v/>
      </c>
      <c r="BF76" s="381" t="str">
        <f>IF($D76&gt;=$AJ76,"",CONCATENATE("* Población Migrante-Hombres no debe ser mayor al Total de personas ",A76,"."))</f>
        <v/>
      </c>
      <c r="BG76" s="381" t="str">
        <f>IF($E76&gt;=$AK76,"",CONCATENATE("* Población Migrante - Mujeres no debe ser mayor al Total de personas ",A76,"."))</f>
        <v/>
      </c>
      <c r="BJ76" s="381" t="str">
        <f t="shared" ref="BJ76" si="77">IF(AND(D76&lt;&gt;0,AH76=""),"* No olvide escribir en la celda de 'Pueblos Originarios' (Digite CERO si no tiene). ",IF(AND(E76&lt;&gt;0,AI76=""),"* No olvide escribir en la celda de 'Pueblos Originarios' (Digite CERO si no tiene). ",""))</f>
        <v/>
      </c>
      <c r="BK76" s="381" t="str">
        <f t="shared" ref="BK76" si="78">IF(AND(D76&lt;&gt;0,AJ76=""),"* No olvide escribir en la celda de 'Población Migrantes' (Digite CERO si no tiene). ",IF(AND(E76&lt;&gt;0,AK76=""),"* No olvide escribir en la celda de 'Población Migrantes' (Digite CERO si no tiene). ",""))</f>
        <v/>
      </c>
      <c r="CL76" s="385"/>
      <c r="CM76" s="385"/>
      <c r="CN76" s="391">
        <f t="shared" ref="CN76:CN85" si="79">IF($D76&gt;=$AH76,0,1)</f>
        <v>0</v>
      </c>
      <c r="CO76" s="391">
        <f t="shared" ref="CO76:CO85" si="80">IF($E76&gt;=$AI76,0,1)</f>
        <v>0</v>
      </c>
      <c r="CP76" s="391">
        <f t="shared" ref="CP76:CP85" si="81">IF($D76&gt;=$AJ76,0,1)</f>
        <v>0</v>
      </c>
      <c r="CQ76" s="391">
        <f t="shared" ref="CQ76:CQ85" si="82">IF($E76&gt;=$AK76,0,1)</f>
        <v>0</v>
      </c>
      <c r="CR76" s="385"/>
      <c r="CS76" s="385"/>
      <c r="CT76" s="385"/>
      <c r="CU76" s="385"/>
      <c r="CV76" s="391">
        <f>IF(AND(D79&lt;&gt;0,AH79=""),1,IF(AND(E79&lt;&gt;0,AI79=""),1,0))</f>
        <v>0</v>
      </c>
      <c r="CW76" s="391">
        <f>IF(AND(D79&lt;&gt;0,AJ79=""),1,IF(AND(E79&lt;&gt;0,AK79=""),1,0))</f>
        <v>0</v>
      </c>
      <c r="CX76" s="385"/>
      <c r="CY76" s="385"/>
      <c r="CZ76" s="385"/>
      <c r="DA76" s="385"/>
      <c r="DB76" s="385"/>
      <c r="DC76" s="385"/>
      <c r="DD76" s="385"/>
      <c r="DE76" s="385"/>
      <c r="DF76" s="385"/>
      <c r="DG76" s="385"/>
      <c r="DH76" s="385"/>
      <c r="DI76" s="385"/>
      <c r="DJ76" s="385"/>
      <c r="DK76" s="385"/>
      <c r="DL76" s="385"/>
      <c r="DM76" s="385"/>
      <c r="DN76" s="385"/>
      <c r="DO76" s="385"/>
      <c r="DP76" s="385"/>
      <c r="DQ76" s="385"/>
      <c r="DR76" s="385"/>
      <c r="DS76" s="385"/>
    </row>
    <row r="77" spans="1:123" ht="21.75" customHeight="1" x14ac:dyDescent="0.15">
      <c r="A77" s="2064" t="s">
        <v>667</v>
      </c>
      <c r="B77" s="2065"/>
      <c r="C77" s="722">
        <f t="shared" ref="C77" si="83">SUM(D77:E77)</f>
        <v>0</v>
      </c>
      <c r="D77" s="789">
        <f t="shared" ref="D77:D79" si="84">+F77+H77+J77+L77+N77+P77+R77+T77+V77+X77+Z77+AB77+AD77+AF77</f>
        <v>0</v>
      </c>
      <c r="E77" s="801">
        <f t="shared" ref="E77:E79" si="85">+G77+I77+K77+M77+O77+Q77+S77+U77+W77+Y77+AA77+AC77+AE77+AG77</f>
        <v>0</v>
      </c>
      <c r="F77" s="755"/>
      <c r="G77" s="756"/>
      <c r="H77" s="755"/>
      <c r="I77" s="756"/>
      <c r="J77" s="755"/>
      <c r="K77" s="756"/>
      <c r="L77" s="755"/>
      <c r="M77" s="756"/>
      <c r="N77" s="755"/>
      <c r="O77" s="756"/>
      <c r="P77" s="755"/>
      <c r="Q77" s="756"/>
      <c r="R77" s="755"/>
      <c r="S77" s="756"/>
      <c r="T77" s="755"/>
      <c r="U77" s="756"/>
      <c r="V77" s="755"/>
      <c r="W77" s="756"/>
      <c r="X77" s="755"/>
      <c r="Y77" s="756"/>
      <c r="Z77" s="755"/>
      <c r="AA77" s="756"/>
      <c r="AB77" s="755"/>
      <c r="AC77" s="756"/>
      <c r="AD77" s="755"/>
      <c r="AE77" s="756"/>
      <c r="AF77" s="816"/>
      <c r="AG77" s="757"/>
      <c r="AH77" s="816"/>
      <c r="AI77" s="756"/>
      <c r="AJ77" s="816"/>
      <c r="AK77" s="756"/>
      <c r="AL77" s="376" t="str">
        <f t="shared" si="51"/>
        <v/>
      </c>
      <c r="BD77" s="381" t="str">
        <f t="shared" ref="BD77:BD80" si="86">IF($D77&gt;=$AH77,"",CONCATENATE("* Pueblos Originarios-Hombres no debe ser mayor al Total de personas ",A77,"."))</f>
        <v/>
      </c>
      <c r="BE77" s="381" t="str">
        <f t="shared" ref="BE77:BE80" si="87">IF($E77&gt;=$AI77,"",CONCATENATE("* Pueblos Originarios-Mujeres no debe ser mayor al Total de personas ",A77,"."))</f>
        <v/>
      </c>
      <c r="BF77" s="381" t="str">
        <f t="shared" ref="BF77:BF80" si="88">IF($D77&gt;=$AJ77,"",CONCATENATE("* Población Migrante-Hombres no debe ser mayor al Total de personas ",A77,"."))</f>
        <v/>
      </c>
      <c r="BG77" s="381" t="str">
        <f t="shared" ref="BG77:BG80" si="89">IF($E77&gt;=$AK77,"",CONCATENATE("* Población Migrante - Mujeres no debe ser mayor al Total de personas ",A77,"."))</f>
        <v/>
      </c>
      <c r="BJ77" s="381" t="str">
        <f t="shared" ref="BJ77:BJ80" si="90">IF(AND(D77&lt;&gt;0,AH77=""),"* No olvide escribir en la celda de 'Pueblos Originarios' (Digite CERO si no tiene). ",IF(AND(E77&lt;&gt;0,AI77=""),"* No olvide escribir en la celda de 'Pueblos Originarios' (Digite CERO si no tiene). ",""))</f>
        <v/>
      </c>
      <c r="BK77" s="381" t="str">
        <f t="shared" ref="BK77:BK80" si="91">IF(AND(D77&lt;&gt;0,AJ77=""),"* No olvide escribir en la celda de 'Población Migrantes' (Digite CERO si no tiene). ",IF(AND(E77&lt;&gt;0,AK77=""),"* No olvide escribir en la celda de 'Población Migrantes' (Digite CERO si no tiene). ",""))</f>
        <v/>
      </c>
      <c r="CL77" s="385"/>
      <c r="CM77" s="385"/>
      <c r="CN77" s="391">
        <f t="shared" si="79"/>
        <v>0</v>
      </c>
      <c r="CO77" s="391">
        <f t="shared" si="80"/>
        <v>0</v>
      </c>
      <c r="CP77" s="391">
        <f t="shared" si="81"/>
        <v>0</v>
      </c>
      <c r="CQ77" s="391">
        <f t="shared" si="82"/>
        <v>0</v>
      </c>
      <c r="CR77" s="385"/>
      <c r="CS77" s="385"/>
      <c r="CT77" s="385"/>
      <c r="CU77" s="385"/>
      <c r="CV77" s="391">
        <f t="shared" ref="CV77:CV80" si="92">IF(AND(D80&lt;&gt;0,AH80=""),1,IF(AND(E80&lt;&gt;0,AI80=""),1,0))</f>
        <v>0</v>
      </c>
      <c r="CW77" s="391">
        <f t="shared" ref="CW77:CW80" si="93">IF(AND(D80&lt;&gt;0,AJ80=""),1,IF(AND(E80&lt;&gt;0,AK80=""),1,0))</f>
        <v>0</v>
      </c>
      <c r="CX77" s="385"/>
      <c r="CY77" s="385"/>
      <c r="CZ77" s="385"/>
      <c r="DA77" s="385"/>
      <c r="DB77" s="385"/>
      <c r="DC77" s="385"/>
      <c r="DD77" s="385"/>
      <c r="DE77" s="385"/>
      <c r="DF77" s="385"/>
      <c r="DG77" s="385"/>
      <c r="DH77" s="385"/>
      <c r="DI77" s="385"/>
      <c r="DJ77" s="385"/>
      <c r="DK77" s="385"/>
      <c r="DL77" s="385"/>
      <c r="DM77" s="385"/>
      <c r="DN77" s="385"/>
      <c r="DO77" s="385"/>
      <c r="DP77" s="385"/>
      <c r="DQ77" s="385"/>
      <c r="DR77" s="385"/>
      <c r="DS77" s="385"/>
    </row>
    <row r="78" spans="1:123" ht="20.25" customHeight="1" x14ac:dyDescent="0.15">
      <c r="A78" s="2050" t="s">
        <v>455</v>
      </c>
      <c r="B78" s="2051"/>
      <c r="C78" s="716">
        <f t="shared" si="76"/>
        <v>0</v>
      </c>
      <c r="D78" s="717">
        <f t="shared" si="84"/>
        <v>0</v>
      </c>
      <c r="E78" s="795">
        <f t="shared" si="85"/>
        <v>0</v>
      </c>
      <c r="F78" s="735"/>
      <c r="G78" s="736"/>
      <c r="H78" s="735"/>
      <c r="I78" s="736"/>
      <c r="J78" s="735"/>
      <c r="K78" s="736"/>
      <c r="L78" s="735"/>
      <c r="M78" s="736"/>
      <c r="N78" s="735"/>
      <c r="O78" s="736"/>
      <c r="P78" s="735"/>
      <c r="Q78" s="736"/>
      <c r="R78" s="735"/>
      <c r="S78" s="736"/>
      <c r="T78" s="735"/>
      <c r="U78" s="736"/>
      <c r="V78" s="735"/>
      <c r="W78" s="736"/>
      <c r="X78" s="735"/>
      <c r="Y78" s="736"/>
      <c r="Z78" s="735"/>
      <c r="AA78" s="736"/>
      <c r="AB78" s="735"/>
      <c r="AC78" s="736"/>
      <c r="AD78" s="735"/>
      <c r="AE78" s="736"/>
      <c r="AF78" s="813"/>
      <c r="AG78" s="744"/>
      <c r="AH78" s="816"/>
      <c r="AI78" s="756"/>
      <c r="AJ78" s="816"/>
      <c r="AK78" s="756"/>
      <c r="AL78" s="376" t="str">
        <f t="shared" si="51"/>
        <v/>
      </c>
      <c r="BD78" s="381" t="str">
        <f t="shared" si="86"/>
        <v/>
      </c>
      <c r="BE78" s="381" t="str">
        <f t="shared" si="87"/>
        <v/>
      </c>
      <c r="BF78" s="381" t="str">
        <f t="shared" si="88"/>
        <v/>
      </c>
      <c r="BG78" s="381" t="str">
        <f t="shared" si="89"/>
        <v/>
      </c>
      <c r="BJ78" s="381" t="str">
        <f t="shared" si="90"/>
        <v/>
      </c>
      <c r="BK78" s="381" t="str">
        <f t="shared" si="91"/>
        <v/>
      </c>
      <c r="CL78" s="385"/>
      <c r="CM78" s="385"/>
      <c r="CN78" s="391">
        <f t="shared" si="79"/>
        <v>0</v>
      </c>
      <c r="CO78" s="391">
        <f t="shared" si="80"/>
        <v>0</v>
      </c>
      <c r="CP78" s="391">
        <f t="shared" si="81"/>
        <v>0</v>
      </c>
      <c r="CQ78" s="391">
        <f t="shared" si="82"/>
        <v>0</v>
      </c>
      <c r="CR78" s="385"/>
      <c r="CS78" s="385"/>
      <c r="CT78" s="385"/>
      <c r="CU78" s="385"/>
      <c r="CV78" s="391">
        <f t="shared" si="92"/>
        <v>0</v>
      </c>
      <c r="CW78" s="391">
        <f t="shared" si="93"/>
        <v>0</v>
      </c>
      <c r="CX78" s="385"/>
      <c r="CY78" s="385"/>
      <c r="CZ78" s="385"/>
      <c r="DA78" s="385"/>
      <c r="DB78" s="385"/>
      <c r="DC78" s="385"/>
      <c r="DD78" s="385"/>
      <c r="DE78" s="385"/>
      <c r="DF78" s="385"/>
      <c r="DG78" s="385"/>
      <c r="DH78" s="385"/>
      <c r="DI78" s="385"/>
      <c r="DJ78" s="385"/>
      <c r="DK78" s="385"/>
      <c r="DL78" s="385"/>
      <c r="DM78" s="385"/>
      <c r="DN78" s="385"/>
      <c r="DO78" s="385"/>
      <c r="DP78" s="385"/>
      <c r="DQ78" s="385"/>
      <c r="DR78" s="385"/>
      <c r="DS78" s="385"/>
    </row>
    <row r="79" spans="1:123" ht="20.25" customHeight="1" x14ac:dyDescent="0.15">
      <c r="A79" s="2064" t="s">
        <v>683</v>
      </c>
      <c r="B79" s="2065"/>
      <c r="C79" s="716">
        <f t="shared" si="76"/>
        <v>0</v>
      </c>
      <c r="D79" s="717">
        <f t="shared" si="84"/>
        <v>0</v>
      </c>
      <c r="E79" s="791">
        <f t="shared" si="85"/>
        <v>0</v>
      </c>
      <c r="F79" s="735"/>
      <c r="G79" s="915"/>
      <c r="H79" s="735"/>
      <c r="I79" s="915"/>
      <c r="J79" s="735"/>
      <c r="K79" s="915"/>
      <c r="L79" s="735"/>
      <c r="M79" s="915"/>
      <c r="N79" s="735"/>
      <c r="O79" s="915"/>
      <c r="P79" s="735"/>
      <c r="Q79" s="915"/>
      <c r="R79" s="813"/>
      <c r="S79" s="915"/>
      <c r="T79" s="813"/>
      <c r="U79" s="915"/>
      <c r="V79" s="813"/>
      <c r="W79" s="915"/>
      <c r="X79" s="813"/>
      <c r="Y79" s="915"/>
      <c r="Z79" s="813"/>
      <c r="AA79" s="915"/>
      <c r="AB79" s="813"/>
      <c r="AC79" s="915"/>
      <c r="AD79" s="813"/>
      <c r="AE79" s="915"/>
      <c r="AF79" s="813"/>
      <c r="AG79" s="1581"/>
      <c r="AH79" s="813"/>
      <c r="AI79" s="915"/>
      <c r="AJ79" s="813"/>
      <c r="AK79" s="915"/>
      <c r="AL79" s="376" t="str">
        <f t="shared" si="51"/>
        <v/>
      </c>
      <c r="BD79" s="381" t="str">
        <f t="shared" si="86"/>
        <v/>
      </c>
      <c r="BE79" s="381" t="str">
        <f t="shared" si="87"/>
        <v/>
      </c>
      <c r="BF79" s="381" t="str">
        <f t="shared" si="88"/>
        <v/>
      </c>
      <c r="BG79" s="381" t="str">
        <f t="shared" si="89"/>
        <v/>
      </c>
      <c r="BJ79" s="381" t="str">
        <f t="shared" si="90"/>
        <v/>
      </c>
      <c r="BK79" s="381" t="str">
        <f t="shared" si="91"/>
        <v/>
      </c>
      <c r="CL79" s="385"/>
      <c r="CM79" s="385"/>
      <c r="CN79" s="391">
        <f t="shared" si="79"/>
        <v>0</v>
      </c>
      <c r="CO79" s="391">
        <f t="shared" si="80"/>
        <v>0</v>
      </c>
      <c r="CP79" s="391">
        <f t="shared" si="81"/>
        <v>0</v>
      </c>
      <c r="CQ79" s="391">
        <f t="shared" si="82"/>
        <v>0</v>
      </c>
      <c r="CR79" s="385"/>
      <c r="CS79" s="385"/>
      <c r="CT79" s="385"/>
      <c r="CU79" s="385"/>
      <c r="CV79" s="391">
        <f t="shared" si="92"/>
        <v>0</v>
      </c>
      <c r="CW79" s="391">
        <f t="shared" si="93"/>
        <v>0</v>
      </c>
      <c r="CX79" s="385"/>
      <c r="CY79" s="385"/>
      <c r="CZ79" s="385"/>
      <c r="DA79" s="385"/>
      <c r="DB79" s="385"/>
      <c r="DC79" s="385"/>
      <c r="DD79" s="385"/>
      <c r="DE79" s="385"/>
      <c r="DF79" s="385"/>
      <c r="DG79" s="385"/>
      <c r="DH79" s="385"/>
      <c r="DI79" s="385"/>
      <c r="DJ79" s="385"/>
      <c r="DK79" s="385"/>
      <c r="DL79" s="385"/>
      <c r="DM79" s="385"/>
      <c r="DN79" s="385"/>
      <c r="DO79" s="385"/>
      <c r="DP79" s="385"/>
      <c r="DQ79" s="385"/>
      <c r="DR79" s="385"/>
      <c r="DS79" s="385"/>
    </row>
    <row r="80" spans="1:123" ht="20.25" customHeight="1" x14ac:dyDescent="0.15">
      <c r="A80" s="2091" t="s">
        <v>695</v>
      </c>
      <c r="B80" s="2092"/>
      <c r="C80" s="745">
        <f t="shared" ref="C80" si="94">SUM(D80:E80)</f>
        <v>0</v>
      </c>
      <c r="D80" s="1574">
        <f t="shared" ref="D80" si="95">+F80+H80+J80+L80+N80+P80+R80+T80+V80+X80+Z80+AB80+AD80+AF80</f>
        <v>0</v>
      </c>
      <c r="E80" s="1575">
        <f t="shared" ref="E80" si="96">+G80+I80+K80+M80+O80+Q80+S80+U80+W80+Y80+AA80+AC80+AE80+AG80</f>
        <v>0</v>
      </c>
      <c r="F80" s="740"/>
      <c r="G80" s="925"/>
      <c r="H80" s="751"/>
      <c r="I80" s="925"/>
      <c r="J80" s="751"/>
      <c r="K80" s="925"/>
      <c r="L80" s="751"/>
      <c r="M80" s="925"/>
      <c r="N80" s="751"/>
      <c r="O80" s="925"/>
      <c r="P80" s="751"/>
      <c r="Q80" s="925"/>
      <c r="R80" s="811"/>
      <c r="S80" s="925"/>
      <c r="T80" s="811"/>
      <c r="U80" s="925"/>
      <c r="V80" s="811"/>
      <c r="W80" s="925"/>
      <c r="X80" s="811"/>
      <c r="Y80" s="925"/>
      <c r="Z80" s="811"/>
      <c r="AA80" s="925"/>
      <c r="AB80" s="811"/>
      <c r="AC80" s="925"/>
      <c r="AD80" s="811"/>
      <c r="AE80" s="925"/>
      <c r="AF80" s="811"/>
      <c r="AG80" s="1580"/>
      <c r="AH80" s="811"/>
      <c r="AI80" s="925"/>
      <c r="AJ80" s="811"/>
      <c r="AK80" s="925"/>
      <c r="AL80" s="376" t="str">
        <f t="shared" si="51"/>
        <v/>
      </c>
      <c r="BD80" s="381" t="str">
        <f t="shared" si="86"/>
        <v/>
      </c>
      <c r="BE80" s="381" t="str">
        <f t="shared" si="87"/>
        <v/>
      </c>
      <c r="BF80" s="381" t="str">
        <f t="shared" si="88"/>
        <v/>
      </c>
      <c r="BG80" s="381" t="str">
        <f t="shared" si="89"/>
        <v/>
      </c>
      <c r="BJ80" s="381" t="str">
        <f t="shared" si="90"/>
        <v/>
      </c>
      <c r="BK80" s="381" t="str">
        <f t="shared" si="91"/>
        <v/>
      </c>
      <c r="CL80" s="385"/>
      <c r="CM80" s="385"/>
      <c r="CN80" s="391">
        <f t="shared" si="79"/>
        <v>0</v>
      </c>
      <c r="CO80" s="391">
        <f t="shared" si="80"/>
        <v>0</v>
      </c>
      <c r="CP80" s="391">
        <f t="shared" si="81"/>
        <v>0</v>
      </c>
      <c r="CQ80" s="391">
        <f t="shared" si="82"/>
        <v>0</v>
      </c>
      <c r="CR80" s="385"/>
      <c r="CS80" s="385"/>
      <c r="CT80" s="385"/>
      <c r="CU80" s="385"/>
      <c r="CV80" s="391">
        <f t="shared" si="92"/>
        <v>0</v>
      </c>
      <c r="CW80" s="391">
        <f t="shared" si="93"/>
        <v>0</v>
      </c>
      <c r="CX80" s="385"/>
      <c r="CY80" s="385"/>
      <c r="CZ80" s="385"/>
      <c r="DA80" s="385"/>
      <c r="DB80" s="385"/>
      <c r="DC80" s="385"/>
      <c r="DD80" s="385"/>
      <c r="DE80" s="385"/>
      <c r="DF80" s="385"/>
      <c r="DG80" s="385"/>
      <c r="DH80" s="385"/>
      <c r="DI80" s="385"/>
      <c r="DJ80" s="385"/>
      <c r="DK80" s="385"/>
      <c r="DL80" s="385"/>
      <c r="DM80" s="385"/>
      <c r="DN80" s="385"/>
      <c r="DO80" s="385"/>
      <c r="DP80" s="385"/>
      <c r="DQ80" s="385"/>
      <c r="DR80" s="385"/>
      <c r="DS80" s="385"/>
    </row>
    <row r="81" spans="1:123" ht="20.25" customHeight="1" x14ac:dyDescent="0.15">
      <c r="A81" s="2124" t="s">
        <v>365</v>
      </c>
      <c r="B81" s="2125"/>
      <c r="C81" s="2082"/>
      <c r="D81" s="2082"/>
      <c r="E81" s="2082"/>
      <c r="F81" s="2082"/>
      <c r="G81" s="2082"/>
      <c r="H81" s="2082"/>
      <c r="I81" s="2082"/>
      <c r="J81" s="2082"/>
      <c r="K81" s="2082"/>
      <c r="L81" s="2082"/>
      <c r="M81" s="2082"/>
      <c r="N81" s="2082"/>
      <c r="O81" s="2082"/>
      <c r="P81" s="2082"/>
      <c r="Q81" s="2082"/>
      <c r="R81" s="2082"/>
      <c r="S81" s="2082"/>
      <c r="T81" s="2082"/>
      <c r="U81" s="2082"/>
      <c r="V81" s="2082"/>
      <c r="W81" s="2082"/>
      <c r="X81" s="2082"/>
      <c r="Y81" s="2082"/>
      <c r="Z81" s="2082"/>
      <c r="AA81" s="2082"/>
      <c r="AB81" s="2082"/>
      <c r="AC81" s="2082"/>
      <c r="AD81" s="2082"/>
      <c r="AE81" s="2082"/>
      <c r="AF81" s="2082"/>
      <c r="AG81" s="2082"/>
      <c r="AH81" s="2082"/>
      <c r="AI81" s="2082"/>
      <c r="AJ81" s="2082"/>
      <c r="AK81" s="2083"/>
      <c r="AL81" s="376"/>
      <c r="CL81" s="385"/>
      <c r="CM81" s="385"/>
      <c r="CN81" s="385"/>
      <c r="CO81" s="385"/>
      <c r="CP81" s="385"/>
      <c r="CQ81" s="385"/>
      <c r="CR81" s="385"/>
      <c r="CS81" s="385"/>
      <c r="CT81" s="385"/>
      <c r="CU81" s="385"/>
      <c r="CV81" s="385"/>
      <c r="CW81" s="385"/>
      <c r="CX81" s="385"/>
      <c r="CY81" s="385"/>
      <c r="CZ81" s="385"/>
      <c r="DA81" s="385"/>
      <c r="DB81" s="385"/>
      <c r="DC81" s="385"/>
      <c r="DD81" s="385"/>
      <c r="DE81" s="385"/>
      <c r="DF81" s="385"/>
      <c r="DG81" s="385"/>
      <c r="DH81" s="385"/>
      <c r="DI81" s="385"/>
      <c r="DJ81" s="385"/>
      <c r="DK81" s="385"/>
      <c r="DL81" s="385"/>
      <c r="DM81" s="385"/>
      <c r="DN81" s="385"/>
      <c r="DO81" s="385"/>
      <c r="DP81" s="385"/>
      <c r="DQ81" s="385"/>
      <c r="DR81" s="385"/>
      <c r="DS81" s="385"/>
    </row>
    <row r="82" spans="1:123" ht="20.25" customHeight="1" x14ac:dyDescent="0.15">
      <c r="A82" s="2056" t="s">
        <v>590</v>
      </c>
      <c r="B82" s="2057"/>
      <c r="C82" s="714">
        <f t="shared" ref="C82:C86" si="97">SUM(D82:E82)</f>
        <v>0</v>
      </c>
      <c r="D82" s="715">
        <f>+F82+H82+J82+L82+N82+P82+R82+T82+V82+X82</f>
        <v>0</v>
      </c>
      <c r="E82" s="794">
        <f>+G82+I82+K82+M82+O82+Q82+S82+U82+W82+Y82</f>
        <v>0</v>
      </c>
      <c r="F82" s="731"/>
      <c r="G82" s="732"/>
      <c r="H82" s="731"/>
      <c r="I82" s="732"/>
      <c r="J82" s="731"/>
      <c r="K82" s="732"/>
      <c r="L82" s="731"/>
      <c r="M82" s="732"/>
      <c r="N82" s="731"/>
      <c r="O82" s="732"/>
      <c r="P82" s="731"/>
      <c r="Q82" s="732"/>
      <c r="R82" s="731"/>
      <c r="S82" s="732"/>
      <c r="T82" s="731"/>
      <c r="U82" s="732"/>
      <c r="V82" s="731"/>
      <c r="W82" s="732"/>
      <c r="X82" s="731"/>
      <c r="Y82" s="732"/>
      <c r="Z82" s="776"/>
      <c r="AA82" s="777"/>
      <c r="AB82" s="776"/>
      <c r="AC82" s="777"/>
      <c r="AD82" s="776"/>
      <c r="AE82" s="777"/>
      <c r="AF82" s="1583"/>
      <c r="AG82" s="984"/>
      <c r="AH82" s="816"/>
      <c r="AI82" s="756"/>
      <c r="AJ82" s="816"/>
      <c r="AK82" s="756"/>
      <c r="AL82" s="376" t="str">
        <f t="shared" si="51"/>
        <v/>
      </c>
      <c r="BD82" s="381" t="str">
        <f t="shared" ref="BD82" si="98">IF($D82&gt;=$AH82,"",CONCATENATE("* Pueblos Originarios-Hombres no debe ser mayor al Total de personas ",A82,"."))</f>
        <v/>
      </c>
      <c r="BE82" s="381" t="str">
        <f t="shared" ref="BE82" si="99">IF($E82&gt;=$AI82,"",CONCATENATE("* Pueblos Originarios-Mujeres no debe ser mayor al Total de personas ",A82,"."))</f>
        <v/>
      </c>
      <c r="BF82" s="381" t="str">
        <f t="shared" ref="BF82" si="100">IF($D82&gt;=$AJ82,"",CONCATENATE("* Población Migrante-Hombres no debe ser mayor al Total de personas ",A82,"."))</f>
        <v/>
      </c>
      <c r="BG82" s="381" t="str">
        <f t="shared" ref="BG82" si="101">IF($E82&gt;=$AK82,"",CONCATENATE("* Población Migrante - Mujeres no debe ser mayor al Total de personas ",A82,"."))</f>
        <v/>
      </c>
      <c r="BJ82" s="381" t="str">
        <f t="shared" ref="BJ82" si="102">IF(AND(D82&lt;&gt;0,AH82=""),"* No olvide escribir en la celda de 'Pueblos Originarios' (Digite CERO si no tiene). ",IF(AND(E82&lt;&gt;0,AI82=""),"* No olvide escribir en la celda de 'Pueblos Originarios' (Digite CERO si no tiene). ",""))</f>
        <v/>
      </c>
      <c r="BK82" s="381" t="str">
        <f t="shared" ref="BK82" si="103">IF(AND(D82&lt;&gt;0,AJ82=""),"* No olvide escribir en la celda de 'Población Migrantes' (Digite CERO si no tiene). ",IF(AND(E82&lt;&gt;0,AK82=""),"* No olvide escribir en la celda de 'Población Migrantes' (Digite CERO si no tiene). ",""))</f>
        <v/>
      </c>
      <c r="CL82" s="385"/>
      <c r="CM82" s="385"/>
      <c r="CN82" s="391">
        <f t="shared" si="79"/>
        <v>0</v>
      </c>
      <c r="CO82" s="391">
        <f t="shared" si="80"/>
        <v>0</v>
      </c>
      <c r="CP82" s="391">
        <f t="shared" si="81"/>
        <v>0</v>
      </c>
      <c r="CQ82" s="391">
        <f t="shared" si="82"/>
        <v>0</v>
      </c>
      <c r="CR82" s="385"/>
      <c r="CS82" s="385"/>
      <c r="CT82" s="385"/>
      <c r="CU82" s="385"/>
      <c r="CV82" s="391">
        <f t="shared" ref="CV82:CV83" si="104">IF(AND(D84&lt;&gt;0,AH84=""),1,IF(AND(E84&lt;&gt;0,AI84=""),1,0))</f>
        <v>0</v>
      </c>
      <c r="CW82" s="391">
        <f t="shared" ref="CW82:CW83" si="105">IF(AND(D84&lt;&gt;0,AJ84=""),1,IF(AND(E84&lt;&gt;0,AK84=""),1,0))</f>
        <v>0</v>
      </c>
      <c r="CX82" s="385"/>
      <c r="CY82" s="385"/>
      <c r="CZ82" s="385"/>
      <c r="DA82" s="385"/>
      <c r="DB82" s="385"/>
      <c r="DC82" s="385"/>
      <c r="DD82" s="385"/>
      <c r="DE82" s="385"/>
      <c r="DF82" s="385"/>
      <c r="DG82" s="385"/>
      <c r="DH82" s="385"/>
      <c r="DI82" s="385"/>
      <c r="DJ82" s="385"/>
      <c r="DK82" s="385"/>
      <c r="DL82" s="385"/>
      <c r="DM82" s="385"/>
      <c r="DN82" s="385"/>
      <c r="DO82" s="385"/>
      <c r="DP82" s="385"/>
      <c r="DQ82" s="385"/>
      <c r="DR82" s="385"/>
      <c r="DS82" s="385"/>
    </row>
    <row r="83" spans="1:123" ht="20.25" customHeight="1" x14ac:dyDescent="0.15">
      <c r="A83" s="2050" t="s">
        <v>591</v>
      </c>
      <c r="B83" s="2051"/>
      <c r="C83" s="722">
        <f t="shared" si="97"/>
        <v>0</v>
      </c>
      <c r="D83" s="789">
        <f>+Z83+AB83+AD83+AF83</f>
        <v>0</v>
      </c>
      <c r="E83" s="801">
        <f>+AA83+AC83+AE83+AG83</f>
        <v>0</v>
      </c>
      <c r="F83" s="932"/>
      <c r="G83" s="933"/>
      <c r="H83" s="932"/>
      <c r="I83" s="933"/>
      <c r="J83" s="932"/>
      <c r="K83" s="933"/>
      <c r="L83" s="932"/>
      <c r="M83" s="933"/>
      <c r="N83" s="932"/>
      <c r="O83" s="933"/>
      <c r="P83" s="932"/>
      <c r="Q83" s="933"/>
      <c r="R83" s="932"/>
      <c r="S83" s="933"/>
      <c r="T83" s="932"/>
      <c r="U83" s="933"/>
      <c r="V83" s="932"/>
      <c r="W83" s="933"/>
      <c r="X83" s="932"/>
      <c r="Y83" s="933"/>
      <c r="Z83" s="755"/>
      <c r="AA83" s="756"/>
      <c r="AB83" s="755"/>
      <c r="AC83" s="756"/>
      <c r="AD83" s="755"/>
      <c r="AE83" s="756"/>
      <c r="AF83" s="816"/>
      <c r="AG83" s="757"/>
      <c r="AH83" s="816"/>
      <c r="AI83" s="756"/>
      <c r="AJ83" s="816"/>
      <c r="AK83" s="756"/>
      <c r="AL83" s="376" t="str">
        <f t="shared" si="51"/>
        <v/>
      </c>
      <c r="BD83" s="381" t="str">
        <f t="shared" ref="BD83:BD85" si="106">IF($D83&gt;=$AH83,"",CONCATENATE("* Pueblos Originarios-Hombres no debe ser mayor al Total de personas ",A83,"."))</f>
        <v/>
      </c>
      <c r="BE83" s="381" t="str">
        <f t="shared" ref="BE83:BE85" si="107">IF($E83&gt;=$AI83,"",CONCATENATE("* Pueblos Originarios-Mujeres no debe ser mayor al Total de personas ",A83,"."))</f>
        <v/>
      </c>
      <c r="BF83" s="381" t="str">
        <f t="shared" ref="BF83:BF85" si="108">IF($D83&gt;=$AJ83,"",CONCATENATE("* Población Migrante-Hombres no debe ser mayor al Total de personas ",A83,"."))</f>
        <v/>
      </c>
      <c r="BG83" s="381" t="str">
        <f t="shared" ref="BG83:BG85" si="109">IF($E83&gt;=$AK83,"",CONCATENATE("* Población Migrante - Mujeres no debe ser mayor al Total de personas ",A83,"."))</f>
        <v/>
      </c>
      <c r="BJ83" s="381" t="str">
        <f t="shared" ref="BJ83:BJ85" si="110">IF(AND(D83&lt;&gt;0,AH83=""),"* No olvide escribir en la celda de 'Pueblos Originarios' (Digite CERO si no tiene). ",IF(AND(E83&lt;&gt;0,AI83=""),"* No olvide escribir en la celda de 'Pueblos Originarios' (Digite CERO si no tiene). ",""))</f>
        <v/>
      </c>
      <c r="BK83" s="381" t="str">
        <f t="shared" ref="BK83:BK85" si="111">IF(AND(D83&lt;&gt;0,AJ83=""),"* No olvide escribir en la celda de 'Población Migrantes' (Digite CERO si no tiene). ",IF(AND(E83&lt;&gt;0,AK83=""),"* No olvide escribir en la celda de 'Población Migrantes' (Digite CERO si no tiene). ",""))</f>
        <v/>
      </c>
      <c r="CL83" s="385"/>
      <c r="CM83" s="385"/>
      <c r="CN83" s="391">
        <f t="shared" si="79"/>
        <v>0</v>
      </c>
      <c r="CO83" s="391">
        <f t="shared" si="80"/>
        <v>0</v>
      </c>
      <c r="CP83" s="391">
        <f t="shared" si="81"/>
        <v>0</v>
      </c>
      <c r="CQ83" s="391">
        <f t="shared" si="82"/>
        <v>0</v>
      </c>
      <c r="CR83" s="385"/>
      <c r="CS83" s="385"/>
      <c r="CT83" s="385"/>
      <c r="CU83" s="385"/>
      <c r="CV83" s="391">
        <f t="shared" si="104"/>
        <v>0</v>
      </c>
      <c r="CW83" s="391">
        <f t="shared" si="105"/>
        <v>0</v>
      </c>
      <c r="CX83" s="385"/>
      <c r="CY83" s="385"/>
      <c r="CZ83" s="385"/>
      <c r="DA83" s="385"/>
      <c r="DB83" s="385"/>
      <c r="DC83" s="385"/>
      <c r="DD83" s="385"/>
      <c r="DE83" s="385"/>
      <c r="DF83" s="385"/>
      <c r="DG83" s="385"/>
      <c r="DH83" s="385"/>
      <c r="DI83" s="385"/>
      <c r="DJ83" s="385"/>
      <c r="DK83" s="385"/>
      <c r="DL83" s="385"/>
      <c r="DM83" s="385"/>
      <c r="DN83" s="385"/>
      <c r="DO83" s="385"/>
      <c r="DP83" s="385"/>
      <c r="DQ83" s="385"/>
      <c r="DR83" s="385"/>
      <c r="DS83" s="385"/>
    </row>
    <row r="84" spans="1:123" ht="20.25" customHeight="1" x14ac:dyDescent="0.15">
      <c r="A84" s="2050" t="s">
        <v>674</v>
      </c>
      <c r="B84" s="2051"/>
      <c r="C84" s="716">
        <f t="shared" si="97"/>
        <v>0</v>
      </c>
      <c r="D84" s="717">
        <f>+F84+H84+J84+L84+N84+P84+R84+T84+V84+X84</f>
        <v>0</v>
      </c>
      <c r="E84" s="795">
        <f>+G84+I84+K84+M84+O84+Q84+S84+U84+W84+Y84</f>
        <v>0</v>
      </c>
      <c r="F84" s="735"/>
      <c r="G84" s="736"/>
      <c r="H84" s="735"/>
      <c r="I84" s="736"/>
      <c r="J84" s="735"/>
      <c r="K84" s="736"/>
      <c r="L84" s="735"/>
      <c r="M84" s="736"/>
      <c r="N84" s="735"/>
      <c r="O84" s="736"/>
      <c r="P84" s="735"/>
      <c r="Q84" s="736"/>
      <c r="R84" s="735"/>
      <c r="S84" s="736"/>
      <c r="T84" s="735"/>
      <c r="U84" s="736"/>
      <c r="V84" s="735"/>
      <c r="W84" s="736"/>
      <c r="X84" s="735"/>
      <c r="Y84" s="736"/>
      <c r="Z84" s="779"/>
      <c r="AA84" s="780"/>
      <c r="AB84" s="779"/>
      <c r="AC84" s="780"/>
      <c r="AD84" s="779"/>
      <c r="AE84" s="780"/>
      <c r="AF84" s="916"/>
      <c r="AG84" s="918"/>
      <c r="AH84" s="816"/>
      <c r="AI84" s="756"/>
      <c r="AJ84" s="816"/>
      <c r="AK84" s="756"/>
      <c r="AL84" s="376" t="str">
        <f t="shared" si="51"/>
        <v/>
      </c>
      <c r="BD84" s="381" t="str">
        <f t="shared" si="106"/>
        <v/>
      </c>
      <c r="BE84" s="381" t="str">
        <f t="shared" si="107"/>
        <v/>
      </c>
      <c r="BF84" s="381" t="str">
        <f t="shared" si="108"/>
        <v/>
      </c>
      <c r="BG84" s="381" t="str">
        <f t="shared" si="109"/>
        <v/>
      </c>
      <c r="BJ84" s="381" t="str">
        <f t="shared" si="110"/>
        <v/>
      </c>
      <c r="BK84" s="381" t="str">
        <f t="shared" si="111"/>
        <v/>
      </c>
      <c r="CL84" s="385"/>
      <c r="CM84" s="385"/>
      <c r="CN84" s="391">
        <f t="shared" si="79"/>
        <v>0</v>
      </c>
      <c r="CO84" s="391">
        <f t="shared" si="80"/>
        <v>0</v>
      </c>
      <c r="CP84" s="391">
        <f t="shared" si="81"/>
        <v>0</v>
      </c>
      <c r="CQ84" s="391">
        <f t="shared" si="82"/>
        <v>0</v>
      </c>
      <c r="CR84" s="385"/>
      <c r="CS84" s="385"/>
      <c r="CT84" s="385"/>
      <c r="CU84" s="385"/>
      <c r="CV84" s="391">
        <f>IF(AND(D86&lt;&gt;0,AH86=""),1,IF(AND(E86&lt;&gt;0,AI86=""),1,0))</f>
        <v>0</v>
      </c>
      <c r="CW84" s="391">
        <f>IF(AND(D86&lt;&gt;0,AJ86=""),1,IF(AND(E86&lt;&gt;0,AK86=""),1,0))</f>
        <v>0</v>
      </c>
      <c r="CX84" s="385"/>
      <c r="CY84" s="385"/>
      <c r="CZ84" s="385"/>
      <c r="DA84" s="385"/>
      <c r="DB84" s="385"/>
      <c r="DC84" s="385"/>
      <c r="DD84" s="385"/>
      <c r="DE84" s="385"/>
      <c r="DF84" s="385"/>
      <c r="DG84" s="385"/>
      <c r="DH84" s="385"/>
      <c r="DI84" s="385"/>
      <c r="DJ84" s="385"/>
      <c r="DK84" s="385"/>
      <c r="DL84" s="385"/>
      <c r="DM84" s="385"/>
      <c r="DN84" s="385"/>
      <c r="DO84" s="385"/>
      <c r="DP84" s="385"/>
      <c r="DQ84" s="385"/>
      <c r="DR84" s="385"/>
      <c r="DS84" s="385"/>
    </row>
    <row r="85" spans="1:123" ht="20.25" customHeight="1" x14ac:dyDescent="0.15">
      <c r="A85" s="2050" t="s">
        <v>670</v>
      </c>
      <c r="B85" s="2051"/>
      <c r="C85" s="716">
        <f t="shared" si="97"/>
        <v>0</v>
      </c>
      <c r="D85" s="717">
        <f>+Z85+AB85+AD85+AF85</f>
        <v>0</v>
      </c>
      <c r="E85" s="718">
        <f>+AA85+AC85+AE85+AG85</f>
        <v>0</v>
      </c>
      <c r="F85" s="779"/>
      <c r="G85" s="780"/>
      <c r="H85" s="779"/>
      <c r="I85" s="780"/>
      <c r="J85" s="779"/>
      <c r="K85" s="780"/>
      <c r="L85" s="779"/>
      <c r="M85" s="780"/>
      <c r="N85" s="779"/>
      <c r="O85" s="780"/>
      <c r="P85" s="779"/>
      <c r="Q85" s="780"/>
      <c r="R85" s="779"/>
      <c r="S85" s="780"/>
      <c r="T85" s="779"/>
      <c r="U85" s="780"/>
      <c r="V85" s="779"/>
      <c r="W85" s="780"/>
      <c r="X85" s="779"/>
      <c r="Y85" s="780"/>
      <c r="Z85" s="735"/>
      <c r="AA85" s="736"/>
      <c r="AB85" s="735"/>
      <c r="AC85" s="736"/>
      <c r="AD85" s="735"/>
      <c r="AE85" s="736"/>
      <c r="AF85" s="813"/>
      <c r="AG85" s="744"/>
      <c r="AH85" s="813"/>
      <c r="AI85" s="736"/>
      <c r="AJ85" s="813"/>
      <c r="AK85" s="736"/>
      <c r="AL85" s="376" t="str">
        <f t="shared" si="51"/>
        <v/>
      </c>
      <c r="BD85" s="381" t="str">
        <f t="shared" si="106"/>
        <v/>
      </c>
      <c r="BE85" s="381" t="str">
        <f t="shared" si="107"/>
        <v/>
      </c>
      <c r="BF85" s="381" t="str">
        <f t="shared" si="108"/>
        <v/>
      </c>
      <c r="BG85" s="381" t="str">
        <f t="shared" si="109"/>
        <v/>
      </c>
      <c r="BJ85" s="381" t="str">
        <f t="shared" si="110"/>
        <v/>
      </c>
      <c r="BK85" s="381" t="str">
        <f t="shared" si="111"/>
        <v/>
      </c>
      <c r="CL85" s="385"/>
      <c r="CM85" s="385"/>
      <c r="CN85" s="391">
        <f t="shared" si="79"/>
        <v>0</v>
      </c>
      <c r="CO85" s="391">
        <f t="shared" si="80"/>
        <v>0</v>
      </c>
      <c r="CP85" s="391">
        <f t="shared" si="81"/>
        <v>0</v>
      </c>
      <c r="CQ85" s="391">
        <f t="shared" si="82"/>
        <v>0</v>
      </c>
      <c r="CR85" s="385"/>
      <c r="CS85" s="385"/>
      <c r="CT85" s="385"/>
      <c r="CU85" s="385"/>
      <c r="CV85" s="391">
        <f>IF(AND(D87&lt;&gt;0,AH87=""),1,IF(AND(E87&lt;&gt;0,AI87=""),1,0))</f>
        <v>0</v>
      </c>
      <c r="CW85" s="391">
        <f>IF(AND(D87&lt;&gt;0,AJ87=""),1,IF(AND(E87&lt;&gt;0,AK87=""),1,0))</f>
        <v>0</v>
      </c>
      <c r="CX85" s="385"/>
      <c r="CY85" s="385"/>
      <c r="CZ85" s="385"/>
      <c r="DA85" s="385"/>
      <c r="DB85" s="385"/>
      <c r="DC85" s="385"/>
      <c r="DD85" s="385"/>
      <c r="DE85" s="385"/>
      <c r="DF85" s="385"/>
      <c r="DG85" s="385"/>
      <c r="DH85" s="385"/>
      <c r="DI85" s="385"/>
      <c r="DJ85" s="385"/>
      <c r="DK85" s="385"/>
      <c r="DL85" s="385"/>
      <c r="DM85" s="385"/>
      <c r="DN85" s="385"/>
      <c r="DO85" s="385"/>
      <c r="DP85" s="385"/>
      <c r="DQ85" s="385"/>
      <c r="DR85" s="385"/>
      <c r="DS85" s="385"/>
    </row>
    <row r="86" spans="1:123" ht="16.5" customHeight="1" x14ac:dyDescent="0.15">
      <c r="A86" s="2120" t="s">
        <v>882</v>
      </c>
      <c r="B86" s="2121"/>
      <c r="C86" s="719">
        <f t="shared" si="97"/>
        <v>0</v>
      </c>
      <c r="D86" s="1574">
        <f>+F86+H86+J86+L86+N86+P86+R86+T86+V86+X86+Z86+AB86+AD86+AF86</f>
        <v>0</v>
      </c>
      <c r="E86" s="1009">
        <f>+G86+I86+K86+M86+O86+Q86+S86+U86+W86+Y86+AA86+AC86+AE86+AG86</f>
        <v>0</v>
      </c>
      <c r="F86" s="740"/>
      <c r="G86" s="741"/>
      <c r="H86" s="740"/>
      <c r="I86" s="741"/>
      <c r="J86" s="740"/>
      <c r="K86" s="741"/>
      <c r="L86" s="740"/>
      <c r="M86" s="741"/>
      <c r="N86" s="740"/>
      <c r="O86" s="741"/>
      <c r="P86" s="740"/>
      <c r="Q86" s="741"/>
      <c r="R86" s="740"/>
      <c r="S86" s="741"/>
      <c r="T86" s="740"/>
      <c r="U86" s="741"/>
      <c r="V86" s="740"/>
      <c r="W86" s="741"/>
      <c r="X86" s="740"/>
      <c r="Y86" s="741"/>
      <c r="Z86" s="740"/>
      <c r="AA86" s="741"/>
      <c r="AB86" s="740"/>
      <c r="AC86" s="741"/>
      <c r="AD86" s="740"/>
      <c r="AE86" s="741"/>
      <c r="AF86" s="740"/>
      <c r="AG86" s="771"/>
      <c r="AH86" s="812"/>
      <c r="AI86" s="741"/>
      <c r="AJ86" s="812"/>
      <c r="AK86" s="741"/>
      <c r="AL86" s="376" t="str">
        <f t="shared" si="51"/>
        <v/>
      </c>
      <c r="CL86" s="385"/>
      <c r="CM86" s="385"/>
      <c r="CN86" s="385"/>
      <c r="CO86" s="385"/>
      <c r="CP86" s="385"/>
      <c r="CQ86" s="385"/>
      <c r="CR86" s="385"/>
      <c r="CS86" s="385"/>
      <c r="CT86" s="385"/>
      <c r="CU86" s="385"/>
      <c r="CV86" s="385"/>
      <c r="CW86" s="385"/>
      <c r="CX86" s="385"/>
      <c r="CY86" s="385"/>
      <c r="CZ86" s="385"/>
      <c r="DA86" s="385"/>
      <c r="DB86" s="385"/>
      <c r="DC86" s="385"/>
      <c r="DD86" s="385"/>
      <c r="DE86" s="385"/>
      <c r="DF86" s="385"/>
      <c r="DG86" s="385"/>
      <c r="DH86" s="385"/>
      <c r="DI86" s="385"/>
      <c r="DJ86" s="385"/>
      <c r="DK86" s="385"/>
      <c r="DL86" s="385"/>
      <c r="DM86" s="385"/>
      <c r="DN86" s="385"/>
      <c r="DO86" s="385"/>
      <c r="DP86" s="385"/>
      <c r="DQ86" s="385"/>
      <c r="DR86" s="385"/>
      <c r="DS86" s="385"/>
    </row>
    <row r="87" spans="1:123" ht="14.25" customHeight="1" x14ac:dyDescent="0.15">
      <c r="A87" s="180" t="s">
        <v>669</v>
      </c>
      <c r="CL87" s="385"/>
      <c r="CM87" s="385"/>
      <c r="CN87" s="385"/>
      <c r="CO87" s="385"/>
      <c r="CP87" s="385"/>
      <c r="CQ87" s="385"/>
      <c r="CR87" s="385"/>
      <c r="CS87" s="385"/>
      <c r="CT87" s="385"/>
      <c r="CU87" s="385"/>
      <c r="CV87" s="385"/>
      <c r="CW87" s="385"/>
      <c r="CX87" s="385"/>
      <c r="CY87" s="385"/>
      <c r="CZ87" s="385"/>
      <c r="DA87" s="385"/>
      <c r="DB87" s="385"/>
      <c r="DC87" s="385"/>
      <c r="DD87" s="385"/>
      <c r="DE87" s="385"/>
      <c r="DF87" s="385"/>
      <c r="DG87" s="385"/>
      <c r="DH87" s="385"/>
      <c r="DI87" s="385"/>
      <c r="DJ87" s="385"/>
      <c r="DK87" s="385"/>
      <c r="DL87" s="385"/>
      <c r="DM87" s="385"/>
      <c r="DN87" s="385"/>
      <c r="DO87" s="385"/>
      <c r="DP87" s="385"/>
      <c r="DQ87" s="385"/>
      <c r="DR87" s="385"/>
      <c r="DS87" s="385"/>
    </row>
    <row r="88" spans="1:123" x14ac:dyDescent="0.15">
      <c r="Z88" s="59"/>
      <c r="CL88" s="385"/>
      <c r="CM88" s="385"/>
      <c r="CN88" s="385"/>
      <c r="CO88" s="385"/>
      <c r="CP88" s="385"/>
      <c r="CQ88" s="385"/>
      <c r="CR88" s="385"/>
      <c r="CS88" s="385"/>
      <c r="CT88" s="385"/>
      <c r="CU88" s="385"/>
      <c r="CV88" s="385"/>
      <c r="CW88" s="385"/>
      <c r="CX88" s="385"/>
      <c r="CY88" s="385"/>
      <c r="CZ88" s="385"/>
      <c r="DA88" s="385"/>
      <c r="DB88" s="385"/>
      <c r="DC88" s="385"/>
      <c r="DD88" s="385"/>
      <c r="DE88" s="385"/>
      <c r="DF88" s="385"/>
      <c r="DG88" s="385"/>
      <c r="DH88" s="385"/>
      <c r="DI88" s="385"/>
      <c r="DJ88" s="385"/>
      <c r="DK88" s="385"/>
      <c r="DL88" s="385"/>
      <c r="DM88" s="385"/>
      <c r="DN88" s="385"/>
      <c r="DO88" s="385"/>
      <c r="DP88" s="385"/>
      <c r="DQ88" s="385"/>
      <c r="DR88" s="385"/>
      <c r="DS88" s="385"/>
    </row>
    <row r="89" spans="1:123" x14ac:dyDescent="0.15">
      <c r="CL89" s="385"/>
      <c r="CM89" s="385"/>
      <c r="CN89" s="385"/>
      <c r="CO89" s="385"/>
      <c r="CP89" s="385"/>
      <c r="CQ89" s="385"/>
      <c r="CR89" s="385"/>
      <c r="CS89" s="385"/>
      <c r="CT89" s="385"/>
      <c r="CU89" s="385"/>
      <c r="CV89" s="385"/>
      <c r="CW89" s="385"/>
      <c r="CX89" s="385"/>
      <c r="CY89" s="385"/>
      <c r="CZ89" s="385"/>
      <c r="DA89" s="385"/>
      <c r="DB89" s="385"/>
      <c r="DC89" s="385"/>
      <c r="DD89" s="385"/>
      <c r="DE89" s="385"/>
      <c r="DF89" s="385"/>
      <c r="DG89" s="385"/>
      <c r="DH89" s="385"/>
      <c r="DI89" s="385"/>
      <c r="DJ89" s="385"/>
      <c r="DK89" s="385"/>
      <c r="DL89" s="385"/>
      <c r="DM89" s="385"/>
      <c r="DN89" s="385"/>
      <c r="DO89" s="385"/>
      <c r="DP89" s="385"/>
      <c r="DQ89" s="385"/>
      <c r="DR89" s="385"/>
      <c r="DS89" s="385"/>
    </row>
    <row r="90" spans="1:123" x14ac:dyDescent="0.15">
      <c r="CL90" s="385"/>
      <c r="CM90" s="385"/>
      <c r="CN90" s="385"/>
      <c r="CO90" s="385"/>
      <c r="CP90" s="385"/>
      <c r="CQ90" s="385"/>
      <c r="CR90" s="385"/>
      <c r="CS90" s="385"/>
      <c r="CT90" s="385"/>
      <c r="CU90" s="385"/>
      <c r="CV90" s="385"/>
      <c r="CW90" s="385"/>
      <c r="CX90" s="385"/>
      <c r="CY90" s="385"/>
      <c r="CZ90" s="385"/>
      <c r="DA90" s="385"/>
      <c r="DB90" s="385"/>
      <c r="DC90" s="385"/>
      <c r="DD90" s="385"/>
      <c r="DE90" s="385"/>
      <c r="DF90" s="385"/>
      <c r="DG90" s="385"/>
      <c r="DH90" s="385"/>
      <c r="DI90" s="385"/>
      <c r="DJ90" s="385"/>
      <c r="DK90" s="385"/>
      <c r="DL90" s="385"/>
      <c r="DM90" s="385"/>
      <c r="DN90" s="385"/>
      <c r="DO90" s="385"/>
      <c r="DP90" s="385"/>
      <c r="DQ90" s="385"/>
      <c r="DR90" s="385"/>
      <c r="DS90" s="385"/>
    </row>
    <row r="91" spans="1:123" x14ac:dyDescent="0.15">
      <c r="CL91" s="385"/>
      <c r="CM91" s="385"/>
      <c r="CN91" s="385"/>
      <c r="CO91" s="385"/>
      <c r="CP91" s="385"/>
      <c r="CQ91" s="385"/>
      <c r="CR91" s="385"/>
      <c r="CS91" s="385"/>
      <c r="CT91" s="385"/>
      <c r="CU91" s="385"/>
      <c r="CV91" s="385"/>
      <c r="CW91" s="385"/>
      <c r="CX91" s="385"/>
      <c r="CY91" s="385"/>
      <c r="CZ91" s="385"/>
      <c r="DA91" s="385"/>
      <c r="DB91" s="385"/>
      <c r="DC91" s="385"/>
      <c r="DD91" s="385"/>
      <c r="DE91" s="385"/>
      <c r="DF91" s="385"/>
      <c r="DG91" s="385"/>
      <c r="DH91" s="385"/>
      <c r="DI91" s="385"/>
      <c r="DJ91" s="385"/>
      <c r="DK91" s="385"/>
      <c r="DL91" s="385"/>
      <c r="DM91" s="385"/>
      <c r="DN91" s="385"/>
      <c r="DO91" s="385"/>
      <c r="DP91" s="385"/>
      <c r="DQ91" s="385"/>
      <c r="DR91" s="385"/>
      <c r="DS91" s="385"/>
    </row>
    <row r="92" spans="1:123" x14ac:dyDescent="0.15">
      <c r="CL92" s="385"/>
      <c r="CM92" s="385"/>
      <c r="CN92" s="385"/>
      <c r="CO92" s="385"/>
      <c r="CP92" s="385"/>
      <c r="CQ92" s="385"/>
      <c r="CR92" s="385"/>
      <c r="CS92" s="385"/>
      <c r="CT92" s="385"/>
      <c r="CU92" s="385"/>
      <c r="CV92" s="385"/>
      <c r="CW92" s="385"/>
      <c r="CX92" s="385"/>
      <c r="CY92" s="385"/>
      <c r="CZ92" s="385"/>
      <c r="DA92" s="385"/>
      <c r="DB92" s="385"/>
      <c r="DC92" s="385"/>
      <c r="DD92" s="385"/>
      <c r="DE92" s="385"/>
      <c r="DF92" s="385"/>
      <c r="DG92" s="385"/>
      <c r="DH92" s="385"/>
      <c r="DI92" s="385"/>
      <c r="DJ92" s="385"/>
      <c r="DK92" s="385"/>
      <c r="DL92" s="385"/>
      <c r="DM92" s="385"/>
      <c r="DN92" s="385"/>
      <c r="DO92" s="385"/>
      <c r="DP92" s="385"/>
      <c r="DQ92" s="385"/>
      <c r="DR92" s="385"/>
      <c r="DS92" s="385"/>
    </row>
    <row r="93" spans="1:123" x14ac:dyDescent="0.15">
      <c r="CL93" s="385"/>
      <c r="CM93" s="385"/>
      <c r="CN93" s="385"/>
      <c r="CO93" s="385"/>
      <c r="CP93" s="385"/>
      <c r="CQ93" s="385"/>
      <c r="CR93" s="385"/>
      <c r="CS93" s="385"/>
      <c r="CT93" s="385"/>
      <c r="CU93" s="385"/>
      <c r="CV93" s="385"/>
      <c r="CW93" s="385"/>
      <c r="CX93" s="385"/>
      <c r="CY93" s="385"/>
      <c r="CZ93" s="385"/>
      <c r="DA93" s="385"/>
      <c r="DB93" s="385"/>
      <c r="DC93" s="385"/>
      <c r="DD93" s="385"/>
      <c r="DE93" s="385"/>
      <c r="DF93" s="385"/>
      <c r="DG93" s="385"/>
      <c r="DH93" s="385"/>
      <c r="DI93" s="385"/>
      <c r="DJ93" s="385"/>
      <c r="DK93" s="385"/>
      <c r="DL93" s="385"/>
      <c r="DM93" s="385"/>
      <c r="DN93" s="385"/>
      <c r="DO93" s="385"/>
      <c r="DP93" s="385"/>
      <c r="DQ93" s="385"/>
      <c r="DR93" s="385"/>
      <c r="DS93" s="385"/>
    </row>
    <row r="94" spans="1:123" x14ac:dyDescent="0.15">
      <c r="CL94" s="385"/>
      <c r="CM94" s="385"/>
      <c r="CN94" s="385"/>
      <c r="CO94" s="385"/>
      <c r="CP94" s="385"/>
      <c r="CQ94" s="385"/>
      <c r="CR94" s="385"/>
      <c r="CS94" s="385"/>
      <c r="CT94" s="385"/>
      <c r="CU94" s="385"/>
      <c r="CV94" s="385"/>
      <c r="CW94" s="385"/>
      <c r="CX94" s="385"/>
      <c r="CY94" s="385"/>
      <c r="CZ94" s="385"/>
      <c r="DA94" s="385"/>
      <c r="DB94" s="385"/>
      <c r="DC94" s="385"/>
      <c r="DD94" s="385"/>
      <c r="DE94" s="385"/>
      <c r="DF94" s="385"/>
      <c r="DG94" s="385"/>
      <c r="DH94" s="385"/>
      <c r="DI94" s="385"/>
      <c r="DJ94" s="385"/>
      <c r="DK94" s="385"/>
      <c r="DL94" s="385"/>
      <c r="DM94" s="385"/>
      <c r="DN94" s="385"/>
      <c r="DO94" s="385"/>
      <c r="DP94" s="385"/>
      <c r="DQ94" s="385"/>
      <c r="DR94" s="385"/>
      <c r="DS94" s="385"/>
    </row>
    <row r="100" spans="1:2" s="387" customFormat="1" hidden="1" x14ac:dyDescent="0.15">
      <c r="A100" s="1286">
        <f>SUM(C12:AL29,C34:AK42,C48:C74,C76:C80,C82:C86)</f>
        <v>0</v>
      </c>
      <c r="B100" s="381" t="s">
        <v>317</v>
      </c>
    </row>
    <row r="101" spans="1:2" s="387" customFormat="1" hidden="1" x14ac:dyDescent="0.15">
      <c r="A101" s="1286">
        <f>SUM(CL13:DS94)</f>
        <v>0</v>
      </c>
      <c r="B101" s="381" t="s">
        <v>318</v>
      </c>
    </row>
  </sheetData>
  <sheetProtection algorithmName="SHA-512" hashValue="DttLDUxKxqdDm4i7W+ZQnyLF4fQa6SgTGK9/fkD9E2dzPN5Aa/pf3xzt+F4DpkxptadH/oAt9kQGPtjFGep3vQ==" saltValue="kcvBMXDfkRUns9OJ0YxbVw==" spinCount="100000" sheet="1" objects="1" scenarios="1"/>
  <mergeCells count="111">
    <mergeCell ref="A86:B86"/>
    <mergeCell ref="CV44:CV45"/>
    <mergeCell ref="CW44:CW45"/>
    <mergeCell ref="BD44:BE45"/>
    <mergeCell ref="BF44:BG45"/>
    <mergeCell ref="CN44:CO45"/>
    <mergeCell ref="AF45:AG45"/>
    <mergeCell ref="A71:B71"/>
    <mergeCell ref="AH31:AI32"/>
    <mergeCell ref="AJ31:AK32"/>
    <mergeCell ref="N32:O32"/>
    <mergeCell ref="P32:Q32"/>
    <mergeCell ref="CP44:CQ45"/>
    <mergeCell ref="BJ44:BJ45"/>
    <mergeCell ref="BK44:BK45"/>
    <mergeCell ref="V32:W32"/>
    <mergeCell ref="X32:Y32"/>
    <mergeCell ref="X45:Y45"/>
    <mergeCell ref="Z45:AA45"/>
    <mergeCell ref="T45:U45"/>
    <mergeCell ref="V45:W45"/>
    <mergeCell ref="A56:B56"/>
    <mergeCell ref="A81:B81"/>
    <mergeCell ref="A84:B84"/>
    <mergeCell ref="BK9:BK10"/>
    <mergeCell ref="BF9:BG10"/>
    <mergeCell ref="BH9:BH11"/>
    <mergeCell ref="BJ9:BJ10"/>
    <mergeCell ref="BD9:BE10"/>
    <mergeCell ref="AL9:AL11"/>
    <mergeCell ref="AJ44:AK45"/>
    <mergeCell ref="A7:U7"/>
    <mergeCell ref="A9:B11"/>
    <mergeCell ref="C9:E10"/>
    <mergeCell ref="P10:Q10"/>
    <mergeCell ref="R10:S10"/>
    <mergeCell ref="T10:U10"/>
    <mergeCell ref="J10:K10"/>
    <mergeCell ref="L10:M10"/>
    <mergeCell ref="N10:O10"/>
    <mergeCell ref="F9:AG9"/>
    <mergeCell ref="F10:G10"/>
    <mergeCell ref="H10:I10"/>
    <mergeCell ref="AB10:AC10"/>
    <mergeCell ref="V10:W10"/>
    <mergeCell ref="AD10:AE10"/>
    <mergeCell ref="AF10:AG10"/>
    <mergeCell ref="X10:Y10"/>
    <mergeCell ref="A16:A21"/>
    <mergeCell ref="A51:B51"/>
    <mergeCell ref="C31:E32"/>
    <mergeCell ref="F32:G32"/>
    <mergeCell ref="A53:B53"/>
    <mergeCell ref="A40:A42"/>
    <mergeCell ref="A49:B49"/>
    <mergeCell ref="A34:A35"/>
    <mergeCell ref="A50:B50"/>
    <mergeCell ref="A22:A29"/>
    <mergeCell ref="A30:B30"/>
    <mergeCell ref="A31:B33"/>
    <mergeCell ref="A36:A38"/>
    <mergeCell ref="F31:AG31"/>
    <mergeCell ref="AB32:AC32"/>
    <mergeCell ref="R32:S32"/>
    <mergeCell ref="T32:U32"/>
    <mergeCell ref="L45:M45"/>
    <mergeCell ref="N45:O45"/>
    <mergeCell ref="P45:Q45"/>
    <mergeCell ref="R45:S45"/>
    <mergeCell ref="AD45:AE45"/>
    <mergeCell ref="A78:B78"/>
    <mergeCell ref="A65:A67"/>
    <mergeCell ref="A58:B58"/>
    <mergeCell ref="A76:B76"/>
    <mergeCell ref="J32:K32"/>
    <mergeCell ref="A77:B77"/>
    <mergeCell ref="A83:B83"/>
    <mergeCell ref="F45:G45"/>
    <mergeCell ref="H45:I45"/>
    <mergeCell ref="J45:K45"/>
    <mergeCell ref="A80:B80"/>
    <mergeCell ref="A68:B68"/>
    <mergeCell ref="C47:AK47"/>
    <mergeCell ref="C75:AK75"/>
    <mergeCell ref="C81:AK81"/>
    <mergeCell ref="A61:A64"/>
    <mergeCell ref="A60:B60"/>
    <mergeCell ref="A13:A15"/>
    <mergeCell ref="AB45:AC45"/>
    <mergeCell ref="AJ9:AK10"/>
    <mergeCell ref="A85:B85"/>
    <mergeCell ref="A69:B69"/>
    <mergeCell ref="A70:B70"/>
    <mergeCell ref="A52:B52"/>
    <mergeCell ref="A82:B82"/>
    <mergeCell ref="A55:B55"/>
    <mergeCell ref="A44:B46"/>
    <mergeCell ref="A79:B79"/>
    <mergeCell ref="AH44:AI45"/>
    <mergeCell ref="A54:B54"/>
    <mergeCell ref="A12:B12"/>
    <mergeCell ref="Z10:AA10"/>
    <mergeCell ref="AH9:AI10"/>
    <mergeCell ref="A48:B48"/>
    <mergeCell ref="AF32:AG32"/>
    <mergeCell ref="Z32:AA32"/>
    <mergeCell ref="AD32:AE32"/>
    <mergeCell ref="L32:M32"/>
    <mergeCell ref="H32:I32"/>
    <mergeCell ref="C44:E45"/>
    <mergeCell ref="F44:AG44"/>
  </mergeCells>
  <phoneticPr fontId="26" type="noConversion"/>
  <dataValidations count="2">
    <dataValidation allowBlank="1" showInputMessage="1" showErrorMessage="1" errorTitle=" Error de ingreso" error="Debe ingresar sólo números enteros positivos." sqref="A1:A36 A39:A44 B43 C87:AG1048576 C86:E86 AL44:AV85 B1:B41 B47:B49 B72:B76 B78 B69:B70 B51:B66 AH44:AK46 AH43:AK43 C82:E85 AH87:AK1048576 A88:B1048576 DU44:XFD85 D76:E80 A65:A78 A47:A61 C1:C80 BA44:DS85 A87 A81:B85 D48:E74 B86:B87 AL86:XFD1048576 AH29:AK33 F29:AG33 D1:E46 F43:AG46 F1:AG12 AH1:AK12 AM1:XFD43 AL1:AL12 AL29:AL43" xr:uid="{00000000-0002-0000-0400-000000000000}"/>
    <dataValidation type="whole" operator="greaterThanOrEqual" allowBlank="1" showInputMessage="1" showErrorMessage="1" errorTitle=" Error de ingreso" error="Debe ingresar sólo números enteros positivos." sqref="F13:AL28 F34:AK42 F48:AK74 F76:AK80 F82:AK86" xr:uid="{87CA4DD7-9F61-49AA-B2C7-C244D6211DED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pageOrder="overThenDown" orientation="portrait" r:id="rId1"/>
  <rowBreaks count="1" manualBreakCount="1">
    <brk id="42" max="35" man="1"/>
  </rowBreaks>
  <colBreaks count="2" manualBreakCount="2">
    <brk id="15" max="57" man="1"/>
    <brk id="3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CX82"/>
  <sheetViews>
    <sheetView showGridLines="0" zoomScaleNormal="100" workbookViewId="0">
      <selection activeCell="E7" sqref="E7:R7"/>
    </sheetView>
  </sheetViews>
  <sheetFormatPr baseColWidth="10" defaultColWidth="11.42578125" defaultRowHeight="15" x14ac:dyDescent="0.25"/>
  <cols>
    <col min="1" max="1" width="21.5703125" style="180" customWidth="1"/>
    <col min="2" max="2" width="18.140625" style="180" customWidth="1"/>
    <col min="3" max="3" width="12.85546875" style="180" customWidth="1"/>
    <col min="4" max="4" width="11.42578125" style="180"/>
    <col min="5" max="5" width="12.42578125" style="180" bestFit="1" customWidth="1"/>
    <col min="6" max="6" width="12" style="180" bestFit="1" customWidth="1"/>
    <col min="7" max="7" width="11.42578125" style="180"/>
    <col min="8" max="8" width="10.85546875" style="180" customWidth="1"/>
    <col min="9" max="20" width="11.42578125" style="180"/>
    <col min="21" max="21" width="11.42578125" style="180" customWidth="1"/>
    <col min="22" max="25" width="11.42578125" style="180"/>
    <col min="26" max="26" width="11.42578125" style="180" customWidth="1"/>
    <col min="27" max="27" width="9.140625" style="180" customWidth="1"/>
    <col min="52" max="53" width="11.42578125" style="180" customWidth="1"/>
    <col min="54" max="78" width="11.42578125" style="180"/>
    <col min="79" max="80" width="12.28515625" style="387" hidden="1" customWidth="1"/>
    <col min="81" max="81" width="10.5703125" style="387" hidden="1" customWidth="1"/>
    <col min="82" max="82" width="0" style="387" hidden="1" customWidth="1"/>
    <col min="83" max="83" width="9.28515625" style="387" hidden="1" customWidth="1"/>
    <col min="84" max="84" width="14.42578125" style="387" hidden="1" customWidth="1"/>
    <col min="85" max="85" width="10.7109375" style="387" hidden="1" customWidth="1"/>
    <col min="86" max="86" width="12.5703125" style="387" hidden="1" customWidth="1"/>
    <col min="87" max="87" width="9.28515625" style="387" hidden="1" customWidth="1"/>
    <col min="88" max="88" width="8.28515625" style="387" hidden="1" customWidth="1"/>
    <col min="89" max="89" width="7" style="387" hidden="1" customWidth="1"/>
    <col min="90" max="90" width="7.85546875" style="387" hidden="1" customWidth="1"/>
    <col min="91" max="91" width="7" style="387" hidden="1" customWidth="1"/>
    <col min="92" max="92" width="8.28515625" style="387" hidden="1" customWidth="1"/>
    <col min="93" max="93" width="7.85546875" style="387" hidden="1" customWidth="1"/>
    <col min="94" max="94" width="7.7109375" style="387" hidden="1" customWidth="1"/>
    <col min="95" max="95" width="11.85546875" style="387" hidden="1" customWidth="1"/>
    <col min="96" max="96" width="11.7109375" style="180" hidden="1" customWidth="1"/>
    <col min="97" max="98" width="11.5703125" style="180" hidden="1" customWidth="1"/>
    <col min="99" max="104" width="0" style="180" hidden="1" customWidth="1"/>
    <col min="105" max="16384" width="11.42578125" style="180"/>
  </cols>
  <sheetData>
    <row r="1" spans="1:95" s="57" customFormat="1" ht="13.5" customHeight="1" x14ac:dyDescent="0.15">
      <c r="A1" s="125" t="s">
        <v>0</v>
      </c>
      <c r="CA1" s="325"/>
      <c r="CB1" s="325"/>
      <c r="CC1" s="325"/>
      <c r="CD1" s="325"/>
      <c r="CE1" s="325"/>
      <c r="CF1" s="325"/>
      <c r="CG1" s="325"/>
      <c r="CH1" s="325"/>
      <c r="CI1" s="325"/>
      <c r="CJ1" s="325"/>
      <c r="CK1" s="325"/>
      <c r="CL1" s="325"/>
      <c r="CM1" s="325"/>
      <c r="CN1" s="325"/>
      <c r="CO1" s="325"/>
      <c r="CP1" s="325"/>
      <c r="CQ1" s="325"/>
    </row>
    <row r="2" spans="1:95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CA2" s="325"/>
      <c r="CB2" s="325"/>
      <c r="CC2" s="325"/>
      <c r="CD2" s="325"/>
      <c r="CE2" s="325"/>
      <c r="CF2" s="325"/>
      <c r="CG2" s="325"/>
      <c r="CH2" s="325"/>
      <c r="CI2" s="325"/>
      <c r="CJ2" s="325"/>
      <c r="CK2" s="325"/>
      <c r="CL2" s="325"/>
      <c r="CM2" s="325"/>
      <c r="CN2" s="325"/>
      <c r="CO2" s="325"/>
      <c r="CP2" s="325"/>
      <c r="CQ2" s="325"/>
    </row>
    <row r="3" spans="1:95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  <c r="CA3" s="325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  <c r="CP3" s="325"/>
      <c r="CQ3" s="325"/>
    </row>
    <row r="4" spans="1:95" s="57" customFormat="1" ht="13.5" customHeight="1" x14ac:dyDescent="0.15">
      <c r="A4" s="125" t="str">
        <f>CONCATENATE("MES: ",NOMBRE!$B$6," - ","( ",NOMBRE!$C$6,NOMBRE!$D$6," )")</f>
        <v>MES:  - (  )</v>
      </c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</row>
    <row r="5" spans="1:95" s="57" customFormat="1" ht="13.5" customHeight="1" x14ac:dyDescent="0.15">
      <c r="A5" s="125" t="str">
        <f>CONCATENATE("AÑO: ",NOMBRE!$B$7)</f>
        <v>AÑO: 2023</v>
      </c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</row>
    <row r="6" spans="1:95" s="57" customFormat="1" ht="15" customHeight="1" x14ac:dyDescent="0.15">
      <c r="A6" s="1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</row>
    <row r="7" spans="1:95" ht="33" customHeight="1" x14ac:dyDescent="0.25">
      <c r="B7" s="486"/>
      <c r="C7" s="486"/>
      <c r="D7" s="486"/>
      <c r="E7" s="2139" t="s">
        <v>579</v>
      </c>
      <c r="F7" s="2139"/>
      <c r="G7" s="2139"/>
      <c r="H7" s="2139"/>
      <c r="I7" s="2139"/>
      <c r="J7" s="2139"/>
      <c r="K7" s="2139"/>
      <c r="L7" s="2139"/>
      <c r="M7" s="2139"/>
      <c r="N7" s="2139"/>
      <c r="O7" s="2139"/>
      <c r="P7" s="2139"/>
      <c r="Q7" s="2139"/>
      <c r="R7" s="2139"/>
      <c r="S7" s="486"/>
      <c r="T7" s="486"/>
    </row>
    <row r="8" spans="1:95" ht="43.5" customHeight="1" x14ac:dyDescent="0.25">
      <c r="A8" s="489" t="s">
        <v>507</v>
      </c>
      <c r="B8" s="487"/>
      <c r="C8" s="489"/>
      <c r="D8" s="487"/>
      <c r="E8" s="168"/>
      <c r="F8" s="168"/>
      <c r="G8" s="168"/>
      <c r="H8" s="169"/>
      <c r="M8" s="388"/>
      <c r="CC8" s="973" t="s">
        <v>15</v>
      </c>
      <c r="CD8" s="973"/>
      <c r="CE8" s="973" t="s">
        <v>465</v>
      </c>
      <c r="CF8" s="973"/>
      <c r="CG8" s="973" t="s">
        <v>15</v>
      </c>
      <c r="CH8" s="973" t="s">
        <v>465</v>
      </c>
      <c r="CJ8" s="973" t="s">
        <v>15</v>
      </c>
      <c r="CK8" s="973"/>
      <c r="CL8" s="973" t="s">
        <v>465</v>
      </c>
      <c r="CM8" s="973"/>
      <c r="CN8" s="973" t="s">
        <v>15</v>
      </c>
      <c r="CO8" s="973" t="s">
        <v>465</v>
      </c>
    </row>
    <row r="9" spans="1:95" ht="21" customHeight="1" x14ac:dyDescent="0.25">
      <c r="A9" s="2160" t="s">
        <v>180</v>
      </c>
      <c r="B9" s="2161"/>
      <c r="C9" s="2140" t="s">
        <v>13</v>
      </c>
      <c r="D9" s="2140"/>
      <c r="E9" s="2140"/>
      <c r="F9" s="2136" t="s">
        <v>508</v>
      </c>
      <c r="G9" s="2137"/>
      <c r="H9" s="2137"/>
      <c r="I9" s="2137"/>
      <c r="J9" s="2137"/>
      <c r="K9" s="2137"/>
      <c r="L9" s="2137"/>
      <c r="M9" s="2137"/>
      <c r="N9" s="2137"/>
      <c r="O9" s="2137"/>
      <c r="P9" s="2137"/>
      <c r="Q9" s="2137"/>
      <c r="R9" s="2137"/>
      <c r="S9" s="2137"/>
      <c r="T9" s="2137"/>
      <c r="U9" s="2138"/>
      <c r="V9" s="1918" t="s">
        <v>15</v>
      </c>
      <c r="W9" s="1916"/>
      <c r="X9" s="1915" t="s">
        <v>814</v>
      </c>
      <c r="Y9" s="1916"/>
      <c r="Z9" s="1915" t="s">
        <v>733</v>
      </c>
      <c r="AA9" s="1916"/>
      <c r="CC9" s="973"/>
      <c r="CD9" s="973"/>
      <c r="CE9" s="973"/>
      <c r="CF9" s="973"/>
      <c r="CG9" s="973"/>
      <c r="CH9" s="973"/>
      <c r="CJ9" s="973"/>
      <c r="CK9" s="973"/>
      <c r="CL9" s="973"/>
      <c r="CM9" s="973"/>
      <c r="CN9" s="973"/>
      <c r="CO9" s="973"/>
    </row>
    <row r="10" spans="1:95" ht="18" customHeight="1" x14ac:dyDescent="0.25">
      <c r="A10" s="2162"/>
      <c r="B10" s="2163"/>
      <c r="C10" s="2140"/>
      <c r="D10" s="2140"/>
      <c r="E10" s="2140"/>
      <c r="F10" s="1978" t="s">
        <v>181</v>
      </c>
      <c r="G10" s="1971"/>
      <c r="H10" s="1970" t="s">
        <v>182</v>
      </c>
      <c r="I10" s="1971"/>
      <c r="J10" s="1970" t="s">
        <v>183</v>
      </c>
      <c r="K10" s="1971"/>
      <c r="L10" s="1970" t="s">
        <v>698</v>
      </c>
      <c r="M10" s="1978"/>
      <c r="N10" s="1970" t="s">
        <v>699</v>
      </c>
      <c r="O10" s="1978"/>
      <c r="P10" s="1970" t="s">
        <v>700</v>
      </c>
      <c r="Q10" s="1978"/>
      <c r="R10" s="1970" t="s">
        <v>701</v>
      </c>
      <c r="S10" s="1978"/>
      <c r="T10" s="1970" t="s">
        <v>697</v>
      </c>
      <c r="U10" s="1978"/>
      <c r="V10" s="1918"/>
      <c r="W10" s="1916"/>
      <c r="X10" s="1915"/>
      <c r="Y10" s="1916"/>
      <c r="Z10" s="1915"/>
      <c r="AA10" s="1916"/>
      <c r="CC10" s="975" t="s">
        <v>31</v>
      </c>
      <c r="CD10" s="975" t="s">
        <v>94</v>
      </c>
      <c r="CE10" s="975" t="s">
        <v>31</v>
      </c>
      <c r="CF10" s="975" t="s">
        <v>94</v>
      </c>
      <c r="CG10" s="974" t="s">
        <v>543</v>
      </c>
      <c r="CH10" s="974" t="s">
        <v>543</v>
      </c>
      <c r="CJ10" s="975" t="s">
        <v>31</v>
      </c>
      <c r="CK10" s="975" t="s">
        <v>94</v>
      </c>
      <c r="CL10" s="975" t="s">
        <v>31</v>
      </c>
      <c r="CM10" s="975" t="s">
        <v>94</v>
      </c>
      <c r="CN10" s="974" t="s">
        <v>543</v>
      </c>
      <c r="CO10" s="974" t="s">
        <v>543</v>
      </c>
    </row>
    <row r="11" spans="1:95" ht="21" x14ac:dyDescent="0.25">
      <c r="A11" s="2164"/>
      <c r="B11" s="2165"/>
      <c r="C11" s="130" t="s">
        <v>93</v>
      </c>
      <c r="D11" s="170" t="s">
        <v>31</v>
      </c>
      <c r="E11" s="171" t="s">
        <v>94</v>
      </c>
      <c r="F11" s="136" t="s">
        <v>129</v>
      </c>
      <c r="G11" s="137" t="s">
        <v>94</v>
      </c>
      <c r="H11" s="136" t="s">
        <v>129</v>
      </c>
      <c r="I11" s="137" t="s">
        <v>94</v>
      </c>
      <c r="J11" s="136" t="s">
        <v>129</v>
      </c>
      <c r="K11" s="137" t="s">
        <v>94</v>
      </c>
      <c r="L11" s="136" t="s">
        <v>129</v>
      </c>
      <c r="M11" s="138" t="s">
        <v>94</v>
      </c>
      <c r="N11" s="136" t="s">
        <v>129</v>
      </c>
      <c r="O11" s="138" t="s">
        <v>94</v>
      </c>
      <c r="P11" s="136" t="s">
        <v>129</v>
      </c>
      <c r="Q11" s="138" t="s">
        <v>94</v>
      </c>
      <c r="R11" s="136" t="s">
        <v>129</v>
      </c>
      <c r="S11" s="138" t="s">
        <v>94</v>
      </c>
      <c r="T11" s="136" t="s">
        <v>129</v>
      </c>
      <c r="U11" s="138" t="s">
        <v>94</v>
      </c>
      <c r="V11" s="383" t="s">
        <v>31</v>
      </c>
      <c r="W11" s="1128" t="s">
        <v>94</v>
      </c>
      <c r="X11" s="1135" t="s">
        <v>31</v>
      </c>
      <c r="Y11" s="354" t="s">
        <v>94</v>
      </c>
      <c r="Z11" s="1135" t="s">
        <v>31</v>
      </c>
      <c r="AA11" s="354" t="s">
        <v>94</v>
      </c>
    </row>
    <row r="12" spans="1:95" ht="21" customHeight="1" x14ac:dyDescent="0.25">
      <c r="A12" s="2166" t="s">
        <v>184</v>
      </c>
      <c r="B12" s="2167"/>
      <c r="C12" s="822">
        <f t="shared" ref="C12:C21" si="0">SUM(D12:E12)</f>
        <v>0</v>
      </c>
      <c r="D12" s="823">
        <f>+F12+H12+J12+L12+N12+P12+R12+T12</f>
        <v>0</v>
      </c>
      <c r="E12" s="824">
        <f>+G12+I12+K12+M12+O12+Q12+S12+U12</f>
        <v>0</v>
      </c>
      <c r="F12" s="825"/>
      <c r="G12" s="826"/>
      <c r="H12" s="825"/>
      <c r="I12" s="826"/>
      <c r="J12" s="825"/>
      <c r="K12" s="826"/>
      <c r="L12" s="825"/>
      <c r="M12" s="827"/>
      <c r="N12" s="825"/>
      <c r="O12" s="827"/>
      <c r="P12" s="825"/>
      <c r="Q12" s="827"/>
      <c r="R12" s="825"/>
      <c r="S12" s="827"/>
      <c r="T12" s="825"/>
      <c r="U12" s="827"/>
      <c r="V12" s="828"/>
      <c r="W12" s="826"/>
      <c r="X12" s="829"/>
      <c r="Y12" s="826"/>
      <c r="Z12" s="829"/>
      <c r="AA12" s="826"/>
      <c r="AB12" s="1688" t="str">
        <f>CA12&amp;CB12&amp;CC12&amp;CD12&amp;CE12&amp;CF12&amp;CG12&amp;CH12&amp;CI12</f>
        <v/>
      </c>
      <c r="CC12" s="381" t="str">
        <f>IF($D12&gt;=$V12,"","* La celda 'Pueblos Originarios / Hombres' debe ser menor o igual al Total de Hombres en control. ")</f>
        <v/>
      </c>
      <c r="CD12" s="381" t="str">
        <f>IF($E12&gt;=$W12,"","* La celda 'Pueblos Originarios / Mujeres' debe ser menor o igual al Total de Mujeres en control. ")</f>
        <v/>
      </c>
      <c r="CE12" s="381" t="str">
        <f>IF($D12&gt;=$X12,"","* La celda 'Población Migrantes / Hombres' debe ser menor o igual al Total de Hombres en control. ")</f>
        <v/>
      </c>
      <c r="CF12" s="381" t="str">
        <f>IF($E12&gt;=$Y12,"","* La celda 'Población Migrantes / Mujeres' debe ser menor o igual al Total de Mujeres en control. ")</f>
        <v/>
      </c>
      <c r="CG12" s="381" t="str">
        <f>IF(AND($D12&lt;&gt;0,$V12=""),"* No olvide escribir en las celdas de 'Pueblos Originarios' (Digite CERO si no tiene). ",IF(AND(E12&lt;&gt;0,W12=""),"* No olvide escribir en las celdas de 'Pueblos Originarios' (Digite CERO si no tiene). ",""))</f>
        <v/>
      </c>
      <c r="CH12" s="381" t="str">
        <f>IF(AND($D12&lt;&gt;0,$X12=""),"* No olvide escribir en las celdas de 'Población Migrantes' (Digite CERO si no tiene). ",IF(AND(E12&lt;&gt;0,Y12=""),"* No olvide escribir en las celdas de 'Población Migrantes' (Digite CERO si no tiene). ",""))</f>
        <v/>
      </c>
      <c r="CJ12" s="391">
        <f>IF($D12&gt;=$V12,0,1)</f>
        <v>0</v>
      </c>
      <c r="CK12" s="391">
        <f>IF($E12&gt;=$W12,0,1)</f>
        <v>0</v>
      </c>
      <c r="CL12" s="391">
        <f>IF($D12&gt;=$X12,0,1)</f>
        <v>0</v>
      </c>
      <c r="CM12" s="391">
        <f>IF($E12&gt;=$Y12,0,1)</f>
        <v>0</v>
      </c>
      <c r="CN12" s="391">
        <f>IF(AND(D12&lt;&gt;0,V12=""),1,IF(AND(E12&lt;&gt;0,W12=""),1,0))</f>
        <v>0</v>
      </c>
      <c r="CO12" s="391">
        <f>IF(AND(D12&lt;&gt;0,X12=""),1,IF(AND(E12&lt;&gt;0,Y12=""),1,0))</f>
        <v>0</v>
      </c>
      <c r="CP12" s="385"/>
      <c r="CQ12" s="385"/>
    </row>
    <row r="13" spans="1:95" ht="21" customHeight="1" x14ac:dyDescent="0.25">
      <c r="A13" s="2168" t="s">
        <v>185</v>
      </c>
      <c r="B13" s="2169"/>
      <c r="C13" s="830">
        <f t="shared" si="0"/>
        <v>0</v>
      </c>
      <c r="D13" s="831">
        <f t="shared" ref="D13:D14" si="1">+F13+H13+J13+L13+N13+P13+R13+T13</f>
        <v>0</v>
      </c>
      <c r="E13" s="832">
        <f t="shared" ref="E13:E14" si="2">+G13+I13+K13+M13+O13+Q13+S13+U13</f>
        <v>0</v>
      </c>
      <c r="F13" s="833"/>
      <c r="G13" s="834"/>
      <c r="H13" s="833"/>
      <c r="I13" s="834"/>
      <c r="J13" s="833"/>
      <c r="K13" s="834"/>
      <c r="L13" s="833"/>
      <c r="M13" s="835"/>
      <c r="N13" s="833"/>
      <c r="O13" s="835"/>
      <c r="P13" s="833"/>
      <c r="Q13" s="835"/>
      <c r="R13" s="833"/>
      <c r="S13" s="835"/>
      <c r="T13" s="833"/>
      <c r="U13" s="835"/>
      <c r="V13" s="836"/>
      <c r="W13" s="834"/>
      <c r="X13" s="837"/>
      <c r="Y13" s="834"/>
      <c r="Z13" s="837"/>
      <c r="AA13" s="834"/>
      <c r="AB13" s="1688" t="str">
        <f t="shared" ref="AB13:AB19" si="3">CA13&amp;CB13&amp;CC13&amp;CD13&amp;CE13&amp;CF13&amp;CG13&amp;CH13&amp;CI13</f>
        <v/>
      </c>
      <c r="CC13" s="381" t="str">
        <f>IF($D13&gt;=$V13,"","* La celda 'Pueblos Originarios / Hombres' debe ser menor o igual al Total de Hombres en control. ")</f>
        <v/>
      </c>
      <c r="CD13" s="381" t="str">
        <f>IF($E13&gt;=$W13,"","* La celda 'Pueblos Originarios / Mujeres' debe ser menor o igual al Total de Mujeres en control. ")</f>
        <v/>
      </c>
      <c r="CE13" s="381" t="str">
        <f>IF($D13&gt;=$X13,"","* La celda 'Población Migrantes / Hombres' debe ser menor o igual al Total de Hombres en control. ")</f>
        <v/>
      </c>
      <c r="CF13" s="381" t="str">
        <f>IF($E13&gt;=$Y13,"","* La celda 'Población Migrantes / Mujeres' debe ser menor o igual al Total de Mujeres en control. ")</f>
        <v/>
      </c>
      <c r="CG13" s="381" t="str">
        <f>IF(AND($D13&lt;&gt;0,$V13=""),"* No olvide escribir en las celdas de 'Pueblos Originarios' (Digite CERO si no tiene). ",IF(AND(E13&lt;&gt;0,W13=""),"* No olvide escribir en las celdas de 'Pueblos Originarios' (Digite CERO si no tiene). ",""))</f>
        <v/>
      </c>
      <c r="CH13" s="381" t="str">
        <f>IF(AND($D13&lt;&gt;0,$X13=""),"* No olvide escribir en las celdas de 'Población Migrantes' (Digite CERO si no tiene). ",IF(AND(E13&lt;&gt;0,Y13=""),"* No olvide escribir en las celdas de 'Población Migrantes' (Digite CERO si no tiene). ",""))</f>
        <v/>
      </c>
      <c r="CJ13" s="391">
        <f>IF($D13&gt;=$V13,0,1)</f>
        <v>0</v>
      </c>
      <c r="CK13" s="391">
        <f>IF($E13&gt;=$W13,0,1)</f>
        <v>0</v>
      </c>
      <c r="CL13" s="391">
        <f>IF($D13&gt;=$X13,0,1)</f>
        <v>0</v>
      </c>
      <c r="CM13" s="391">
        <f>IF($E13&gt;=$Y13,0,1)</f>
        <v>0</v>
      </c>
      <c r="CN13" s="391">
        <f>IF(AND(D13&lt;&gt;0,V13=""),1,IF(AND(E13&lt;&gt;0,W13=""),1,0))</f>
        <v>0</v>
      </c>
      <c r="CO13" s="391">
        <f>IF(AND(D13&lt;&gt;0,X13=""),1,IF(AND(E13&lt;&gt;0,Y13=""),1,0))</f>
        <v>0</v>
      </c>
      <c r="CP13" s="385"/>
      <c r="CQ13" s="385"/>
    </row>
    <row r="14" spans="1:95" ht="21" customHeight="1" x14ac:dyDescent="0.25">
      <c r="A14" s="2170" t="s">
        <v>186</v>
      </c>
      <c r="B14" s="2171"/>
      <c r="C14" s="830">
        <f t="shared" si="0"/>
        <v>0</v>
      </c>
      <c r="D14" s="831">
        <f t="shared" si="1"/>
        <v>0</v>
      </c>
      <c r="E14" s="832">
        <f t="shared" si="2"/>
        <v>0</v>
      </c>
      <c r="F14" s="838"/>
      <c r="G14" s="839"/>
      <c r="H14" s="838"/>
      <c r="I14" s="839"/>
      <c r="J14" s="838"/>
      <c r="K14" s="839"/>
      <c r="L14" s="838"/>
      <c r="M14" s="840"/>
      <c r="N14" s="838"/>
      <c r="O14" s="840"/>
      <c r="P14" s="838"/>
      <c r="Q14" s="840"/>
      <c r="R14" s="838"/>
      <c r="S14" s="840"/>
      <c r="T14" s="838"/>
      <c r="U14" s="840"/>
      <c r="V14" s="841"/>
      <c r="W14" s="839"/>
      <c r="X14" s="842"/>
      <c r="Y14" s="839"/>
      <c r="Z14" s="842"/>
      <c r="AA14" s="839"/>
      <c r="AB14" s="1688" t="str">
        <f t="shared" si="3"/>
        <v/>
      </c>
      <c r="CC14" s="381" t="str">
        <f>IF($D14&gt;=$V14,"","* La celda 'Pueblos Originarios / Hombres' debe ser menor o igual al Total de Hombres en control. ")</f>
        <v/>
      </c>
      <c r="CD14" s="381" t="str">
        <f>IF($E14&gt;=$W14,"","* La celda 'Pueblos Originarios / Mujeres' debe ser menor o igual al Total de Mujeres en control. ")</f>
        <v/>
      </c>
      <c r="CE14" s="381" t="str">
        <f>IF($D14&gt;=$X14,"","* La celda 'Población Migrantes / Hombres' debe ser menor o igual al Total de Hombres en control. ")</f>
        <v/>
      </c>
      <c r="CF14" s="381" t="str">
        <f>IF($E14&gt;=$Y14,"","* La celda 'Población Migrantes / Mujeres' debe ser menor o igual al Total de Mujeres en control. ")</f>
        <v/>
      </c>
      <c r="CG14" s="381" t="str">
        <f>IF(AND($D14&lt;&gt;0,$V14=""),"* No olvide escribir en las celdas de 'Pueblos Originarios' (Digite CERO si no tiene). ",IF(AND(E14&lt;&gt;0,W14=""),"* No olvide escribir en las celdas de 'Pueblos Originarios' (Digite CERO si no tiene). ",""))</f>
        <v/>
      </c>
      <c r="CH14" s="381" t="str">
        <f>IF(AND($D14&lt;&gt;0,$X14=""),"* No olvide escribir en las celdas de 'Población Migrantes' (Digite CERO si no tiene). ",IF(AND(E14&lt;&gt;0,Y14=""),"* No olvide escribir en las celdas de 'Población Migrantes' (Digite CERO si no tiene). ",""))</f>
        <v/>
      </c>
      <c r="CJ14" s="391">
        <f>IF($D14&gt;=$V14,0,1)</f>
        <v>0</v>
      </c>
      <c r="CK14" s="391">
        <f>IF($E14&gt;=$W14,0,1)</f>
        <v>0</v>
      </c>
      <c r="CL14" s="391">
        <f>IF($D14&gt;=$X14,0,1)</f>
        <v>0</v>
      </c>
      <c r="CM14" s="391">
        <f>IF($E14&gt;=$Y14,0,1)</f>
        <v>0</v>
      </c>
      <c r="CN14" s="391">
        <f>IF(AND(D14&lt;&gt;0,V14=""),1,IF(AND(E14&lt;&gt;0,W14=""),1,0))</f>
        <v>0</v>
      </c>
      <c r="CO14" s="391">
        <f>IF(AND(D14&lt;&gt;0,X14=""),1,IF(AND(E14&lt;&gt;0,Y14=""),1,0))</f>
        <v>0</v>
      </c>
      <c r="CP14" s="385"/>
      <c r="CQ14" s="385"/>
    </row>
    <row r="15" spans="1:95" ht="21" customHeight="1" x14ac:dyDescent="0.25">
      <c r="A15" s="2172" t="s">
        <v>187</v>
      </c>
      <c r="B15" s="2173"/>
      <c r="C15" s="843">
        <f>SUM(D15:E15)</f>
        <v>0</v>
      </c>
      <c r="D15" s="844">
        <f>+F15+H15+J15+L15+N15+P15+R15+T15</f>
        <v>0</v>
      </c>
      <c r="E15" s="845">
        <f>+G15+I15+K15+M15+O15+Q15+S15+U15</f>
        <v>0</v>
      </c>
      <c r="F15" s="843">
        <f>SUM(F12:F14)</f>
        <v>0</v>
      </c>
      <c r="G15" s="845">
        <f t="shared" ref="G15:X15" si="4">SUM(G12:G14)</f>
        <v>0</v>
      </c>
      <c r="H15" s="843">
        <f t="shared" si="4"/>
        <v>0</v>
      </c>
      <c r="I15" s="845">
        <f t="shared" si="4"/>
        <v>0</v>
      </c>
      <c r="J15" s="843">
        <f t="shared" si="4"/>
        <v>0</v>
      </c>
      <c r="K15" s="845">
        <f t="shared" si="4"/>
        <v>0</v>
      </c>
      <c r="L15" s="843">
        <f t="shared" si="4"/>
        <v>0</v>
      </c>
      <c r="M15" s="846">
        <f t="shared" si="4"/>
        <v>0</v>
      </c>
      <c r="N15" s="843">
        <f t="shared" ref="N15:O15" si="5">SUM(N12:N14)</f>
        <v>0</v>
      </c>
      <c r="O15" s="846">
        <f t="shared" si="5"/>
        <v>0</v>
      </c>
      <c r="P15" s="843">
        <f t="shared" ref="P15:Q15" si="6">SUM(P12:P14)</f>
        <v>0</v>
      </c>
      <c r="Q15" s="846">
        <f t="shared" si="6"/>
        <v>0</v>
      </c>
      <c r="R15" s="843">
        <f t="shared" ref="R15:S15" si="7">SUM(R12:R14)</f>
        <v>0</v>
      </c>
      <c r="S15" s="846">
        <f t="shared" si="7"/>
        <v>0</v>
      </c>
      <c r="T15" s="843">
        <f t="shared" si="4"/>
        <v>0</v>
      </c>
      <c r="U15" s="846">
        <f t="shared" si="4"/>
        <v>0</v>
      </c>
      <c r="V15" s="847">
        <f>SUM(V12:V14)</f>
        <v>0</v>
      </c>
      <c r="W15" s="845">
        <f>SUM(W12:W14)</f>
        <v>0</v>
      </c>
      <c r="X15" s="1160">
        <f t="shared" si="4"/>
        <v>0</v>
      </c>
      <c r="Y15" s="845">
        <f>SUM(Y12:Y14)</f>
        <v>0</v>
      </c>
      <c r="Z15" s="1160">
        <f t="shared" ref="Z15" si="8">SUM(Z12:Z14)</f>
        <v>0</v>
      </c>
      <c r="AA15" s="845">
        <f>SUM(AA12:AA14)</f>
        <v>0</v>
      </c>
      <c r="AB15" s="1688"/>
      <c r="BC15" s="1050"/>
      <c r="BD15" s="1050"/>
      <c r="BE15" s="1050"/>
      <c r="BF15" s="1050"/>
      <c r="BG15" s="1050"/>
      <c r="BH15" s="1050"/>
      <c r="BI15" s="1050"/>
      <c r="BJ15" s="1050"/>
      <c r="BK15" s="1050"/>
      <c r="BL15" s="1050"/>
      <c r="BM15" s="1050"/>
      <c r="CC15" s="381"/>
      <c r="CJ15" s="484"/>
      <c r="CK15" s="385"/>
      <c r="CL15" s="385"/>
      <c r="CM15" s="385"/>
      <c r="CN15" s="385"/>
      <c r="CO15" s="385"/>
      <c r="CP15" s="385"/>
      <c r="CQ15" s="385"/>
    </row>
    <row r="16" spans="1:95" ht="21" customHeight="1" x14ac:dyDescent="0.25">
      <c r="A16" s="2166" t="s">
        <v>188</v>
      </c>
      <c r="B16" s="2167"/>
      <c r="C16" s="822">
        <f t="shared" si="0"/>
        <v>0</v>
      </c>
      <c r="D16" s="823">
        <f>+F16+H16+J16+L16+N16+P16+R16+T16</f>
        <v>0</v>
      </c>
      <c r="E16" s="824">
        <f t="shared" ref="E16:E19" si="9">+G16+I16+K16+M16+O16+Q16+S16+U16</f>
        <v>0</v>
      </c>
      <c r="F16" s="825"/>
      <c r="G16" s="826"/>
      <c r="H16" s="825"/>
      <c r="I16" s="826"/>
      <c r="J16" s="825"/>
      <c r="K16" s="826"/>
      <c r="L16" s="825"/>
      <c r="M16" s="827"/>
      <c r="N16" s="825"/>
      <c r="O16" s="827"/>
      <c r="P16" s="825"/>
      <c r="Q16" s="827"/>
      <c r="R16" s="825"/>
      <c r="S16" s="827"/>
      <c r="T16" s="825"/>
      <c r="U16" s="827"/>
      <c r="V16" s="828"/>
      <c r="W16" s="826"/>
      <c r="X16" s="829"/>
      <c r="Y16" s="826"/>
      <c r="Z16" s="829"/>
      <c r="AA16" s="826"/>
      <c r="AB16" s="1688" t="str">
        <f t="shared" si="3"/>
        <v/>
      </c>
      <c r="CC16" s="381" t="str">
        <f>IF($D16&gt;=$V16,"","* La celda 'Pueblos Originarios / Hombres' debe ser menor o igual al Total de Hombres en control. ")</f>
        <v/>
      </c>
      <c r="CD16" s="381" t="str">
        <f>IF($E16&gt;=$W16,"","* La celda 'Pueblos Originarios / Mujeres' debe ser menor o igual al Total de Mujeres en control. ")</f>
        <v/>
      </c>
      <c r="CE16" s="381" t="str">
        <f>IF($D16&gt;=$X16,"","* La celda 'Población Migrantes / Hombres' debe ser menor o igual al Total de Hombres en control. ")</f>
        <v/>
      </c>
      <c r="CF16" s="381" t="str">
        <f>IF($E16&gt;=$Y16,"","* La celda 'Población Migrantes / Mujeres' debe ser menor o igual al Total de Mujeres en control. ")</f>
        <v/>
      </c>
      <c r="CG16" s="381" t="str">
        <f>IF(AND($D16&lt;&gt;0,$V16=""),"* No olvide escribir en las celdas de 'Pueblos Originarios' (Digite CERO si no tiene). ",IF(AND(E16&lt;&gt;0,W16=""),"* No olvide escribir en las celdas de 'Pueblos Originarios' (Digite CERO si no tiene). ",""))</f>
        <v/>
      </c>
      <c r="CH16" s="381" t="str">
        <f>IF(AND($D16&lt;&gt;0,$X16=""),"* No olvide escribir en las celdas de 'Población Migrantes' (Digite CERO si no tiene). ",IF(AND(E16&lt;&gt;0,Y16=""),"* No olvide escribir en las celdas de 'Población Migrantes' (Digite CERO si no tiene). ",""))</f>
        <v/>
      </c>
      <c r="CJ16" s="391">
        <f>IF($D16&gt;=$V16,0,1)</f>
        <v>0</v>
      </c>
      <c r="CK16" s="391">
        <f>IF($E16&gt;=$W16,0,1)</f>
        <v>0</v>
      </c>
      <c r="CL16" s="391">
        <f>IF($D16&gt;=$X16,0,1)</f>
        <v>0</v>
      </c>
      <c r="CM16" s="391">
        <f>IF($E16&gt;=$Y16,0,1)</f>
        <v>0</v>
      </c>
      <c r="CN16" s="391">
        <f>IF(AND(D16&lt;&gt;0,V16=""),1,IF(AND(E16&lt;&gt;0,W16=""),1,0))</f>
        <v>0</v>
      </c>
      <c r="CO16" s="391">
        <f>IF(AND(D16&lt;&gt;0,X16=""),1,IF(AND(E16&lt;&gt;0,Y16=""),1,0))</f>
        <v>0</v>
      </c>
      <c r="CP16" s="385"/>
      <c r="CQ16" s="385"/>
    </row>
    <row r="17" spans="1:102" ht="21" customHeight="1" x14ac:dyDescent="0.25">
      <c r="A17" s="2178" t="s">
        <v>189</v>
      </c>
      <c r="B17" s="2179"/>
      <c r="C17" s="830">
        <f t="shared" si="0"/>
        <v>0</v>
      </c>
      <c r="D17" s="831">
        <f t="shared" ref="D17:D18" si="10">+F17+H17+J17+L17+N17+P17+R17+T17</f>
        <v>0</v>
      </c>
      <c r="E17" s="848">
        <f t="shared" si="9"/>
        <v>0</v>
      </c>
      <c r="F17" s="833"/>
      <c r="G17" s="834"/>
      <c r="H17" s="833"/>
      <c r="I17" s="834"/>
      <c r="J17" s="833"/>
      <c r="K17" s="834"/>
      <c r="L17" s="833"/>
      <c r="M17" s="835"/>
      <c r="N17" s="833"/>
      <c r="O17" s="835"/>
      <c r="P17" s="833"/>
      <c r="Q17" s="835"/>
      <c r="R17" s="833"/>
      <c r="S17" s="835"/>
      <c r="T17" s="833"/>
      <c r="U17" s="835"/>
      <c r="V17" s="836"/>
      <c r="W17" s="834"/>
      <c r="X17" s="837"/>
      <c r="Y17" s="834"/>
      <c r="Z17" s="837"/>
      <c r="AA17" s="834"/>
      <c r="AB17" s="1688" t="str">
        <f t="shared" si="3"/>
        <v/>
      </c>
      <c r="CC17" s="381" t="str">
        <f>IF($D17&gt;=$V17,"","* La celda 'Pueblos Originarios / Hombres' debe ser menor o igual al Total de Hombres en control. ")</f>
        <v/>
      </c>
      <c r="CD17" s="381" t="str">
        <f>IF($E17&gt;=$W17,"","* La celda 'Pueblos Originarios / Mujeres' debe ser menor o igual al Total de Mujeres en control. ")</f>
        <v/>
      </c>
      <c r="CE17" s="381" t="str">
        <f>IF($D17&gt;=$X17,"","* La celda 'Población Migrantes / Hombres' debe ser menor o igual al Total de Hombres en control. ")</f>
        <v/>
      </c>
      <c r="CF17" s="381" t="str">
        <f>IF($E17&gt;=$Y17,"","* La celda 'Población Migrantes / Mujeres' debe ser menor o igual al Total de Mujeres en control. ")</f>
        <v/>
      </c>
      <c r="CG17" s="381" t="str">
        <f>IF(AND($D17&lt;&gt;0,$V17=""),"* No olvide escribir en las celdas de 'Pueblos Originarios' (Digite CERO si no tiene). ",IF(AND(E17&lt;&gt;0,W17=""),"* No olvide escribir en las celdas de 'Pueblos Originarios' (Digite CERO si no tiene). ",""))</f>
        <v/>
      </c>
      <c r="CH17" s="381" t="str">
        <f>IF(AND($D17&lt;&gt;0,$X17=""),"* No olvide escribir en las celdas de 'Población Migrantes' (Digite CERO si no tiene). ",IF(AND(E17&lt;&gt;0,Y17=""),"* No olvide escribir en las celdas de 'Población Migrantes' (Digite CERO si no tiene). ",""))</f>
        <v/>
      </c>
      <c r="CJ17" s="391">
        <f>IF($D17&gt;=$V17,0,1)</f>
        <v>0</v>
      </c>
      <c r="CK17" s="391">
        <f>IF($E17&gt;=$W17,0,1)</f>
        <v>0</v>
      </c>
      <c r="CL17" s="391">
        <f>IF($D17&gt;=$X17,0,1)</f>
        <v>0</v>
      </c>
      <c r="CM17" s="391">
        <f>IF($E17&gt;=$Y17,0,1)</f>
        <v>0</v>
      </c>
      <c r="CN17" s="391">
        <f>IF(AND(D17&lt;&gt;0,V17=""),1,IF(AND(E17&lt;&gt;0,W17=""),1,0))</f>
        <v>0</v>
      </c>
      <c r="CO17" s="391">
        <f>IF(AND(D17&lt;&gt;0,X17=""),1,IF(AND(E17&lt;&gt;0,Y17=""),1,0))</f>
        <v>0</v>
      </c>
      <c r="CP17" s="385"/>
      <c r="CQ17" s="385"/>
    </row>
    <row r="18" spans="1:102" ht="21" customHeight="1" x14ac:dyDescent="0.25">
      <c r="A18" s="2178" t="s">
        <v>190</v>
      </c>
      <c r="B18" s="2179"/>
      <c r="C18" s="830">
        <f t="shared" si="0"/>
        <v>0</v>
      </c>
      <c r="D18" s="831">
        <f t="shared" si="10"/>
        <v>0</v>
      </c>
      <c r="E18" s="848">
        <f t="shared" si="9"/>
        <v>0</v>
      </c>
      <c r="F18" s="833"/>
      <c r="G18" s="834"/>
      <c r="H18" s="833"/>
      <c r="I18" s="834"/>
      <c r="J18" s="833"/>
      <c r="K18" s="834"/>
      <c r="L18" s="833"/>
      <c r="M18" s="835"/>
      <c r="N18" s="833"/>
      <c r="O18" s="835"/>
      <c r="P18" s="833"/>
      <c r="Q18" s="835"/>
      <c r="R18" s="833"/>
      <c r="S18" s="835"/>
      <c r="T18" s="833"/>
      <c r="U18" s="835"/>
      <c r="V18" s="836"/>
      <c r="W18" s="834"/>
      <c r="X18" s="837"/>
      <c r="Y18" s="834"/>
      <c r="Z18" s="837"/>
      <c r="AA18" s="834"/>
      <c r="AB18" s="1688" t="str">
        <f t="shared" si="3"/>
        <v/>
      </c>
      <c r="CC18" s="381" t="str">
        <f>IF($D18&gt;=$V18,"","* La celda 'Pueblos Originarios / Hombres' debe ser menor o igual al Total de Hombres en control. ")</f>
        <v/>
      </c>
      <c r="CD18" s="381" t="str">
        <f>IF($E18&gt;=$W18,"","* La celda 'Pueblos Originarios / Mujeres' debe ser menor o igual al Total de Mujeres en control. ")</f>
        <v/>
      </c>
      <c r="CE18" s="381" t="str">
        <f>IF($D18&gt;=$X18,"","* La celda 'Población Migrantes / Hombres' debe ser menor o igual al Total de Hombres en control. ")</f>
        <v/>
      </c>
      <c r="CF18" s="381" t="str">
        <f>IF($E18&gt;=$Y18,"","* La celda 'Población Migrantes / Mujeres' debe ser menor o igual al Total de Mujeres en control. ")</f>
        <v/>
      </c>
      <c r="CG18" s="381" t="str">
        <f>IF(AND($D18&lt;&gt;0,$V18=""),"* No olvide escribir en las celdas de 'Pueblos Originarios' (Digite CERO si no tiene). ",IF(AND(E18&lt;&gt;0,W18=""),"* No olvide escribir en las celdas de 'Pueblos Originarios' (Digite CERO si no tiene). ",""))</f>
        <v/>
      </c>
      <c r="CH18" s="381" t="str">
        <f>IF(AND($D18&lt;&gt;0,$X18=""),"* No olvide escribir en las celdas de 'Población Migrantes' (Digite CERO si no tiene). ",IF(AND(E18&lt;&gt;0,Y18=""),"* No olvide escribir en las celdas de 'Población Migrantes' (Digite CERO si no tiene). ",""))</f>
        <v/>
      </c>
      <c r="CJ18" s="391">
        <f>IF($D18&gt;=$V18,0,1)</f>
        <v>0</v>
      </c>
      <c r="CK18" s="391">
        <f>IF($E18&gt;=$W18,0,1)</f>
        <v>0</v>
      </c>
      <c r="CL18" s="391">
        <f>IF($D18&gt;=$X18,0,1)</f>
        <v>0</v>
      </c>
      <c r="CM18" s="391">
        <f>IF($E18&gt;=$Y18,0,1)</f>
        <v>0</v>
      </c>
      <c r="CN18" s="391">
        <f>IF(AND(D18&lt;&gt;0,V18=""),1,IF(AND(E18&lt;&gt;0,W18=""),1,0))</f>
        <v>0</v>
      </c>
      <c r="CO18" s="391">
        <f>IF(AND(D18&lt;&gt;0,X18=""),1,IF(AND(E18&lt;&gt;0,Y18=""),1,0))</f>
        <v>0</v>
      </c>
      <c r="CP18" s="385"/>
      <c r="CQ18" s="385"/>
    </row>
    <row r="19" spans="1:102" ht="21" customHeight="1" x14ac:dyDescent="0.25">
      <c r="A19" s="2180" t="s">
        <v>191</v>
      </c>
      <c r="B19" s="2181"/>
      <c r="C19" s="849">
        <f t="shared" si="0"/>
        <v>0</v>
      </c>
      <c r="D19" s="850">
        <f>+F19+H19+J19+L19+N19+P19+R19+T19</f>
        <v>0</v>
      </c>
      <c r="E19" s="851">
        <f t="shared" si="9"/>
        <v>0</v>
      </c>
      <c r="F19" s="852"/>
      <c r="G19" s="853"/>
      <c r="H19" s="852"/>
      <c r="I19" s="853"/>
      <c r="J19" s="852"/>
      <c r="K19" s="853"/>
      <c r="L19" s="852"/>
      <c r="M19" s="854"/>
      <c r="N19" s="852"/>
      <c r="O19" s="854"/>
      <c r="P19" s="852"/>
      <c r="Q19" s="854"/>
      <c r="R19" s="852"/>
      <c r="S19" s="854"/>
      <c r="T19" s="852"/>
      <c r="U19" s="854"/>
      <c r="V19" s="855"/>
      <c r="W19" s="853"/>
      <c r="X19" s="857"/>
      <c r="Y19" s="853"/>
      <c r="Z19" s="857"/>
      <c r="AA19" s="853"/>
      <c r="AB19" s="1688" t="str">
        <f t="shared" si="3"/>
        <v/>
      </c>
      <c r="CC19" s="381" t="str">
        <f>IF($D19&gt;=$V19,"","* La celda 'Pueblos Originarios / Hombres' debe ser menor o igual al Total de Hombres en control. ")</f>
        <v/>
      </c>
      <c r="CD19" s="381" t="str">
        <f>IF($E19&gt;=$W19,"","* La celda 'Pueblos Originarios / Mujeres' debe ser menor o igual al Total de Mujeres en control. ")</f>
        <v/>
      </c>
      <c r="CE19" s="381" t="str">
        <f>IF($D19&gt;=$X19,"","* La celda 'Población Migrantes / Hombres' debe ser menor o igual al Total de Hombres en control. ")</f>
        <v/>
      </c>
      <c r="CF19" s="381" t="str">
        <f>IF($E19&gt;=$Y19,"","* La celda 'Población Migrantes / Mujeres' debe ser menor o igual al Total de Mujeres en control. ")</f>
        <v/>
      </c>
      <c r="CG19" s="381" t="str">
        <f>IF(AND($D19&lt;&gt;0,$V19=""),"* No olvide escribir en las celdas de 'Pueblos Originarios' (Digite CERO si no tiene). ",IF(AND(E19&lt;&gt;0,W19=""),"* No olvide escribir en las celdas de 'Pueblos Originarios' (Digite CERO si no tiene). ",""))</f>
        <v/>
      </c>
      <c r="CH19" s="381" t="str">
        <f>IF(AND($D19&lt;&gt;0,$X19=""),"* No olvide escribir en las celdas de 'Población Migrantes' (Digite CERO si no tiene). ",IF(AND(E19&lt;&gt;0,Y19=""),"* No olvide escribir en las celdas de 'Población Migrantes' (Digite CERO si no tiene). ",""))</f>
        <v/>
      </c>
      <c r="CJ19" s="391">
        <f>IF($D19&gt;=$V19,0,1)</f>
        <v>0</v>
      </c>
      <c r="CK19" s="391">
        <f>IF($E19&gt;=$W19,0,1)</f>
        <v>0</v>
      </c>
      <c r="CL19" s="391">
        <f>IF($D19&gt;=$X19,0,1)</f>
        <v>0</v>
      </c>
      <c r="CM19" s="391">
        <f>IF($E19&gt;=$Y19,0,1)</f>
        <v>0</v>
      </c>
      <c r="CN19" s="391">
        <f>IF(AND(D19&lt;&gt;0,V19=""),1,IF(AND(E19&lt;&gt;0,W19=""),1,0))</f>
        <v>0</v>
      </c>
      <c r="CO19" s="391">
        <f>IF(AND(D19&lt;&gt;0,X19=""),1,IF(AND(E19&lt;&gt;0,Y19=""),1,0))</f>
        <v>0</v>
      </c>
      <c r="CP19" s="385"/>
      <c r="CQ19" s="385"/>
    </row>
    <row r="20" spans="1:102" ht="21" customHeight="1" x14ac:dyDescent="0.25">
      <c r="A20" s="2174" t="s">
        <v>192</v>
      </c>
      <c r="B20" s="2175"/>
      <c r="C20" s="843">
        <f>SUM(D20:E20)</f>
        <v>0</v>
      </c>
      <c r="D20" s="844">
        <f>+F20+H20+J20+L20+N20+P20+R20+T20</f>
        <v>0</v>
      </c>
      <c r="E20" s="858">
        <f>+G20+I20+K20+M20+O20+Q20+S20+U20</f>
        <v>0</v>
      </c>
      <c r="F20" s="859">
        <f>SUM(F16:F19)</f>
        <v>0</v>
      </c>
      <c r="G20" s="860">
        <f t="shared" ref="G20:X20" si="11">SUM(G16:G19)</f>
        <v>0</v>
      </c>
      <c r="H20" s="859">
        <f t="shared" si="11"/>
        <v>0</v>
      </c>
      <c r="I20" s="860">
        <f t="shared" si="11"/>
        <v>0</v>
      </c>
      <c r="J20" s="861">
        <f t="shared" si="11"/>
        <v>0</v>
      </c>
      <c r="K20" s="860">
        <f t="shared" si="11"/>
        <v>0</v>
      </c>
      <c r="L20" s="859">
        <f t="shared" si="11"/>
        <v>0</v>
      </c>
      <c r="M20" s="862">
        <f t="shared" si="11"/>
        <v>0</v>
      </c>
      <c r="N20" s="859">
        <f t="shared" ref="N20:O20" si="12">SUM(N16:N19)</f>
        <v>0</v>
      </c>
      <c r="O20" s="862">
        <f t="shared" si="12"/>
        <v>0</v>
      </c>
      <c r="P20" s="859">
        <f t="shared" ref="P20:Q20" si="13">SUM(P16:P19)</f>
        <v>0</v>
      </c>
      <c r="Q20" s="862">
        <f t="shared" si="13"/>
        <v>0</v>
      </c>
      <c r="R20" s="859">
        <f t="shared" ref="R20:S20" si="14">SUM(R16:R19)</f>
        <v>0</v>
      </c>
      <c r="S20" s="862">
        <f t="shared" si="14"/>
        <v>0</v>
      </c>
      <c r="T20" s="859">
        <f t="shared" si="11"/>
        <v>0</v>
      </c>
      <c r="U20" s="862">
        <f t="shared" si="11"/>
        <v>0</v>
      </c>
      <c r="V20" s="863">
        <f>SUM(V16:V19)</f>
        <v>0</v>
      </c>
      <c r="W20" s="866">
        <f>SUM(W16:W19)</f>
        <v>0</v>
      </c>
      <c r="X20" s="1161">
        <f t="shared" si="11"/>
        <v>0</v>
      </c>
      <c r="Y20" s="866">
        <f>SUM(Y16:Y19)</f>
        <v>0</v>
      </c>
      <c r="Z20" s="1161">
        <f t="shared" ref="Z20" si="15">SUM(Z16:Z19)</f>
        <v>0</v>
      </c>
      <c r="AA20" s="866">
        <f>SUM(AA16:AA19)</f>
        <v>0</v>
      </c>
      <c r="AB20" s="1688"/>
      <c r="BC20" s="1050"/>
      <c r="BD20" s="1050"/>
      <c r="BE20" s="1050"/>
      <c r="BF20" s="1050"/>
      <c r="BG20" s="1050"/>
      <c r="BH20" s="1050"/>
      <c r="BI20" s="1050"/>
      <c r="BJ20" s="1050"/>
      <c r="BK20" s="1050"/>
      <c r="BL20" s="1050"/>
      <c r="BM20" s="1050"/>
      <c r="CJ20" s="385"/>
      <c r="CK20" s="385"/>
      <c r="CL20" s="385"/>
      <c r="CM20" s="385"/>
      <c r="CN20" s="385"/>
      <c r="CO20" s="385"/>
      <c r="CP20" s="385"/>
      <c r="CQ20" s="385"/>
    </row>
    <row r="21" spans="1:102" ht="21" customHeight="1" x14ac:dyDescent="0.25">
      <c r="A21" s="2172" t="s">
        <v>578</v>
      </c>
      <c r="B21" s="2173"/>
      <c r="C21" s="843">
        <f t="shared" si="0"/>
        <v>0</v>
      </c>
      <c r="D21" s="844">
        <f>+F21+H21+J21+L21+N21+P21+R21+T21</f>
        <v>0</v>
      </c>
      <c r="E21" s="858">
        <f>+G21+I21+K21+M21+O21+Q21+S21+U21</f>
        <v>0</v>
      </c>
      <c r="F21" s="859">
        <f>+F15+F20</f>
        <v>0</v>
      </c>
      <c r="G21" s="860">
        <f t="shared" ref="G21:X21" si="16">+G15+G20</f>
        <v>0</v>
      </c>
      <c r="H21" s="859">
        <f t="shared" si="16"/>
        <v>0</v>
      </c>
      <c r="I21" s="860">
        <f t="shared" si="16"/>
        <v>0</v>
      </c>
      <c r="J21" s="859">
        <f t="shared" si="16"/>
        <v>0</v>
      </c>
      <c r="K21" s="860">
        <f t="shared" si="16"/>
        <v>0</v>
      </c>
      <c r="L21" s="859">
        <f t="shared" si="16"/>
        <v>0</v>
      </c>
      <c r="M21" s="862">
        <f t="shared" si="16"/>
        <v>0</v>
      </c>
      <c r="N21" s="859">
        <f t="shared" ref="N21:O21" si="17">+N15+N20</f>
        <v>0</v>
      </c>
      <c r="O21" s="862">
        <f t="shared" si="17"/>
        <v>0</v>
      </c>
      <c r="P21" s="859">
        <f t="shared" ref="P21:Q21" si="18">+P15+P20</f>
        <v>0</v>
      </c>
      <c r="Q21" s="862">
        <f t="shared" si="18"/>
        <v>0</v>
      </c>
      <c r="R21" s="859">
        <f t="shared" ref="R21:S21" si="19">+R15+R20</f>
        <v>0</v>
      </c>
      <c r="S21" s="862">
        <f t="shared" si="19"/>
        <v>0</v>
      </c>
      <c r="T21" s="859">
        <f t="shared" si="16"/>
        <v>0</v>
      </c>
      <c r="U21" s="862">
        <f t="shared" si="16"/>
        <v>0</v>
      </c>
      <c r="V21" s="863">
        <f>+V15+V20</f>
        <v>0</v>
      </c>
      <c r="W21" s="1162">
        <f>+W15+W20</f>
        <v>0</v>
      </c>
      <c r="X21" s="1161">
        <f t="shared" si="16"/>
        <v>0</v>
      </c>
      <c r="Y21" s="860">
        <f>+Y15+Y20</f>
        <v>0</v>
      </c>
      <c r="Z21" s="1161">
        <f t="shared" ref="Z21" si="20">+Z15+Z20</f>
        <v>0</v>
      </c>
      <c r="AA21" s="860">
        <f>+AA15+AA20</f>
        <v>0</v>
      </c>
      <c r="AB21" s="1688"/>
      <c r="CJ21" s="385"/>
      <c r="CK21" s="385"/>
      <c r="CL21" s="385"/>
      <c r="CM21" s="385"/>
      <c r="CN21" s="385"/>
      <c r="CO21" s="385"/>
      <c r="CP21" s="385"/>
      <c r="CQ21" s="385"/>
    </row>
    <row r="22" spans="1:102" ht="25.5" customHeight="1" x14ac:dyDescent="0.25">
      <c r="A22" s="1431" t="s">
        <v>337</v>
      </c>
      <c r="B22" s="488"/>
      <c r="C22" s="488"/>
      <c r="D22" s="488"/>
      <c r="E22" s="488"/>
      <c r="F22" s="488"/>
      <c r="G22" s="488"/>
      <c r="H22" s="1301"/>
      <c r="I22" s="1302"/>
      <c r="J22" s="1302"/>
      <c r="K22" s="1302"/>
      <c r="L22" s="1302"/>
      <c r="M22" s="1302"/>
      <c r="N22" s="1302"/>
      <c r="O22" s="1302"/>
      <c r="P22" s="1302"/>
      <c r="Q22" s="1432"/>
      <c r="R22" s="1185"/>
      <c r="S22" s="1185"/>
      <c r="T22" s="1185"/>
      <c r="U22" s="1185"/>
      <c r="V22" s="1185"/>
      <c r="W22" s="1185"/>
      <c r="X22" s="1185"/>
      <c r="Y22" s="1185"/>
      <c r="Z22" s="1185"/>
      <c r="AA22" s="1185"/>
      <c r="CA22" s="180"/>
      <c r="CH22" s="1303"/>
      <c r="CQ22" s="385"/>
      <c r="CR22" s="385"/>
      <c r="CS22" s="385"/>
      <c r="CT22" s="385"/>
      <c r="CU22" s="385"/>
      <c r="CV22" s="385"/>
      <c r="CW22" s="385"/>
      <c r="CX22" s="385"/>
    </row>
    <row r="23" spans="1:102" ht="19.5" customHeight="1" x14ac:dyDescent="0.25">
      <c r="A23" s="2160" t="s">
        <v>180</v>
      </c>
      <c r="B23" s="2161"/>
      <c r="C23" s="2140" t="s">
        <v>13</v>
      </c>
      <c r="D23" s="2140"/>
      <c r="E23" s="2140"/>
      <c r="F23" s="2133" t="s">
        <v>508</v>
      </c>
      <c r="G23" s="2134"/>
      <c r="H23" s="2134"/>
      <c r="I23" s="2134"/>
      <c r="J23" s="2134"/>
      <c r="K23" s="2134"/>
      <c r="L23" s="2134"/>
      <c r="M23" s="2134"/>
      <c r="N23" s="2134"/>
      <c r="O23" s="2134"/>
      <c r="P23" s="2134"/>
      <c r="Q23" s="2134"/>
      <c r="R23" s="2134"/>
      <c r="S23" s="2134"/>
      <c r="T23" s="2134"/>
      <c r="U23" s="2134"/>
      <c r="V23" s="2134"/>
      <c r="W23" s="2135"/>
      <c r="X23" s="2069" t="s">
        <v>15</v>
      </c>
      <c r="Y23" s="1737"/>
      <c r="Z23" s="1799" t="s">
        <v>814</v>
      </c>
      <c r="AA23" s="1737"/>
      <c r="CC23" s="973" t="s">
        <v>15</v>
      </c>
      <c r="CD23" s="973"/>
      <c r="CE23" s="973" t="s">
        <v>465</v>
      </c>
      <c r="CF23" s="973"/>
      <c r="CG23" s="973" t="s">
        <v>15</v>
      </c>
      <c r="CH23" s="973" t="s">
        <v>465</v>
      </c>
      <c r="CJ23" s="977" t="s">
        <v>15</v>
      </c>
      <c r="CK23" s="977"/>
      <c r="CL23" s="977" t="s">
        <v>465</v>
      </c>
      <c r="CM23" s="977"/>
      <c r="CN23" s="977" t="s">
        <v>15</v>
      </c>
      <c r="CO23" s="977" t="s">
        <v>465</v>
      </c>
      <c r="CS23" s="385"/>
      <c r="CT23" s="385"/>
    </row>
    <row r="24" spans="1:102" ht="16.5" customHeight="1" x14ac:dyDescent="0.25">
      <c r="A24" s="2162"/>
      <c r="B24" s="2163"/>
      <c r="C24" s="2140"/>
      <c r="D24" s="2140"/>
      <c r="E24" s="2140"/>
      <c r="F24" s="1970" t="s">
        <v>209</v>
      </c>
      <c r="G24" s="1971"/>
      <c r="H24" s="1970" t="s">
        <v>181</v>
      </c>
      <c r="I24" s="1971"/>
      <c r="J24" s="1970" t="s">
        <v>182</v>
      </c>
      <c r="K24" s="1971"/>
      <c r="L24" s="1970" t="s">
        <v>183</v>
      </c>
      <c r="M24" s="1971"/>
      <c r="N24" s="1970" t="s">
        <v>698</v>
      </c>
      <c r="O24" s="1978"/>
      <c r="P24" s="1970" t="s">
        <v>699</v>
      </c>
      <c r="Q24" s="1978"/>
      <c r="R24" s="1970" t="s">
        <v>700</v>
      </c>
      <c r="S24" s="1978"/>
      <c r="T24" s="1970" t="s">
        <v>701</v>
      </c>
      <c r="U24" s="1978"/>
      <c r="V24" s="1970" t="s">
        <v>697</v>
      </c>
      <c r="W24" s="1978"/>
      <c r="X24" s="1918"/>
      <c r="Y24" s="1916"/>
      <c r="Z24" s="1915"/>
      <c r="AA24" s="1916"/>
      <c r="CC24" s="973"/>
      <c r="CD24" s="973"/>
      <c r="CE24" s="973"/>
      <c r="CF24" s="973"/>
      <c r="CG24" s="973"/>
      <c r="CH24" s="973"/>
      <c r="CJ24" s="977"/>
      <c r="CK24" s="977"/>
      <c r="CL24" s="977"/>
      <c r="CM24" s="977"/>
      <c r="CN24" s="977"/>
      <c r="CO24" s="977"/>
      <c r="CS24" s="385"/>
      <c r="CT24" s="385"/>
    </row>
    <row r="25" spans="1:102" ht="21" x14ac:dyDescent="0.25">
      <c r="A25" s="2164"/>
      <c r="B25" s="2165"/>
      <c r="C25" s="130" t="s">
        <v>93</v>
      </c>
      <c r="D25" s="173" t="s">
        <v>31</v>
      </c>
      <c r="E25" s="174" t="s">
        <v>94</v>
      </c>
      <c r="F25" s="136" t="s">
        <v>129</v>
      </c>
      <c r="G25" s="137" t="s">
        <v>94</v>
      </c>
      <c r="H25" s="136" t="s">
        <v>129</v>
      </c>
      <c r="I25" s="137" t="s">
        <v>94</v>
      </c>
      <c r="J25" s="136" t="s">
        <v>129</v>
      </c>
      <c r="K25" s="137" t="s">
        <v>94</v>
      </c>
      <c r="L25" s="136" t="s">
        <v>129</v>
      </c>
      <c r="M25" s="137" t="s">
        <v>94</v>
      </c>
      <c r="N25" s="136" t="s">
        <v>129</v>
      </c>
      <c r="O25" s="138" t="s">
        <v>94</v>
      </c>
      <c r="P25" s="136" t="s">
        <v>129</v>
      </c>
      <c r="Q25" s="137" t="s">
        <v>94</v>
      </c>
      <c r="R25" s="136" t="s">
        <v>129</v>
      </c>
      <c r="S25" s="137" t="s">
        <v>94</v>
      </c>
      <c r="T25" s="136" t="s">
        <v>129</v>
      </c>
      <c r="U25" s="138" t="s">
        <v>94</v>
      </c>
      <c r="V25" s="136" t="s">
        <v>129</v>
      </c>
      <c r="W25" s="138" t="s">
        <v>94</v>
      </c>
      <c r="X25" s="383" t="s">
        <v>31</v>
      </c>
      <c r="Y25" s="1128" t="s">
        <v>94</v>
      </c>
      <c r="Z25" s="1135" t="s">
        <v>31</v>
      </c>
      <c r="AA25" s="354" t="s">
        <v>94</v>
      </c>
      <c r="CC25" s="975" t="s">
        <v>31</v>
      </c>
      <c r="CD25" s="975" t="s">
        <v>94</v>
      </c>
      <c r="CE25" s="975" t="s">
        <v>31</v>
      </c>
      <c r="CF25" s="975" t="s">
        <v>94</v>
      </c>
      <c r="CG25" s="974" t="s">
        <v>543</v>
      </c>
      <c r="CH25" s="974" t="s">
        <v>543</v>
      </c>
      <c r="CJ25" s="978" t="s">
        <v>31</v>
      </c>
      <c r="CK25" s="978" t="s">
        <v>94</v>
      </c>
      <c r="CL25" s="978" t="s">
        <v>31</v>
      </c>
      <c r="CM25" s="978" t="s">
        <v>94</v>
      </c>
      <c r="CN25" s="979" t="s">
        <v>543</v>
      </c>
      <c r="CO25" s="979" t="s">
        <v>543</v>
      </c>
      <c r="CS25" s="385"/>
      <c r="CT25" s="385"/>
    </row>
    <row r="26" spans="1:102" ht="19.5" customHeight="1" x14ac:dyDescent="0.25">
      <c r="A26" s="2166" t="s">
        <v>184</v>
      </c>
      <c r="B26" s="2167"/>
      <c r="C26" s="822">
        <f>SUM(D26:E26)</f>
        <v>0</v>
      </c>
      <c r="D26" s="867">
        <f>+F26+H26+J26+L26+N26+P26+R26+T26+V26</f>
        <v>0</v>
      </c>
      <c r="E26" s="868">
        <f>+G26+I26+K26+M26+O26+Q26+S26+U26+W26</f>
        <v>0</v>
      </c>
      <c r="F26" s="869"/>
      <c r="G26" s="870"/>
      <c r="H26" s="869"/>
      <c r="I26" s="870"/>
      <c r="J26" s="869"/>
      <c r="K26" s="870"/>
      <c r="L26" s="869"/>
      <c r="M26" s="870"/>
      <c r="N26" s="869"/>
      <c r="O26" s="871"/>
      <c r="P26" s="869"/>
      <c r="Q26" s="870"/>
      <c r="R26" s="869"/>
      <c r="S26" s="870"/>
      <c r="T26" s="869"/>
      <c r="U26" s="871"/>
      <c r="V26" s="869"/>
      <c r="W26" s="871"/>
      <c r="X26" s="872"/>
      <c r="Y26" s="870"/>
      <c r="Z26" s="829"/>
      <c r="AA26" s="826"/>
      <c r="AB26" s="1688" t="str">
        <f t="shared" ref="AB26:AB28" si="21">CA26&amp;CB26&amp;CC26&amp;CD26&amp;CE26&amp;CF26&amp;CG26&amp;CH26&amp;CI26</f>
        <v/>
      </c>
      <c r="CC26" s="381" t="str">
        <f>IF($D26&gt;=$X26,"","* La celda 'Pueblos Originarios / Hombres' debe ser menor o igual al Total de Hombres en control. ")</f>
        <v/>
      </c>
      <c r="CD26" s="381" t="str">
        <f>IF($E26&gt;=$Y26,"","* La celda 'Pueblos Originarios / Mujeres' debe ser menor o igual al Total de Mujeres en control. ")</f>
        <v/>
      </c>
      <c r="CE26" s="381" t="str">
        <f>IF($D26&gt;=$Z26,"","* La celda 'Población Migrantes / Hombres' debe ser menor o igual al Total de Hombres en control. ")</f>
        <v/>
      </c>
      <c r="CF26" s="381" t="str">
        <f>IF($E26&gt;=$AA26,"","* La celda 'Población Migrantes / Mujeres' debe ser menor o igual al Total de Mujeres en control. ")</f>
        <v/>
      </c>
      <c r="CG26" s="381" t="str">
        <f>IF(AND($D26&lt;&gt;0,$X26=""),"* No olvide escribir en las celdas de 'Pueblos Originarios' (Digite CERO si no tiene). ",IF(AND(E26&lt;&gt;0,Y26=""),"* No olvide escribir en las celdas de 'Pueblos Originarios' (Digite CERO si no tiene). ",""))</f>
        <v/>
      </c>
      <c r="CH26" s="381" t="str">
        <f>IF(AND($D26&lt;&gt;0,$Z26=""),"* No olvide escribir en las celdas de 'Población Migrantes' (Digite CERO si no tiene). ",IF(AND(E26&lt;&gt;0,AA26=""),"* No olvide escribir en las celdas de 'Población Migrantes' (Digite CERO si no tiene). ",""))</f>
        <v/>
      </c>
      <c r="CJ26" s="391">
        <f>IF($D26&gt;=$X26,0,1)</f>
        <v>0</v>
      </c>
      <c r="CK26" s="391">
        <f>IF($E26&gt;=$Y26,0,1)</f>
        <v>0</v>
      </c>
      <c r="CL26" s="391">
        <f>IF($D26&gt;=$Z26,0,1)</f>
        <v>0</v>
      </c>
      <c r="CM26" s="391">
        <f>IF($E26&gt;=$AA26,0,1)</f>
        <v>0</v>
      </c>
      <c r="CN26" s="391">
        <f>IF(AND(D26&lt;&gt;0,X26=""),1,IF(AND(E26&lt;&gt;0,Y26=""),1,0))</f>
        <v>0</v>
      </c>
      <c r="CO26" s="391">
        <f>IF(AND(D26&lt;&gt;0,Z26=""),1,IF(AND(E26&lt;&gt;0,AA26=""),1,0))</f>
        <v>0</v>
      </c>
      <c r="CS26" s="385"/>
      <c r="CT26" s="385"/>
    </row>
    <row r="27" spans="1:102" ht="19.5" customHeight="1" x14ac:dyDescent="0.25">
      <c r="A27" s="2168" t="s">
        <v>185</v>
      </c>
      <c r="B27" s="2169"/>
      <c r="C27" s="874">
        <f>SUM(D27:E27)</f>
        <v>0</v>
      </c>
      <c r="D27" s="875">
        <f>H27+J27+L27+N27+P27+R27+T27+V27</f>
        <v>0</v>
      </c>
      <c r="E27" s="876">
        <f>I27+K27+M27+O27+Q27+S27+U27+W27</f>
        <v>0</v>
      </c>
      <c r="F27" s="1568"/>
      <c r="G27" s="1567"/>
      <c r="H27" s="877"/>
      <c r="I27" s="878"/>
      <c r="J27" s="877"/>
      <c r="K27" s="878"/>
      <c r="L27" s="877"/>
      <c r="M27" s="878"/>
      <c r="N27" s="877"/>
      <c r="O27" s="879"/>
      <c r="P27" s="877"/>
      <c r="Q27" s="878"/>
      <c r="R27" s="877"/>
      <c r="S27" s="878"/>
      <c r="T27" s="877"/>
      <c r="U27" s="879"/>
      <c r="V27" s="877"/>
      <c r="W27" s="879"/>
      <c r="X27" s="880"/>
      <c r="Y27" s="878"/>
      <c r="Z27" s="837"/>
      <c r="AA27" s="834"/>
      <c r="AB27" s="1688" t="str">
        <f t="shared" si="21"/>
        <v/>
      </c>
      <c r="CC27" s="381" t="str">
        <f>IF($D27&gt;=$X27,"","* La celda 'Pueblos Originarios / Hombres' debe ser menor o igual al Total de Hombres en control. ")</f>
        <v/>
      </c>
      <c r="CD27" s="381" t="str">
        <f>IF($E27&gt;=$Y27,"","* La celda 'Pueblos Originarios / Mujeres' debe ser menor o igual al Total de Mujeres en control. ")</f>
        <v/>
      </c>
      <c r="CE27" s="381" t="str">
        <f>IF($D27&gt;=$Z27,"","* La celda 'Población Migrantes / Hombres' debe ser menor o igual al Total de Hombres en control. ")</f>
        <v/>
      </c>
      <c r="CF27" s="381" t="str">
        <f>IF($E27&gt;=$AA27,"","* La celda 'Población Migrantes / Mujeres' debe ser menor o igual al Total de Mujeres en control. ")</f>
        <v/>
      </c>
      <c r="CG27" s="381" t="str">
        <f>IF(AND($D27&lt;&gt;0,$X27=""),"* No olvide escribir en las celdas de 'Pueblos Originarios' (Digite CERO si no tiene). ",IF(AND(E27&lt;&gt;0,Y27=""),"* No olvide escribir en las celdas de 'Pueblos Originarios' (Digite CERO si no tiene). ",""))</f>
        <v/>
      </c>
      <c r="CH27" s="381" t="str">
        <f>IF(AND($D27&lt;&gt;0,$Z27=""),"* No olvide escribir en las celdas de 'Población Migrantes' (Digite CERO si no tiene). ",IF(AND(E27&lt;&gt;0,AA27=""),"* No olvide escribir en las celdas de 'Población Migrantes' (Digite CERO si no tiene). ",""))</f>
        <v/>
      </c>
      <c r="CJ27" s="391">
        <f>IF($D27&gt;=$X27,0,1)</f>
        <v>0</v>
      </c>
      <c r="CK27" s="391">
        <f>IF($E27&gt;=$Y27,0,1)</f>
        <v>0</v>
      </c>
      <c r="CL27" s="391">
        <f>IF($D27&gt;=$Z27,0,1)</f>
        <v>0</v>
      </c>
      <c r="CM27" s="391">
        <f>IF($E27&gt;=$AA27,0,1)</f>
        <v>0</v>
      </c>
      <c r="CN27" s="391">
        <f>IF(AND(D27&lt;&gt;0,X27=""),1,IF(AND(E27&lt;&gt;0,Y27=""),1,0))</f>
        <v>0</v>
      </c>
      <c r="CO27" s="391">
        <f>IF(AND(D27&lt;&gt;0,Z27=""),1,IF(AND(E27&lt;&gt;0,AA27=""),1,0))</f>
        <v>0</v>
      </c>
      <c r="CS27" s="385"/>
      <c r="CT27" s="385"/>
    </row>
    <row r="28" spans="1:102" ht="19.5" customHeight="1" x14ac:dyDescent="0.25">
      <c r="A28" s="2170" t="s">
        <v>186</v>
      </c>
      <c r="B28" s="2171"/>
      <c r="C28" s="882">
        <f>SUM(D28:E28)</f>
        <v>0</v>
      </c>
      <c r="D28" s="875">
        <f>H28+J28+L28+N28+P28+R28+T28+V28</f>
        <v>0</v>
      </c>
      <c r="E28" s="876">
        <f>I28+K28+M28+O28+Q28+S28+U28+W28</f>
        <v>0</v>
      </c>
      <c r="F28" s="1566"/>
      <c r="G28" s="1565"/>
      <c r="H28" s="852"/>
      <c r="I28" s="853"/>
      <c r="J28" s="852"/>
      <c r="K28" s="853"/>
      <c r="L28" s="852"/>
      <c r="M28" s="853"/>
      <c r="N28" s="852"/>
      <c r="O28" s="854"/>
      <c r="P28" s="852"/>
      <c r="Q28" s="853"/>
      <c r="R28" s="852"/>
      <c r="S28" s="853"/>
      <c r="T28" s="852"/>
      <c r="U28" s="854"/>
      <c r="V28" s="852"/>
      <c r="W28" s="854"/>
      <c r="X28" s="855"/>
      <c r="Y28" s="853"/>
      <c r="Z28" s="842"/>
      <c r="AA28" s="839"/>
      <c r="AB28" s="1688" t="str">
        <f t="shared" si="21"/>
        <v/>
      </c>
      <c r="CC28" s="381" t="str">
        <f>IF($D28&gt;=$X28,"","* La celda 'Pueblos Originarios / Hombres' debe ser menor o igual al Total de Hombres en control. ")</f>
        <v/>
      </c>
      <c r="CD28" s="381" t="str">
        <f>IF($E28&gt;=$Y28,"","* La celda 'Pueblos Originarios / Mujeres' debe ser menor o igual al Total de Mujeres en control. ")</f>
        <v/>
      </c>
      <c r="CE28" s="381" t="str">
        <f>IF($D28&gt;=$Z28,"","* La celda 'Población Migrantes / Hombres' debe ser menor o igual al Total de Hombres en control. ")</f>
        <v/>
      </c>
      <c r="CF28" s="381" t="str">
        <f>IF($E28&gt;=$AA28,"","* La celda 'Población Migrantes / Mujeres' debe ser menor o igual al Total de Mujeres en control. ")</f>
        <v/>
      </c>
      <c r="CG28" s="381" t="str">
        <f>IF(AND($D28&lt;&gt;0,$X28=""),"* No olvide escribir en las celdas de 'Pueblos Originarios' (Digite CERO si no tiene). ",IF(AND(E28&lt;&gt;0,Y28=""),"* No olvide escribir en las celdas de 'Pueblos Originarios' (Digite CERO si no tiene). ",""))</f>
        <v/>
      </c>
      <c r="CH28" s="381" t="str">
        <f>IF(AND($D28&lt;&gt;0,$Z28=""),"* No olvide escribir en las celdas de 'Población Migrantes' (Digite CERO si no tiene). ",IF(AND(E28&lt;&gt;0,AA28=""),"* No olvide escribir en las celdas de 'Población Migrantes' (Digite CERO si no tiene). ",""))</f>
        <v/>
      </c>
      <c r="CJ28" s="391">
        <f>IF($D28&gt;=$X28,0,1)</f>
        <v>0</v>
      </c>
      <c r="CK28" s="391">
        <f>IF($E28&gt;=$Y28,0,1)</f>
        <v>0</v>
      </c>
      <c r="CL28" s="391">
        <f>IF($D28&gt;=$Z28,0,1)</f>
        <v>0</v>
      </c>
      <c r="CM28" s="391">
        <f>IF($E28&gt;=$AA28,0,1)</f>
        <v>0</v>
      </c>
      <c r="CN28" s="391">
        <f>IF(AND(D28&lt;&gt;0,X28=""),1,IF(AND(E28&lt;&gt;0,Y28=""),1,0))</f>
        <v>0</v>
      </c>
      <c r="CO28" s="391">
        <f>IF(AND(D28&lt;&gt;0,Z28=""),1,IF(AND(E28&lt;&gt;0,AA28=""),1,0))</f>
        <v>0</v>
      </c>
      <c r="CS28" s="385"/>
      <c r="CT28" s="385"/>
    </row>
    <row r="29" spans="1:102" ht="19.5" customHeight="1" x14ac:dyDescent="0.25">
      <c r="A29" s="2172" t="s">
        <v>338</v>
      </c>
      <c r="B29" s="2173"/>
      <c r="C29" s="843">
        <f>SUM(D29:E29)</f>
        <v>0</v>
      </c>
      <c r="D29" s="883">
        <f>+F29+H29+J29+L29+N29+P29+R29+T29+V29</f>
        <v>0</v>
      </c>
      <c r="E29" s="858">
        <f>+G29+I29+K29+M29+O29+Q29+S29+U29+W29</f>
        <v>0</v>
      </c>
      <c r="F29" s="843">
        <f>SUM(F26)</f>
        <v>0</v>
      </c>
      <c r="G29" s="843">
        <f>SUM(G26)</f>
        <v>0</v>
      </c>
      <c r="H29" s="843">
        <f>SUM(H26:H28)</f>
        <v>0</v>
      </c>
      <c r="I29" s="845">
        <f t="shared" ref="I29:O29" si="22">SUM(I26:I28)</f>
        <v>0</v>
      </c>
      <c r="J29" s="843">
        <f t="shared" si="22"/>
        <v>0</v>
      </c>
      <c r="K29" s="845">
        <f t="shared" si="22"/>
        <v>0</v>
      </c>
      <c r="L29" s="843">
        <f t="shared" si="22"/>
        <v>0</v>
      </c>
      <c r="M29" s="845">
        <f t="shared" si="22"/>
        <v>0</v>
      </c>
      <c r="N29" s="843">
        <f t="shared" si="22"/>
        <v>0</v>
      </c>
      <c r="O29" s="846">
        <f t="shared" si="22"/>
        <v>0</v>
      </c>
      <c r="P29" s="843">
        <f t="shared" ref="P29:U29" si="23">SUM(P26:P28)</f>
        <v>0</v>
      </c>
      <c r="Q29" s="845">
        <f t="shared" si="23"/>
        <v>0</v>
      </c>
      <c r="R29" s="843">
        <f t="shared" si="23"/>
        <v>0</v>
      </c>
      <c r="S29" s="845">
        <f t="shared" si="23"/>
        <v>0</v>
      </c>
      <c r="T29" s="843">
        <f t="shared" si="23"/>
        <v>0</v>
      </c>
      <c r="U29" s="846">
        <f t="shared" si="23"/>
        <v>0</v>
      </c>
      <c r="V29" s="843">
        <f t="shared" ref="V29:W29" si="24">SUM(V26:V28)</f>
        <v>0</v>
      </c>
      <c r="W29" s="846">
        <f t="shared" si="24"/>
        <v>0</v>
      </c>
      <c r="X29" s="847">
        <f>SUM(X26:X28)</f>
        <v>0</v>
      </c>
      <c r="Y29" s="845">
        <f>SUM(Y26:Y28)</f>
        <v>0</v>
      </c>
      <c r="Z29" s="1160">
        <f>SUM(Z26:Z28)</f>
        <v>0</v>
      </c>
      <c r="AA29" s="845">
        <f>SUM(AA26:AA28)</f>
        <v>0</v>
      </c>
      <c r="BC29" s="1050"/>
      <c r="BD29" s="1050"/>
      <c r="BE29" s="1050"/>
      <c r="BF29" s="1050"/>
      <c r="BG29" s="1050"/>
      <c r="BH29" s="1050"/>
      <c r="BI29" s="1050"/>
      <c r="BJ29" s="1050"/>
      <c r="BK29" s="1050"/>
      <c r="BL29" s="1050"/>
      <c r="CM29" s="385"/>
      <c r="CN29" s="385"/>
      <c r="CO29" s="385"/>
      <c r="CP29" s="385"/>
      <c r="CQ29" s="385"/>
      <c r="CR29" s="385"/>
      <c r="CS29" s="385"/>
      <c r="CT29" s="385"/>
    </row>
    <row r="30" spans="1:102" ht="29.25" customHeight="1" x14ac:dyDescent="0.25">
      <c r="A30" s="1431" t="s">
        <v>193</v>
      </c>
      <c r="B30" s="488"/>
      <c r="C30" s="488"/>
      <c r="D30" s="488"/>
      <c r="E30" s="488"/>
      <c r="F30" s="488"/>
      <c r="G30" s="488"/>
      <c r="H30" s="169"/>
      <c r="L30" s="388"/>
      <c r="CJ30" s="385"/>
      <c r="CK30" s="385"/>
      <c r="CL30" s="385"/>
      <c r="CM30" s="385"/>
      <c r="CN30" s="385"/>
      <c r="CO30" s="385"/>
      <c r="CP30" s="385"/>
      <c r="CQ30" s="385"/>
    </row>
    <row r="31" spans="1:102" ht="23.25" customHeight="1" x14ac:dyDescent="0.25">
      <c r="A31" s="2141" t="s">
        <v>194</v>
      </c>
      <c r="B31" s="2141"/>
      <c r="C31" s="2140" t="s">
        <v>13</v>
      </c>
      <c r="D31" s="2140"/>
      <c r="E31" s="2140"/>
      <c r="F31" s="2136" t="s">
        <v>508</v>
      </c>
      <c r="G31" s="2137"/>
      <c r="H31" s="2137"/>
      <c r="I31" s="2137"/>
      <c r="J31" s="2137"/>
      <c r="K31" s="2137"/>
      <c r="L31" s="2137"/>
      <c r="M31" s="2137"/>
      <c r="N31" s="2137"/>
      <c r="O31" s="2137"/>
      <c r="P31" s="2137"/>
      <c r="Q31" s="2137"/>
      <c r="R31" s="2137"/>
      <c r="S31" s="2137"/>
      <c r="T31" s="2137"/>
      <c r="U31" s="2138"/>
      <c r="V31" s="1918" t="s">
        <v>15</v>
      </c>
      <c r="W31" s="1916"/>
      <c r="X31" s="1915" t="s">
        <v>689</v>
      </c>
      <c r="Y31" s="1916"/>
      <c r="Z31" s="1915" t="s">
        <v>733</v>
      </c>
      <c r="AA31" s="1916"/>
      <c r="AZ31"/>
      <c r="BA31"/>
      <c r="CC31" s="973" t="s">
        <v>15</v>
      </c>
      <c r="CD31" s="973"/>
      <c r="CE31" s="973" t="s">
        <v>465</v>
      </c>
      <c r="CF31" s="973"/>
      <c r="CG31" s="973" t="s">
        <v>15</v>
      </c>
      <c r="CH31" s="973" t="s">
        <v>465</v>
      </c>
      <c r="CJ31" s="977" t="s">
        <v>15</v>
      </c>
      <c r="CK31" s="977"/>
      <c r="CL31" s="2132" t="s">
        <v>465</v>
      </c>
      <c r="CM31" s="2132"/>
      <c r="CN31" s="2132" t="s">
        <v>15</v>
      </c>
      <c r="CO31" s="2132" t="s">
        <v>465</v>
      </c>
      <c r="CP31" s="385"/>
      <c r="CQ31" s="385"/>
    </row>
    <row r="32" spans="1:102" ht="15.75" customHeight="1" x14ac:dyDescent="0.25">
      <c r="A32" s="2141"/>
      <c r="B32" s="2141"/>
      <c r="C32" s="2140"/>
      <c r="D32" s="2140"/>
      <c r="E32" s="2140"/>
      <c r="F32" s="1978" t="s">
        <v>181</v>
      </c>
      <c r="G32" s="1971"/>
      <c r="H32" s="1970" t="s">
        <v>182</v>
      </c>
      <c r="I32" s="1971"/>
      <c r="J32" s="1970" t="s">
        <v>183</v>
      </c>
      <c r="K32" s="1971"/>
      <c r="L32" s="2128" t="s">
        <v>698</v>
      </c>
      <c r="M32" s="2130"/>
      <c r="N32" s="2129" t="s">
        <v>699</v>
      </c>
      <c r="O32" s="1978"/>
      <c r="P32" s="1970" t="s">
        <v>700</v>
      </c>
      <c r="Q32" s="1978"/>
      <c r="R32" s="2128" t="s">
        <v>701</v>
      </c>
      <c r="S32" s="2130"/>
      <c r="T32" s="2129" t="s">
        <v>697</v>
      </c>
      <c r="U32" s="1978"/>
      <c r="V32" s="1918"/>
      <c r="W32" s="1916"/>
      <c r="X32" s="1915"/>
      <c r="Y32" s="1916"/>
      <c r="Z32" s="1915"/>
      <c r="AA32" s="1916"/>
      <c r="AZ32"/>
      <c r="BA32"/>
      <c r="CC32" s="973"/>
      <c r="CD32" s="973"/>
      <c r="CE32" s="973"/>
      <c r="CF32" s="973"/>
      <c r="CG32" s="973"/>
      <c r="CH32" s="973"/>
      <c r="CJ32" s="977"/>
      <c r="CK32" s="977"/>
      <c r="CL32" s="2132"/>
      <c r="CM32" s="2132"/>
      <c r="CN32" s="2132"/>
      <c r="CO32" s="2132"/>
      <c r="CP32" s="385"/>
      <c r="CQ32" s="385"/>
    </row>
    <row r="33" spans="1:95" ht="21" x14ac:dyDescent="0.25">
      <c r="A33" s="2141"/>
      <c r="B33" s="2141"/>
      <c r="C33" s="130" t="s">
        <v>93</v>
      </c>
      <c r="D33" s="175" t="s">
        <v>31</v>
      </c>
      <c r="E33" s="176" t="s">
        <v>94</v>
      </c>
      <c r="F33" s="177" t="s">
        <v>129</v>
      </c>
      <c r="G33" s="137" t="s">
        <v>94</v>
      </c>
      <c r="H33" s="136" t="s">
        <v>129</v>
      </c>
      <c r="I33" s="137" t="s">
        <v>94</v>
      </c>
      <c r="J33" s="136" t="s">
        <v>129</v>
      </c>
      <c r="K33" s="137" t="s">
        <v>94</v>
      </c>
      <c r="L33" s="130" t="s">
        <v>31</v>
      </c>
      <c r="M33" s="171" t="s">
        <v>94</v>
      </c>
      <c r="N33" s="1304" t="s">
        <v>129</v>
      </c>
      <c r="O33" s="137" t="s">
        <v>94</v>
      </c>
      <c r="P33" s="1304" t="s">
        <v>129</v>
      </c>
      <c r="Q33" s="137" t="s">
        <v>94</v>
      </c>
      <c r="R33" s="130" t="s">
        <v>31</v>
      </c>
      <c r="S33" s="171" t="s">
        <v>94</v>
      </c>
      <c r="T33" s="1305" t="s">
        <v>31</v>
      </c>
      <c r="U33" s="178" t="s">
        <v>94</v>
      </c>
      <c r="V33" s="383" t="s">
        <v>31</v>
      </c>
      <c r="W33" s="1128" t="s">
        <v>94</v>
      </c>
      <c r="X33" s="1135" t="s">
        <v>31</v>
      </c>
      <c r="Y33" s="354" t="s">
        <v>94</v>
      </c>
      <c r="Z33" s="1135" t="s">
        <v>31</v>
      </c>
      <c r="AA33" s="354" t="s">
        <v>94</v>
      </c>
      <c r="AZ33"/>
      <c r="BA33"/>
      <c r="CC33" s="975" t="s">
        <v>31</v>
      </c>
      <c r="CD33" s="975" t="s">
        <v>94</v>
      </c>
      <c r="CE33" s="975" t="s">
        <v>31</v>
      </c>
      <c r="CF33" s="975" t="s">
        <v>94</v>
      </c>
      <c r="CG33" s="974" t="s">
        <v>543</v>
      </c>
      <c r="CH33" s="974" t="s">
        <v>543</v>
      </c>
      <c r="CJ33" s="978" t="s">
        <v>31</v>
      </c>
      <c r="CK33" s="978" t="s">
        <v>94</v>
      </c>
      <c r="CL33" s="978" t="s">
        <v>31</v>
      </c>
      <c r="CM33" s="978" t="s">
        <v>94</v>
      </c>
      <c r="CN33" s="979" t="s">
        <v>543</v>
      </c>
      <c r="CO33" s="979" t="s">
        <v>543</v>
      </c>
      <c r="CP33" s="385"/>
      <c r="CQ33" s="385"/>
    </row>
    <row r="34" spans="1:95" ht="21.75" customHeight="1" x14ac:dyDescent="0.25">
      <c r="A34" s="2158" t="s">
        <v>52</v>
      </c>
      <c r="B34" s="2159"/>
      <c r="C34" s="822">
        <f>SUM(D34:E34)</f>
        <v>0</v>
      </c>
      <c r="D34" s="884">
        <f>+F34+H34+J34+L34+N34+P34+R34+T34</f>
        <v>0</v>
      </c>
      <c r="E34" s="885">
        <f>+G34+I34+K34+M34+O34+Q34+S34+U34</f>
        <v>0</v>
      </c>
      <c r="F34" s="869"/>
      <c r="G34" s="871"/>
      <c r="H34" s="869"/>
      <c r="I34" s="870"/>
      <c r="J34" s="869"/>
      <c r="K34" s="870"/>
      <c r="L34" s="886"/>
      <c r="M34" s="870"/>
      <c r="N34" s="886"/>
      <c r="O34" s="870"/>
      <c r="P34" s="886"/>
      <c r="Q34" s="870"/>
      <c r="R34" s="886"/>
      <c r="S34" s="870"/>
      <c r="T34" s="886"/>
      <c r="U34" s="873"/>
      <c r="V34" s="872"/>
      <c r="W34" s="1163"/>
      <c r="X34" s="886"/>
      <c r="Y34" s="870"/>
      <c r="Z34" s="886"/>
      <c r="AA34" s="870"/>
      <c r="AB34" s="1688" t="str">
        <f t="shared" ref="AB34:AB37" si="25">CA34&amp;CB34&amp;CC34&amp;CD34&amp;CE34&amp;CF34&amp;CG34&amp;CH34&amp;CI34</f>
        <v/>
      </c>
      <c r="AZ34"/>
      <c r="BA34"/>
      <c r="CC34" s="381" t="str">
        <f>IF($D34&gt;=$V34,"","* El Nº de hombres bajo peso de 'Pueblos Originarios' no debe ser mayor al Total hombres bajo peso en control. ")</f>
        <v/>
      </c>
      <c r="CD34" s="381" t="str">
        <f>IF($E34&gt;=$W34,"","* El Nº de mujeres bajo peso de 'Pueblos Originarios' no debe ser mayor al Total mujeres bajo peso en control. ")</f>
        <v/>
      </c>
      <c r="CE34" s="381" t="str">
        <f>IF($D34&gt;=$X34,"","* El Nº de hombres bajo peso de Pueblos Migrantes no debe ser mayor al Total hombres bajo peso en control. ")</f>
        <v/>
      </c>
      <c r="CF34" s="381" t="str">
        <f>IF($E34&gt;=$Y34,"","* El Nº de mujeres bajo peso de Pueblos Migrantes no debe ser mayor al Total mujeres bajo peso en control. ")</f>
        <v/>
      </c>
      <c r="CG34" s="381" t="str">
        <f>IF(AND(D34&lt;&gt;0,V34=""),"* No olvide escribir en la celda de 'Pueblos Originarios' (Digite CERO si no tiene). ",IF(AND(E34&lt;&gt;0,W34=""),"* No olvide escribir en la celda de 'Pueblos Originarios' (Digite CERO si no tiene). ",""))</f>
        <v/>
      </c>
      <c r="CH34" s="381" t="str">
        <f>IF(AND(D34&lt;&gt;0,X34=""),"* No olvide escribir en la celda de 'Población Migrantes' (Digite CERO si no tiene). ",IF(AND(E34&lt;&gt;0,Y34=""),"* No olvide escribir en la celda de 'Población Migrantes' (Digite CERO si no tiene). ",""))</f>
        <v/>
      </c>
      <c r="CJ34" s="391">
        <f>IF($D34&gt;=$V34,0,1)</f>
        <v>0</v>
      </c>
      <c r="CK34" s="391">
        <f>IF($E34&gt;=$W34,0,1)</f>
        <v>0</v>
      </c>
      <c r="CL34" s="391">
        <f>IF($D34&gt;=$X34,0,1)</f>
        <v>0</v>
      </c>
      <c r="CM34" s="391">
        <f>IF($E34&gt;=$Y34,0,1)</f>
        <v>0</v>
      </c>
      <c r="CN34" s="391">
        <f>IF(AND(D34&lt;&gt;0,V34=""),1,IF(AND(E34&lt;&gt;0,W34=""),1,0))</f>
        <v>0</v>
      </c>
      <c r="CO34" s="391">
        <f>IF(AND(D34&lt;&gt;0,X34=""),1,IF(AND(E34&lt;&gt;0,Y34=""),1,0))</f>
        <v>0</v>
      </c>
      <c r="CP34" s="385"/>
      <c r="CQ34" s="385"/>
    </row>
    <row r="35" spans="1:95" ht="21.75" customHeight="1" x14ac:dyDescent="0.25">
      <c r="A35" s="2176" t="s">
        <v>51</v>
      </c>
      <c r="B35" s="2177"/>
      <c r="C35" s="830">
        <f>SUM(D35:E35)</f>
        <v>0</v>
      </c>
      <c r="D35" s="887">
        <f t="shared" ref="D35:D37" si="26">+F35+H35+J35+L35+N35+P35+R35+T35</f>
        <v>0</v>
      </c>
      <c r="E35" s="848">
        <f t="shared" ref="E35:E37" si="27">+G35+I35+K35+M35+O35+Q35+S35+U35</f>
        <v>0</v>
      </c>
      <c r="F35" s="877"/>
      <c r="G35" s="879"/>
      <c r="H35" s="877"/>
      <c r="I35" s="878"/>
      <c r="J35" s="877"/>
      <c r="K35" s="878"/>
      <c r="L35" s="888"/>
      <c r="M35" s="878"/>
      <c r="N35" s="888"/>
      <c r="O35" s="878"/>
      <c r="P35" s="888"/>
      <c r="Q35" s="878"/>
      <c r="R35" s="888"/>
      <c r="S35" s="878"/>
      <c r="T35" s="888"/>
      <c r="U35" s="881"/>
      <c r="V35" s="880"/>
      <c r="W35" s="1164"/>
      <c r="X35" s="888"/>
      <c r="Y35" s="878"/>
      <c r="Z35" s="888"/>
      <c r="AA35" s="878"/>
      <c r="AB35" s="1688" t="str">
        <f t="shared" si="25"/>
        <v/>
      </c>
      <c r="AZ35"/>
      <c r="BA35"/>
      <c r="CC35" s="381" t="str">
        <f>IF($D35&gt;=$V35,"","* El Nº de hombres normal de 'Pueblos Originarios' no debe ser mayor al Total hombres normal en control. ")</f>
        <v/>
      </c>
      <c r="CD35" s="381" t="str">
        <f>IF($E35&gt;=$W35,"","* El Nº de mujeres normal de 'Pueblos Originarios' no debe ser mayor al Total mujeres normal en control. ")</f>
        <v/>
      </c>
      <c r="CE35" s="381" t="str">
        <f>IF($D35&gt;=$X35,"","* El Nº de hombres normal de Pueblos Migrantes no debe ser mayor al Total hombres normal en control. ")</f>
        <v/>
      </c>
      <c r="CF35" s="381" t="str">
        <f>IF($E35&gt;=$Y35,"","* El Nº de mujeres normal de Pueblos Migrantes no debe ser mayor al Total mujeres normal en control. ")</f>
        <v/>
      </c>
      <c r="CG35" s="381" t="str">
        <f t="shared" ref="CG35:CG37" si="28">IF(AND(D35&lt;&gt;0,V35=""),"* No olvide escribir en la celda de 'Pueblos Originarios' (Digite CERO si no tiene). ",IF(AND(E35&lt;&gt;0,W35=""),"* No olvide escribir en la celda de 'Pueblos Originarios' (Digite CERO si no tiene). ",""))</f>
        <v/>
      </c>
      <c r="CH35" s="381" t="str">
        <f t="shared" ref="CH35:CH37" si="29">IF(AND(D35&lt;&gt;0,X35=""),"* No olvide escribir en la celda de 'Población Migrantes' (Digite CERO si no tiene). ",IF(AND(E35&lt;&gt;0,Y35=""),"* No olvide escribir en la celda de 'Población Migrantes' (Digite CERO si no tiene). ",""))</f>
        <v/>
      </c>
      <c r="CJ35" s="391">
        <f>IF($D35&gt;=$V35,0,1)</f>
        <v>0</v>
      </c>
      <c r="CK35" s="391">
        <f>IF($E35&gt;=$W35,0,1)</f>
        <v>0</v>
      </c>
      <c r="CL35" s="391">
        <f>IF($D35&gt;=$X35,0,1)</f>
        <v>0</v>
      </c>
      <c r="CM35" s="391">
        <f>IF($E35&gt;=$Y35,0,1)</f>
        <v>0</v>
      </c>
      <c r="CN35" s="391">
        <f t="shared" ref="CN35:CN37" si="30">IF(AND(D35&lt;&gt;0,V35=""),1,IF(AND(E35&lt;&gt;0,W35=""),1,0))</f>
        <v>0</v>
      </c>
      <c r="CO35" s="391">
        <f t="shared" ref="CO35:CO37" si="31">IF(AND(D35&lt;&gt;0,X35=""),1,IF(AND(E35&lt;&gt;0,Y35=""),1,0))</f>
        <v>0</v>
      </c>
      <c r="CP35" s="385"/>
      <c r="CQ35" s="385"/>
    </row>
    <row r="36" spans="1:95" ht="21.75" customHeight="1" x14ac:dyDescent="0.25">
      <c r="A36" s="2176" t="s">
        <v>50</v>
      </c>
      <c r="B36" s="2177"/>
      <c r="C36" s="830">
        <f>SUM(D36:E36)</f>
        <v>0</v>
      </c>
      <c r="D36" s="887">
        <f t="shared" si="26"/>
        <v>0</v>
      </c>
      <c r="E36" s="848">
        <f t="shared" si="27"/>
        <v>0</v>
      </c>
      <c r="F36" s="877"/>
      <c r="G36" s="879"/>
      <c r="H36" s="877"/>
      <c r="I36" s="878"/>
      <c r="J36" s="877"/>
      <c r="K36" s="878"/>
      <c r="L36" s="888"/>
      <c r="M36" s="878"/>
      <c r="N36" s="888"/>
      <c r="O36" s="878"/>
      <c r="P36" s="888"/>
      <c r="Q36" s="878"/>
      <c r="R36" s="888"/>
      <c r="S36" s="878"/>
      <c r="T36" s="888"/>
      <c r="U36" s="881"/>
      <c r="V36" s="880"/>
      <c r="W36" s="1164"/>
      <c r="X36" s="888"/>
      <c r="Y36" s="878"/>
      <c r="Z36" s="888"/>
      <c r="AA36" s="878"/>
      <c r="AB36" s="1688" t="str">
        <f t="shared" si="25"/>
        <v/>
      </c>
      <c r="AZ36"/>
      <c r="BA36"/>
      <c r="CC36" s="381" t="str">
        <f>IF($D36&gt;=$V36,"","* El Nº de hombres sobrepeso de 'Pueblos Originarios' no debe ser mayor al Total hombres sobrepeso en control. ")</f>
        <v/>
      </c>
      <c r="CD36" s="381" t="str">
        <f>IF($E36&gt;=$W36,"","* El Nº de mujeres sobrepeso de 'Pueblos Originarios' no debe ser mayor al Total mujeres sobrepeso en control. ")</f>
        <v/>
      </c>
      <c r="CE36" s="381" t="str">
        <f>IF($D36&gt;=$X36,"","* El Nº de hombres sobrepeso de Pueblos Migrantes no debe ser mayor al Total hombres sobrepeso en control. ")</f>
        <v/>
      </c>
      <c r="CF36" s="381" t="str">
        <f>IF($E36&gt;=$Y36,"","* El Nº de mujeres sobrepeso de Pueblos Migrantes no debe ser mayor al Total mujeres sobrepeso en control. ")</f>
        <v/>
      </c>
      <c r="CG36" s="381" t="str">
        <f t="shared" si="28"/>
        <v/>
      </c>
      <c r="CH36" s="381" t="str">
        <f t="shared" si="29"/>
        <v/>
      </c>
      <c r="CJ36" s="391">
        <f>IF($D36&gt;=$V36,0,1)</f>
        <v>0</v>
      </c>
      <c r="CK36" s="391">
        <f>IF($E36&gt;=$W36,0,1)</f>
        <v>0</v>
      </c>
      <c r="CL36" s="391">
        <f>IF($D36&gt;=$X36,0,1)</f>
        <v>0</v>
      </c>
      <c r="CM36" s="391">
        <f>IF($E36&gt;=$Y36,0,1)</f>
        <v>0</v>
      </c>
      <c r="CN36" s="391">
        <f t="shared" si="30"/>
        <v>0</v>
      </c>
      <c r="CO36" s="391">
        <f t="shared" si="31"/>
        <v>0</v>
      </c>
      <c r="CP36" s="385"/>
      <c r="CQ36" s="385"/>
    </row>
    <row r="37" spans="1:95" ht="21.75" customHeight="1" x14ac:dyDescent="0.25">
      <c r="A37" s="2154" t="s">
        <v>101</v>
      </c>
      <c r="B37" s="2155"/>
      <c r="C37" s="889">
        <f>SUM(D37:E37)</f>
        <v>0</v>
      </c>
      <c r="D37" s="890">
        <f t="shared" si="26"/>
        <v>0</v>
      </c>
      <c r="E37" s="891">
        <f t="shared" si="27"/>
        <v>0</v>
      </c>
      <c r="F37" s="852"/>
      <c r="G37" s="854"/>
      <c r="H37" s="852"/>
      <c r="I37" s="853"/>
      <c r="J37" s="852"/>
      <c r="K37" s="853"/>
      <c r="L37" s="857"/>
      <c r="M37" s="853"/>
      <c r="N37" s="857"/>
      <c r="O37" s="853"/>
      <c r="P37" s="857"/>
      <c r="Q37" s="853"/>
      <c r="R37" s="857"/>
      <c r="S37" s="853"/>
      <c r="T37" s="857"/>
      <c r="U37" s="856"/>
      <c r="V37" s="855"/>
      <c r="W37" s="1165"/>
      <c r="X37" s="857"/>
      <c r="Y37" s="853"/>
      <c r="Z37" s="857"/>
      <c r="AA37" s="853"/>
      <c r="AB37" s="1688" t="str">
        <f t="shared" si="25"/>
        <v/>
      </c>
      <c r="AZ37"/>
      <c r="BA37"/>
      <c r="CC37" s="381" t="str">
        <f>IF($D37&gt;=$V37,"","* El Nº de hombres obeso de 'Pueblos Originarios' no debe ser mayor al Total hombres obesos en control. ")</f>
        <v/>
      </c>
      <c r="CD37" s="381" t="str">
        <f>IF($E37&gt;=$W37,"","* El Nº de mujeres obesas de 'Pueblos Originarios' no debe ser mayor al Total mujeres obesas en control. ")</f>
        <v/>
      </c>
      <c r="CE37" s="381" t="str">
        <f>IF($D37&gt;=$X37,"","* El Nº de hombres obeso de Pueblos Migrantes no debe ser mayor al Total hombres obeso en control. ")</f>
        <v/>
      </c>
      <c r="CF37" s="381" t="str">
        <f>IF($E37&gt;=$Y37,"","* El Nº de mujeres obesas de Pueblos Migrantes no debe ser mayor al Total mujeres obesas en control. ")</f>
        <v/>
      </c>
      <c r="CG37" s="381" t="str">
        <f t="shared" si="28"/>
        <v/>
      </c>
      <c r="CH37" s="381" t="str">
        <f t="shared" si="29"/>
        <v/>
      </c>
      <c r="CJ37" s="391">
        <f>IF($D37&gt;=$V37,0,1)</f>
        <v>0</v>
      </c>
      <c r="CK37" s="391">
        <f>IF($E37&gt;=$W37,0,1)</f>
        <v>0</v>
      </c>
      <c r="CL37" s="391">
        <f>IF($D37&gt;=$X37,0,1)</f>
        <v>0</v>
      </c>
      <c r="CM37" s="391">
        <f>IF($E37&gt;=$Y37,0,1)</f>
        <v>0</v>
      </c>
      <c r="CN37" s="391">
        <f t="shared" si="30"/>
        <v>0</v>
      </c>
      <c r="CO37" s="391">
        <f t="shared" si="31"/>
        <v>0</v>
      </c>
      <c r="CP37" s="385"/>
      <c r="CQ37" s="385"/>
    </row>
    <row r="38" spans="1:95" ht="21.75" customHeight="1" x14ac:dyDescent="0.25">
      <c r="A38" s="2156" t="s">
        <v>196</v>
      </c>
      <c r="B38" s="2157"/>
      <c r="C38" s="843">
        <f>SUM(D38:E38)</f>
        <v>0</v>
      </c>
      <c r="D38" s="892">
        <f>+F38+H38+J38+L38+N38+P38+R38+T38</f>
        <v>0</v>
      </c>
      <c r="E38" s="866">
        <f>+G38+I38+K38+M38+O38+Q38+S38+U38</f>
        <v>0</v>
      </c>
      <c r="F38" s="865">
        <f>SUM(F34:F37)</f>
        <v>0</v>
      </c>
      <c r="G38" s="866">
        <f t="shared" ref="G38:Y38" si="32">SUM(G34:G37)</f>
        <v>0</v>
      </c>
      <c r="H38" s="859">
        <f t="shared" si="32"/>
        <v>0</v>
      </c>
      <c r="I38" s="866">
        <f t="shared" si="32"/>
        <v>0</v>
      </c>
      <c r="J38" s="859">
        <f t="shared" ref="J38:M38" si="33">SUM(J34:J37)</f>
        <v>0</v>
      </c>
      <c r="K38" s="866">
        <f t="shared" si="33"/>
        <v>0</v>
      </c>
      <c r="L38" s="859">
        <f t="shared" si="33"/>
        <v>0</v>
      </c>
      <c r="M38" s="866">
        <f t="shared" si="33"/>
        <v>0</v>
      </c>
      <c r="N38" s="1161">
        <f t="shared" si="32"/>
        <v>0</v>
      </c>
      <c r="O38" s="866">
        <f t="shared" si="32"/>
        <v>0</v>
      </c>
      <c r="P38" s="1161">
        <f t="shared" ref="P38:S38" si="34">SUM(P34:P37)</f>
        <v>0</v>
      </c>
      <c r="Q38" s="866">
        <f t="shared" si="34"/>
        <v>0</v>
      </c>
      <c r="R38" s="859">
        <f t="shared" si="34"/>
        <v>0</v>
      </c>
      <c r="S38" s="866">
        <f t="shared" si="34"/>
        <v>0</v>
      </c>
      <c r="T38" s="1161">
        <f t="shared" si="32"/>
        <v>0</v>
      </c>
      <c r="U38" s="864">
        <f t="shared" si="32"/>
        <v>0</v>
      </c>
      <c r="V38" s="863">
        <f>SUM(V34:V37)</f>
        <v>0</v>
      </c>
      <c r="W38" s="866">
        <f>SUM(W34:W37)</f>
        <v>0</v>
      </c>
      <c r="X38" s="1161">
        <f t="shared" si="32"/>
        <v>0</v>
      </c>
      <c r="Y38" s="866">
        <f t="shared" si="32"/>
        <v>0</v>
      </c>
      <c r="Z38" s="1161">
        <f t="shared" ref="Z38:AA38" si="35">SUM(Z34:Z37)</f>
        <v>0</v>
      </c>
      <c r="AA38" s="866">
        <f t="shared" si="35"/>
        <v>0</v>
      </c>
      <c r="AB38" s="1691"/>
      <c r="AZ38"/>
      <c r="BA38"/>
      <c r="BC38" s="1050"/>
      <c r="BD38" s="1050"/>
      <c r="BE38" s="1050"/>
      <c r="BF38" s="1050"/>
      <c r="BG38" s="1050"/>
      <c r="BH38" s="1050"/>
      <c r="BI38" s="1050"/>
      <c r="BJ38" s="1050"/>
      <c r="BK38" s="1050"/>
      <c r="BL38" s="1050"/>
      <c r="CJ38" s="385"/>
      <c r="CK38" s="385"/>
      <c r="CL38" s="385"/>
      <c r="CM38" s="385"/>
      <c r="CN38" s="385"/>
      <c r="CO38" s="385"/>
      <c r="CP38" s="385"/>
      <c r="CQ38" s="385"/>
    </row>
    <row r="39" spans="1:95" ht="30" customHeight="1" x14ac:dyDescent="0.25">
      <c r="A39" s="2142" t="s">
        <v>581</v>
      </c>
      <c r="B39" s="2142"/>
      <c r="C39" s="2142"/>
      <c r="D39" s="2142"/>
      <c r="E39" s="2142"/>
      <c r="F39" s="2143"/>
      <c r="G39" s="2143"/>
      <c r="H39" s="172"/>
      <c r="I39" s="172"/>
      <c r="J39" s="172"/>
      <c r="K39" s="172"/>
      <c r="L39" s="388"/>
      <c r="CJ39" s="385"/>
      <c r="CK39" s="385"/>
      <c r="CL39" s="385"/>
      <c r="CM39" s="385"/>
      <c r="CN39" s="385"/>
      <c r="CO39" s="385"/>
      <c r="CP39" s="385"/>
      <c r="CQ39" s="385"/>
    </row>
    <row r="40" spans="1:95" ht="22.5" customHeight="1" x14ac:dyDescent="0.25">
      <c r="A40" s="2141" t="s">
        <v>151</v>
      </c>
      <c r="B40" s="2141"/>
      <c r="C40" s="2140" t="s">
        <v>13</v>
      </c>
      <c r="D40" s="2140"/>
      <c r="E40" s="2140"/>
      <c r="F40" s="2136" t="s">
        <v>508</v>
      </c>
      <c r="G40" s="2137"/>
      <c r="H40" s="2137"/>
      <c r="I40" s="2137"/>
      <c r="J40" s="2137"/>
      <c r="K40" s="2137"/>
      <c r="L40" s="2137"/>
      <c r="M40" s="2137"/>
      <c r="N40" s="2137"/>
      <c r="O40" s="2137"/>
      <c r="P40" s="2137"/>
      <c r="Q40" s="2137"/>
      <c r="R40" s="2137"/>
      <c r="S40" s="2137"/>
      <c r="T40" s="2137"/>
      <c r="U40" s="2138"/>
      <c r="V40" s="1961" t="s">
        <v>15</v>
      </c>
      <c r="W40" s="2126"/>
      <c r="X40" s="1961" t="s">
        <v>689</v>
      </c>
      <c r="Y40" s="2126"/>
      <c r="Z40" s="1961" t="s">
        <v>733</v>
      </c>
      <c r="AA40" s="2126"/>
      <c r="CJ40" s="385"/>
      <c r="CK40" s="385"/>
      <c r="CL40" s="385"/>
      <c r="CM40" s="385"/>
      <c r="CN40" s="385"/>
      <c r="CO40" s="385"/>
      <c r="CP40" s="385"/>
      <c r="CQ40" s="385"/>
    </row>
    <row r="41" spans="1:95" ht="17.25" customHeight="1" x14ac:dyDescent="0.25">
      <c r="A41" s="2141"/>
      <c r="B41" s="2141"/>
      <c r="C41" s="2140"/>
      <c r="D41" s="2140"/>
      <c r="E41" s="2140"/>
      <c r="F41" s="2128" t="s">
        <v>181</v>
      </c>
      <c r="G41" s="2130"/>
      <c r="H41" s="2128" t="s">
        <v>182</v>
      </c>
      <c r="I41" s="2130"/>
      <c r="J41" s="2128" t="s">
        <v>183</v>
      </c>
      <c r="K41" s="2130"/>
      <c r="L41" s="2128" t="s">
        <v>698</v>
      </c>
      <c r="M41" s="2130"/>
      <c r="N41" s="2129" t="s">
        <v>699</v>
      </c>
      <c r="O41" s="2129"/>
      <c r="P41" s="2128" t="s">
        <v>700</v>
      </c>
      <c r="Q41" s="2129"/>
      <c r="R41" s="2128" t="s">
        <v>701</v>
      </c>
      <c r="S41" s="2130"/>
      <c r="T41" s="2128" t="s">
        <v>697</v>
      </c>
      <c r="U41" s="2131"/>
      <c r="V41" s="1963"/>
      <c r="W41" s="1964"/>
      <c r="X41" s="1963"/>
      <c r="Y41" s="1964"/>
      <c r="Z41" s="1963"/>
      <c r="AA41" s="1964"/>
      <c r="CJ41" s="385"/>
      <c r="CK41" s="385"/>
      <c r="CL41" s="385"/>
      <c r="CM41" s="385"/>
      <c r="CN41" s="385"/>
      <c r="CO41" s="385"/>
      <c r="CP41" s="385"/>
      <c r="CQ41" s="385"/>
    </row>
    <row r="42" spans="1:95" ht="31.15" customHeight="1" x14ac:dyDescent="0.25">
      <c r="A42" s="2141"/>
      <c r="B42" s="2141"/>
      <c r="C42" s="130" t="s">
        <v>93</v>
      </c>
      <c r="D42" s="175" t="s">
        <v>31</v>
      </c>
      <c r="E42" s="364" t="s">
        <v>94</v>
      </c>
      <c r="F42" s="136" t="s">
        <v>129</v>
      </c>
      <c r="G42" s="137" t="s">
        <v>94</v>
      </c>
      <c r="H42" s="136" t="s">
        <v>129</v>
      </c>
      <c r="I42" s="137" t="s">
        <v>94</v>
      </c>
      <c r="J42" s="136" t="s">
        <v>129</v>
      </c>
      <c r="K42" s="137" t="s">
        <v>94</v>
      </c>
      <c r="L42" s="130" t="s">
        <v>31</v>
      </c>
      <c r="M42" s="171" t="s">
        <v>94</v>
      </c>
      <c r="N42" s="130" t="s">
        <v>31</v>
      </c>
      <c r="O42" s="171" t="s">
        <v>94</v>
      </c>
      <c r="P42" s="130" t="s">
        <v>31</v>
      </c>
      <c r="Q42" s="171" t="s">
        <v>94</v>
      </c>
      <c r="R42" s="130" t="s">
        <v>31</v>
      </c>
      <c r="S42" s="171" t="s">
        <v>94</v>
      </c>
      <c r="T42" s="130" t="s">
        <v>31</v>
      </c>
      <c r="U42" s="178" t="s">
        <v>94</v>
      </c>
      <c r="V42" s="1135" t="s">
        <v>31</v>
      </c>
      <c r="W42" s="1128" t="s">
        <v>94</v>
      </c>
      <c r="X42" s="1135" t="s">
        <v>31</v>
      </c>
      <c r="Y42" s="354" t="s">
        <v>94</v>
      </c>
      <c r="Z42" s="1135" t="s">
        <v>31</v>
      </c>
      <c r="AA42" s="354" t="s">
        <v>94</v>
      </c>
      <c r="CJ42" s="385"/>
      <c r="CK42" s="385"/>
      <c r="CL42" s="385"/>
      <c r="CM42" s="385"/>
      <c r="CN42" s="385"/>
      <c r="CO42" s="385"/>
      <c r="CP42" s="385"/>
      <c r="CQ42" s="385"/>
    </row>
    <row r="43" spans="1:95" ht="30.75" customHeight="1" x14ac:dyDescent="0.25">
      <c r="A43" s="2146" t="s">
        <v>197</v>
      </c>
      <c r="B43" s="2147"/>
      <c r="C43" s="843">
        <f>SUM(D43:E43)</f>
        <v>0</v>
      </c>
      <c r="D43" s="892">
        <f>+F43+H43+J43+L43+N43+P43+R43+T43</f>
        <v>0</v>
      </c>
      <c r="E43" s="860">
        <f>+G43+I43+K43+M43+O43+Q43+S43+U43</f>
        <v>0</v>
      </c>
      <c r="F43" s="893"/>
      <c r="G43" s="894"/>
      <c r="H43" s="893"/>
      <c r="I43" s="894"/>
      <c r="J43" s="893"/>
      <c r="K43" s="894"/>
      <c r="L43" s="893"/>
      <c r="M43" s="894"/>
      <c r="N43" s="893"/>
      <c r="O43" s="894"/>
      <c r="P43" s="893"/>
      <c r="Q43" s="894"/>
      <c r="R43" s="893"/>
      <c r="S43" s="894"/>
      <c r="T43" s="893"/>
      <c r="U43" s="1307"/>
      <c r="V43" s="1306"/>
      <c r="W43" s="894"/>
      <c r="X43" s="893"/>
      <c r="Y43" s="894"/>
      <c r="Z43" s="893"/>
      <c r="AA43" s="894"/>
      <c r="AB43" s="1688" t="str">
        <f t="shared" ref="AB43" si="36">CA43&amp;CB43&amp;CC43&amp;CD43&amp;CE43&amp;CF43&amp;CG43&amp;CH43&amp;CI43</f>
        <v/>
      </c>
      <c r="BC43" s="1050"/>
      <c r="BD43" s="1050"/>
      <c r="BE43" s="1050"/>
      <c r="BF43" s="1050"/>
      <c r="BG43" s="1050"/>
      <c r="BH43" s="1050"/>
      <c r="BI43" s="1050"/>
      <c r="BJ43" s="1050"/>
      <c r="BK43" s="1050"/>
      <c r="BL43" s="1050"/>
      <c r="CB43" s="381" t="str">
        <f>IF(C43&gt;C21,"* Total de personas mayores con sospecha de maltrato no puede ser mayor al Total de personas mayores en control de la sección A. ","")</f>
        <v/>
      </c>
      <c r="CC43" s="381" t="str">
        <f>IF($D43&gt;=$V43,"","* El Nº de hombres con sospecha de maltrato de 'Pueblos Originarios' no debe ser mayor al Total hombres con sospecha de maltrato en control. ")</f>
        <v/>
      </c>
      <c r="CD43" s="381" t="str">
        <f>IF($E43&gt;=$W43,"","* El Nº de mujeres con sospecha de maltrato de 'Pueblos Originarios' no debe ser mayor al Total mujeres con sospecha de maltrato en control. ")</f>
        <v/>
      </c>
      <c r="CE43" s="381" t="str">
        <f>IF($D43&gt;=$X43,"","* El Nº de hombres con sospecha de maltrato de Pueblos Migrantes no debe ser mayor al Total hombres con sospecha de maltrato en control. ")</f>
        <v/>
      </c>
      <c r="CF43" s="381" t="str">
        <f>IF($E43&gt;=$Y43,"","* El Nº de mujeres con sospecha de maltrato de Pueblos Migrantes no debe ser mayor al Total mujeres con sospecha de maltrato en control. ")</f>
        <v/>
      </c>
      <c r="CG43" s="381" t="str">
        <f t="shared" ref="CG43" si="37">IF(AND(D43&lt;&gt;0,V43=""),"* No olvide escribir en la celda de 'Pueblos Originarios' (Digite CERO si no tiene). ",IF(AND(E43&lt;&gt;0,W43=""),"* No olvide escribir en la celda de 'Pueblos Originarios' (Digite CERO si no tiene). ",""))</f>
        <v/>
      </c>
      <c r="CH43" s="381" t="str">
        <f t="shared" ref="CH43" si="38">IF(AND(D43&lt;&gt;0,X43=""),"* No olvide escribir en la celda de 'Población Migrantes' (Digite CERO si no tiene). ",IF(AND(E43&lt;&gt;0,Y43=""),"* No olvide escribir en la celda de 'Población Migrantes' (Digite CERO si no tiene). ",""))</f>
        <v/>
      </c>
      <c r="CJ43" s="391">
        <f>IF($D43&gt;=$V43,0,1)</f>
        <v>0</v>
      </c>
      <c r="CK43" s="391">
        <f>IF($E43&gt;=$W43,0,1)</f>
        <v>0</v>
      </c>
      <c r="CL43" s="391">
        <f>IF($D43&gt;=$X43,0,1)</f>
        <v>0</v>
      </c>
      <c r="CM43" s="391">
        <f>IF($E43&gt;=$Y43,0,1)</f>
        <v>0</v>
      </c>
      <c r="CN43" s="391">
        <f>IF(AND(D43&lt;&gt;0,V43=""),1,IF(AND(E43&lt;&gt;0,W43=""),1,0))</f>
        <v>0</v>
      </c>
      <c r="CO43" s="391">
        <f>IF(AND(D43&lt;&gt;0,X43=""),1,IF(AND(E43&lt;&gt;0,Y43=""),1,0))</f>
        <v>0</v>
      </c>
      <c r="CP43" s="391">
        <f>IF(C43&gt;C21,1,0)</f>
        <v>0</v>
      </c>
      <c r="CQ43" s="391"/>
    </row>
    <row r="44" spans="1:95" ht="27" customHeight="1" x14ac:dyDescent="0.25">
      <c r="A44" s="2149" t="s">
        <v>582</v>
      </c>
      <c r="B44" s="2149"/>
      <c r="C44" s="2149"/>
      <c r="D44" s="2149"/>
      <c r="E44" s="2149"/>
      <c r="F44" s="2150"/>
      <c r="G44" s="2150"/>
      <c r="H44" s="2150"/>
      <c r="I44" s="172"/>
      <c r="J44" s="172"/>
      <c r="K44" s="172"/>
      <c r="L44" s="388"/>
      <c r="CJ44" s="385"/>
      <c r="CK44" s="385"/>
      <c r="CL44" s="385"/>
      <c r="CM44" s="385"/>
      <c r="CN44" s="385"/>
      <c r="CO44" s="385"/>
      <c r="CP44" s="385"/>
      <c r="CQ44" s="385"/>
    </row>
    <row r="45" spans="1:95" ht="20.25" customHeight="1" x14ac:dyDescent="0.25">
      <c r="A45" s="2141" t="s">
        <v>151</v>
      </c>
      <c r="B45" s="2141"/>
      <c r="C45" s="2140" t="s">
        <v>13</v>
      </c>
      <c r="D45" s="2140"/>
      <c r="E45" s="2140"/>
      <c r="F45" s="2136" t="s">
        <v>508</v>
      </c>
      <c r="G45" s="2137"/>
      <c r="H45" s="2137"/>
      <c r="I45" s="2137"/>
      <c r="J45" s="2137"/>
      <c r="K45" s="2137"/>
      <c r="L45" s="2137"/>
      <c r="M45" s="2137"/>
      <c r="N45" s="2137"/>
      <c r="O45" s="2137"/>
      <c r="P45" s="2137"/>
      <c r="Q45" s="2137"/>
      <c r="R45" s="2137"/>
      <c r="S45" s="2137"/>
      <c r="T45" s="2137"/>
      <c r="U45" s="2138"/>
      <c r="V45" s="1961" t="s">
        <v>15</v>
      </c>
      <c r="W45" s="2126"/>
      <c r="X45" s="1961" t="s">
        <v>689</v>
      </c>
      <c r="Y45" s="2126"/>
      <c r="Z45" s="1961" t="s">
        <v>733</v>
      </c>
      <c r="AA45" s="2126"/>
      <c r="CJ45" s="385"/>
      <c r="CK45" s="385"/>
      <c r="CL45" s="385"/>
      <c r="CM45" s="385"/>
      <c r="CN45" s="385"/>
      <c r="CO45" s="385"/>
      <c r="CP45" s="385"/>
      <c r="CQ45" s="385"/>
    </row>
    <row r="46" spans="1:95" ht="19.5" customHeight="1" x14ac:dyDescent="0.25">
      <c r="A46" s="2141"/>
      <c r="B46" s="2141"/>
      <c r="C46" s="2140"/>
      <c r="D46" s="2140"/>
      <c r="E46" s="2140"/>
      <c r="F46" s="2128" t="s">
        <v>181</v>
      </c>
      <c r="G46" s="2130"/>
      <c r="H46" s="2128" t="s">
        <v>182</v>
      </c>
      <c r="I46" s="2130"/>
      <c r="J46" s="2128" t="s">
        <v>183</v>
      </c>
      <c r="K46" s="2130"/>
      <c r="L46" s="2128" t="s">
        <v>698</v>
      </c>
      <c r="M46" s="2130"/>
      <c r="N46" s="2129" t="s">
        <v>699</v>
      </c>
      <c r="O46" s="2129"/>
      <c r="P46" s="2128" t="s">
        <v>700</v>
      </c>
      <c r="Q46" s="2129"/>
      <c r="R46" s="2128" t="s">
        <v>701</v>
      </c>
      <c r="S46" s="2130"/>
      <c r="T46" s="2128" t="s">
        <v>697</v>
      </c>
      <c r="U46" s="2131"/>
      <c r="V46" s="1963"/>
      <c r="W46" s="1964"/>
      <c r="X46" s="1963"/>
      <c r="Y46" s="1964"/>
      <c r="Z46" s="1963"/>
      <c r="AA46" s="1964"/>
      <c r="CJ46" s="385"/>
      <c r="CK46" s="385"/>
      <c r="CL46" s="385"/>
      <c r="CM46" s="385"/>
      <c r="CN46" s="385"/>
      <c r="CO46" s="385"/>
      <c r="CP46" s="385"/>
      <c r="CQ46" s="385"/>
    </row>
    <row r="47" spans="1:95" ht="21" x14ac:dyDescent="0.25">
      <c r="A47" s="2141"/>
      <c r="B47" s="2141"/>
      <c r="C47" s="130" t="s">
        <v>93</v>
      </c>
      <c r="D47" s="175" t="s">
        <v>31</v>
      </c>
      <c r="E47" s="176" t="s">
        <v>94</v>
      </c>
      <c r="F47" s="136" t="s">
        <v>129</v>
      </c>
      <c r="G47" s="137" t="s">
        <v>94</v>
      </c>
      <c r="H47" s="136" t="s">
        <v>129</v>
      </c>
      <c r="I47" s="137" t="s">
        <v>94</v>
      </c>
      <c r="J47" s="136" t="s">
        <v>129</v>
      </c>
      <c r="K47" s="137" t="s">
        <v>94</v>
      </c>
      <c r="L47" s="130" t="s">
        <v>31</v>
      </c>
      <c r="M47" s="171" t="s">
        <v>94</v>
      </c>
      <c r="N47" s="130" t="s">
        <v>31</v>
      </c>
      <c r="O47" s="171" t="s">
        <v>94</v>
      </c>
      <c r="P47" s="130" t="s">
        <v>31</v>
      </c>
      <c r="Q47" s="171" t="s">
        <v>94</v>
      </c>
      <c r="R47" s="130" t="s">
        <v>31</v>
      </c>
      <c r="S47" s="171" t="s">
        <v>94</v>
      </c>
      <c r="T47" s="130" t="s">
        <v>31</v>
      </c>
      <c r="U47" s="178" t="s">
        <v>94</v>
      </c>
      <c r="V47" s="1135" t="s">
        <v>31</v>
      </c>
      <c r="W47" s="1128" t="s">
        <v>94</v>
      </c>
      <c r="X47" s="1135" t="s">
        <v>31</v>
      </c>
      <c r="Y47" s="354" t="s">
        <v>94</v>
      </c>
      <c r="Z47" s="1135" t="s">
        <v>31</v>
      </c>
      <c r="AA47" s="354" t="s">
        <v>94</v>
      </c>
      <c r="CJ47" s="385"/>
      <c r="CK47" s="385"/>
      <c r="CL47" s="385"/>
      <c r="CM47" s="385"/>
      <c r="CN47" s="385"/>
      <c r="CO47" s="385"/>
      <c r="CP47" s="385"/>
      <c r="CQ47" s="385"/>
    </row>
    <row r="48" spans="1:95" ht="24" customHeight="1" x14ac:dyDescent="0.25">
      <c r="A48" s="2144" t="s">
        <v>198</v>
      </c>
      <c r="B48" s="2145"/>
      <c r="C48" s="843">
        <f>SUM(D48:E48)</f>
        <v>0</v>
      </c>
      <c r="D48" s="892">
        <f>+F48+H48+J48+L48+N48+P48+R48+T48</f>
        <v>0</v>
      </c>
      <c r="E48" s="866">
        <f>+G48+I48+K48+M48+O48+Q48+S48+U48</f>
        <v>0</v>
      </c>
      <c r="F48" s="893"/>
      <c r="G48" s="894"/>
      <c r="H48" s="893"/>
      <c r="I48" s="894"/>
      <c r="J48" s="893"/>
      <c r="K48" s="894"/>
      <c r="L48" s="893"/>
      <c r="M48" s="894"/>
      <c r="N48" s="893"/>
      <c r="O48" s="894"/>
      <c r="P48" s="893"/>
      <c r="Q48" s="894"/>
      <c r="R48" s="893"/>
      <c r="S48" s="894"/>
      <c r="T48" s="893"/>
      <c r="U48" s="1307"/>
      <c r="V48" s="1306"/>
      <c r="W48" s="894"/>
      <c r="X48" s="893"/>
      <c r="Y48" s="894"/>
      <c r="Z48" s="893"/>
      <c r="AA48" s="894"/>
      <c r="AB48" s="1688" t="str">
        <f t="shared" ref="AB48" si="39">CA48&amp;CB48&amp;CC48&amp;CD48&amp;CE48&amp;CF48&amp;CG48&amp;CH48&amp;CI48</f>
        <v/>
      </c>
      <c r="BC48" s="1050"/>
      <c r="BD48" s="1050"/>
      <c r="BE48" s="1050"/>
      <c r="BF48" s="1050"/>
      <c r="BG48" s="1050"/>
      <c r="BH48" s="1050"/>
      <c r="BI48" s="1050"/>
      <c r="BJ48" s="1050"/>
      <c r="BK48" s="1050"/>
      <c r="BL48" s="1050"/>
      <c r="CB48" s="381" t="str">
        <f>IF($C$48&lt;=$D$15,"","* Los Adultos Mayores en actividad física no pueden ser mayor que los clasificados como Autovalentes sin/con riesgo y los riesgo de Dependencia. ")</f>
        <v/>
      </c>
      <c r="CC48" s="381" t="str">
        <f>IF($D48&gt;=$V48,"","* El Nº de hombres en actividad física de 'Pueblos Originarios' no debe ser mayor al Total hombres en actividad física. ")</f>
        <v/>
      </c>
      <c r="CD48" s="381" t="str">
        <f>IF($E48&gt;=$W48,"","* El Nº de mujeres en actividad física de 'Pueblos Originarios' no debe ser mayor al Total mujeres en actividad física. ")</f>
        <v/>
      </c>
      <c r="CE48" s="381" t="str">
        <f>IF($D48&gt;=$X48,"","* El Nº de hombres en actividad física de Pueblos Migrantes no debe ser mayor al Total hombres en actividad física. ")</f>
        <v/>
      </c>
      <c r="CF48" s="381" t="str">
        <f>IF($E48&gt;=$Y48,"","* El Nº de mujeres en actividad física de Pueblos Migrantes no debe ser mayor al Total mujeres en actividad física. ")</f>
        <v/>
      </c>
      <c r="CG48" s="381" t="str">
        <f t="shared" ref="CG48" si="40">IF(AND(D48&lt;&gt;0,V48=""),"* No olvide escribir en la celda de 'Pueblos Originarios' (Digite CERO si no tiene). ",IF(AND(E48&lt;&gt;0,W48=""),"* No olvide escribir en la celda de 'Pueblos Originarios' (Digite CERO si no tiene). ",""))</f>
        <v/>
      </c>
      <c r="CH48" s="381" t="str">
        <f t="shared" ref="CH48" si="41">IF(AND(D48&lt;&gt;0,X48=""),"* No olvide escribir en la celda de 'Población Migrantes' (Digite CERO si no tiene). ",IF(AND(E48&lt;&gt;0,Y48=""),"* No olvide escribir en la celda de 'Población Migrantes' (Digite CERO si no tiene). ",""))</f>
        <v/>
      </c>
      <c r="CJ48" s="391">
        <f>IF($D48&gt;=$V48,0,1)</f>
        <v>0</v>
      </c>
      <c r="CK48" s="391">
        <f>IF($E48&gt;=$W48,0,1)</f>
        <v>0</v>
      </c>
      <c r="CL48" s="391">
        <f>IF($D48&gt;=$X48,0,1)</f>
        <v>0</v>
      </c>
      <c r="CM48" s="391">
        <f>IF($E48&gt;=$Y48,0,1)</f>
        <v>0</v>
      </c>
      <c r="CN48" s="391">
        <f>IF(AND(D48&lt;&gt;0,V48=""),1,IF(AND(E48&lt;&gt;0,W48=""),1,0))</f>
        <v>0</v>
      </c>
      <c r="CO48" s="391">
        <f>IF(AND(D48&lt;&gt;0,X48=""),1,IF(AND(E48&lt;&gt;0,Y48=""),1,0))</f>
        <v>0</v>
      </c>
      <c r="CP48" s="391">
        <f>IF($C48&lt;=$D$15,0,1)</f>
        <v>0</v>
      </c>
      <c r="CQ48" s="385"/>
    </row>
    <row r="49" spans="1:95" ht="27.75" customHeight="1" x14ac:dyDescent="0.25">
      <c r="A49" s="2148" t="s">
        <v>583</v>
      </c>
      <c r="B49" s="2148"/>
      <c r="C49" s="2148"/>
      <c r="D49" s="2148"/>
      <c r="E49" s="2148"/>
      <c r="F49" s="2148"/>
      <c r="G49" s="2148"/>
      <c r="H49" s="2148"/>
      <c r="I49" s="2148"/>
      <c r="CJ49" s="385"/>
      <c r="CK49" s="385"/>
      <c r="CL49" s="385"/>
      <c r="CM49" s="385"/>
      <c r="CN49" s="385"/>
      <c r="CO49" s="385"/>
      <c r="CP49" s="385"/>
      <c r="CQ49" s="385"/>
    </row>
    <row r="50" spans="1:95" ht="25.5" customHeight="1" x14ac:dyDescent="0.25">
      <c r="A50" s="2108" t="s">
        <v>450</v>
      </c>
      <c r="B50" s="2151" t="s">
        <v>199</v>
      </c>
      <c r="C50" s="2140" t="s">
        <v>13</v>
      </c>
      <c r="D50" s="2140"/>
      <c r="E50" s="2140"/>
      <c r="F50" s="2136" t="s">
        <v>508</v>
      </c>
      <c r="G50" s="2137"/>
      <c r="H50" s="2137"/>
      <c r="I50" s="2137"/>
      <c r="J50" s="2137"/>
      <c r="K50" s="2137"/>
      <c r="L50" s="2137"/>
      <c r="M50" s="2137"/>
      <c r="N50" s="2137"/>
      <c r="O50" s="2137"/>
      <c r="P50" s="2137"/>
      <c r="Q50" s="2137"/>
      <c r="R50" s="2137"/>
      <c r="S50" s="2137"/>
      <c r="T50" s="2137"/>
      <c r="U50" s="2138"/>
      <c r="V50" s="2127" t="s">
        <v>15</v>
      </c>
      <c r="W50" s="2126"/>
      <c r="X50" s="1961" t="s">
        <v>689</v>
      </c>
      <c r="Y50" s="2126"/>
      <c r="Z50" s="1961" t="s">
        <v>733</v>
      </c>
      <c r="AA50" s="2126"/>
      <c r="CG50" s="385"/>
      <c r="CH50" s="385"/>
      <c r="CI50" s="385"/>
      <c r="CJ50" s="385"/>
      <c r="CK50" s="385"/>
      <c r="CL50" s="385"/>
      <c r="CM50" s="385"/>
      <c r="CN50" s="385"/>
      <c r="CO50" s="180"/>
      <c r="CP50" s="180"/>
      <c r="CQ50" s="180"/>
    </row>
    <row r="51" spans="1:95" ht="15.75" customHeight="1" x14ac:dyDescent="0.25">
      <c r="A51" s="1982"/>
      <c r="B51" s="2152"/>
      <c r="C51" s="2140"/>
      <c r="D51" s="2140"/>
      <c r="E51" s="2140"/>
      <c r="F51" s="1978" t="s">
        <v>181</v>
      </c>
      <c r="G51" s="1971"/>
      <c r="H51" s="1970" t="s">
        <v>182</v>
      </c>
      <c r="I51" s="1971"/>
      <c r="J51" s="1970" t="s">
        <v>183</v>
      </c>
      <c r="K51" s="1971"/>
      <c r="L51" s="2128" t="s">
        <v>698</v>
      </c>
      <c r="M51" s="2130"/>
      <c r="N51" s="2129" t="s">
        <v>699</v>
      </c>
      <c r="O51" s="2129"/>
      <c r="P51" s="2128" t="s">
        <v>700</v>
      </c>
      <c r="Q51" s="2129"/>
      <c r="R51" s="2128" t="s">
        <v>701</v>
      </c>
      <c r="S51" s="2130"/>
      <c r="T51" s="2128" t="s">
        <v>697</v>
      </c>
      <c r="U51" s="2131"/>
      <c r="V51" s="1963"/>
      <c r="W51" s="1964"/>
      <c r="X51" s="1963"/>
      <c r="Y51" s="1964"/>
      <c r="Z51" s="1963"/>
      <c r="AA51" s="1964"/>
      <c r="CJ51" s="385"/>
      <c r="CK51" s="385"/>
      <c r="CL51" s="385"/>
      <c r="CM51" s="385"/>
      <c r="CN51" s="385"/>
      <c r="CO51" s="385"/>
      <c r="CP51" s="385"/>
      <c r="CQ51" s="385"/>
    </row>
    <row r="52" spans="1:95" ht="24.75" customHeight="1" x14ac:dyDescent="0.25">
      <c r="A52" s="1737"/>
      <c r="B52" s="2153"/>
      <c r="C52" s="130" t="s">
        <v>93</v>
      </c>
      <c r="D52" s="179" t="s">
        <v>31</v>
      </c>
      <c r="E52" s="176" t="s">
        <v>94</v>
      </c>
      <c r="F52" s="136" t="s">
        <v>129</v>
      </c>
      <c r="G52" s="137" t="s">
        <v>94</v>
      </c>
      <c r="H52" s="136" t="s">
        <v>129</v>
      </c>
      <c r="I52" s="137" t="s">
        <v>94</v>
      </c>
      <c r="J52" s="136" t="s">
        <v>129</v>
      </c>
      <c r="K52" s="137" t="s">
        <v>94</v>
      </c>
      <c r="L52" s="130" t="s">
        <v>31</v>
      </c>
      <c r="M52" s="171" t="s">
        <v>94</v>
      </c>
      <c r="N52" s="130" t="s">
        <v>31</v>
      </c>
      <c r="O52" s="171" t="s">
        <v>94</v>
      </c>
      <c r="P52" s="130" t="s">
        <v>31</v>
      </c>
      <c r="Q52" s="171" t="s">
        <v>94</v>
      </c>
      <c r="R52" s="130" t="s">
        <v>31</v>
      </c>
      <c r="S52" s="171" t="s">
        <v>94</v>
      </c>
      <c r="T52" s="130" t="s">
        <v>31</v>
      </c>
      <c r="U52" s="178" t="s">
        <v>94</v>
      </c>
      <c r="V52" s="1135" t="s">
        <v>31</v>
      </c>
      <c r="W52" s="1128" t="s">
        <v>94</v>
      </c>
      <c r="X52" s="1135" t="s">
        <v>31</v>
      </c>
      <c r="Y52" s="354" t="s">
        <v>94</v>
      </c>
      <c r="Z52" s="1135" t="s">
        <v>31</v>
      </c>
      <c r="AA52" s="354" t="s">
        <v>94</v>
      </c>
      <c r="CJ52" s="385"/>
      <c r="CK52" s="385"/>
      <c r="CL52" s="385"/>
      <c r="CM52" s="385"/>
      <c r="CN52" s="385"/>
      <c r="CO52" s="385"/>
      <c r="CP52" s="385"/>
      <c r="CQ52" s="385"/>
    </row>
    <row r="53" spans="1:95" ht="23.25" customHeight="1" x14ac:dyDescent="0.25">
      <c r="A53" s="2108" t="s">
        <v>451</v>
      </c>
      <c r="B53" s="1327" t="s">
        <v>200</v>
      </c>
      <c r="C53" s="895">
        <f>SUM(D53:E53)</f>
        <v>0</v>
      </c>
      <c r="D53" s="896">
        <f>+F53+H53+J53+L53+N53+P53+R53+T53</f>
        <v>0</v>
      </c>
      <c r="E53" s="897">
        <f>+G53+I53+K53+M53+O53+Q53+S53+U53</f>
        <v>0</v>
      </c>
      <c r="F53" s="869"/>
      <c r="G53" s="870"/>
      <c r="H53" s="869"/>
      <c r="I53" s="870"/>
      <c r="J53" s="869"/>
      <c r="K53" s="870"/>
      <c r="L53" s="869"/>
      <c r="M53" s="870"/>
      <c r="N53" s="869"/>
      <c r="O53" s="870"/>
      <c r="P53" s="869"/>
      <c r="Q53" s="870"/>
      <c r="R53" s="869"/>
      <c r="S53" s="870"/>
      <c r="T53" s="869"/>
      <c r="U53" s="873"/>
      <c r="V53" s="886"/>
      <c r="W53" s="870"/>
      <c r="X53" s="869"/>
      <c r="Y53" s="870"/>
      <c r="Z53" s="869"/>
      <c r="AA53" s="870"/>
      <c r="AB53" s="1688" t="str">
        <f t="shared" ref="AB53:AB57" si="42">CA53&amp;CB53&amp;CC53&amp;CD53&amp;CE53&amp;CF53&amp;CG53&amp;CH53&amp;CI53</f>
        <v/>
      </c>
      <c r="BC53" s="1050"/>
      <c r="BD53" s="1050"/>
      <c r="BE53" s="1050"/>
      <c r="BF53" s="1050"/>
      <c r="BG53" s="1050"/>
      <c r="BH53" s="1050"/>
      <c r="BI53" s="1050"/>
      <c r="BJ53" s="1050"/>
      <c r="BK53" s="1050"/>
      <c r="BL53" s="1050"/>
      <c r="CC53" s="381" t="str">
        <f t="shared" ref="CC53:CC54" si="43">IF($D53&gt;=$V53,"","* El Nº de hombres de 'Pueblos Originarios' con riesgo de caída no debe ser mayor al Total hombres con riesgo de caída. ")</f>
        <v/>
      </c>
      <c r="CD53" s="381" t="str">
        <f t="shared" ref="CD53:CD54" si="44">IF($E53&gt;=$W53,"","* El Nº de mujeres de 'Pueblos Originarios' con riesgo de caída no debe ser mayor al Total mujeres con riesgo de caída. ")</f>
        <v/>
      </c>
      <c r="CE53" s="381" t="str">
        <f t="shared" ref="CE53:CE54" si="45">IF($D53&gt;=$X53,"","* El Nº de hombres de Pueblos Migrantes con riesgo de caída no debe ser mayor al Total hombres con riesgo de caída. ")</f>
        <v/>
      </c>
      <c r="CF53" s="381" t="str">
        <f t="shared" ref="CF53:CF54" si="46">IF($E53&gt;=$Y53,"","* El Nº de mujeres de Pueblos Migrantes con riesgo de caída no debe ser mayor al Total mujeres con riesgo de caída. ")</f>
        <v/>
      </c>
      <c r="CG53" s="381" t="str">
        <f t="shared" ref="CG53:CG54" si="47">IF(AND(D53&lt;&gt;0,V53=""),"* No olvide escribir en la celda de 'Pueblos Originarios' (Digite CERO si no tiene). ",IF(AND(E53&lt;&gt;0,W53=""),"* No olvide escribir en la celda de 'Pueblos Originarios' (Digite CERO si no tiene). ",""))</f>
        <v/>
      </c>
      <c r="CH53" s="381" t="str">
        <f t="shared" ref="CH53:CH54" si="48">IF(AND(D53&lt;&gt;0,X53=""),"* No olvide escribir en la celda de 'Población Migrantes' (Digite CERO si no tiene). ",IF(AND(E53&lt;&gt;0,Y53=""),"* No olvide escribir en la celda de 'Población Migrantes' (Digite CERO si no tiene). ",""))</f>
        <v/>
      </c>
      <c r="CJ53" s="391">
        <f t="shared" ref="CJ53:CJ54" si="49">IF($D53&gt;=$V53,0,1)</f>
        <v>0</v>
      </c>
      <c r="CK53" s="391">
        <f t="shared" ref="CK53:CK54" si="50">IF($E53&gt;=$W53,0,1)</f>
        <v>0</v>
      </c>
      <c r="CL53" s="391">
        <f t="shared" ref="CL53:CL54" si="51">IF($D53&gt;=$X53,0,1)</f>
        <v>0</v>
      </c>
      <c r="CM53" s="391">
        <f t="shared" ref="CM53:CM54" si="52">IF($E53&gt;=$Y53,0,1)</f>
        <v>0</v>
      </c>
      <c r="CN53" s="391">
        <f t="shared" ref="CN53:CN54" si="53">IF(AND(D53&lt;&gt;0,V53=""),1,IF(AND(E53&lt;&gt;0,W53=""),1,0))</f>
        <v>0</v>
      </c>
      <c r="CO53" s="391">
        <f t="shared" ref="CO53:CO54" si="54">IF(AND(D53&lt;&gt;0,X53=""),1,IF(AND(E53&lt;&gt;0,Y53=""),1,0))</f>
        <v>0</v>
      </c>
      <c r="CP53" s="385"/>
      <c r="CQ53" s="385"/>
    </row>
    <row r="54" spans="1:95" ht="23.25" customHeight="1" x14ac:dyDescent="0.25">
      <c r="A54" s="1982"/>
      <c r="B54" s="1328" t="s">
        <v>201</v>
      </c>
      <c r="C54" s="830">
        <f>SUM(D54:E54)</f>
        <v>0</v>
      </c>
      <c r="D54" s="898">
        <f>+F54+H54+J54+L54+N54+P54+R54+T54</f>
        <v>0</v>
      </c>
      <c r="E54" s="899">
        <f t="shared" ref="E54:E57" si="55">+G54+I54+K54+M54+O54+Q54+S54+U54</f>
        <v>0</v>
      </c>
      <c r="F54" s="877"/>
      <c r="G54" s="878"/>
      <c r="H54" s="877"/>
      <c r="I54" s="878"/>
      <c r="J54" s="877"/>
      <c r="K54" s="878"/>
      <c r="L54" s="877"/>
      <c r="M54" s="878"/>
      <c r="N54" s="877"/>
      <c r="O54" s="878"/>
      <c r="P54" s="877"/>
      <c r="Q54" s="878"/>
      <c r="R54" s="877"/>
      <c r="S54" s="878"/>
      <c r="T54" s="877"/>
      <c r="U54" s="881"/>
      <c r="V54" s="888"/>
      <c r="W54" s="878"/>
      <c r="X54" s="877"/>
      <c r="Y54" s="878"/>
      <c r="Z54" s="877"/>
      <c r="AA54" s="878"/>
      <c r="AB54" s="1688" t="str">
        <f t="shared" si="42"/>
        <v/>
      </c>
      <c r="CC54" s="381" t="str">
        <f t="shared" si="43"/>
        <v/>
      </c>
      <c r="CD54" s="381" t="str">
        <f t="shared" si="44"/>
        <v/>
      </c>
      <c r="CE54" s="381" t="str">
        <f t="shared" si="45"/>
        <v/>
      </c>
      <c r="CF54" s="381" t="str">
        <f t="shared" si="46"/>
        <v/>
      </c>
      <c r="CG54" s="381" t="str">
        <f t="shared" si="47"/>
        <v/>
      </c>
      <c r="CH54" s="381" t="str">
        <f t="shared" si="48"/>
        <v/>
      </c>
      <c r="CJ54" s="391">
        <f t="shared" si="49"/>
        <v>0</v>
      </c>
      <c r="CK54" s="391">
        <f t="shared" si="50"/>
        <v>0</v>
      </c>
      <c r="CL54" s="391">
        <f t="shared" si="51"/>
        <v>0</v>
      </c>
      <c r="CM54" s="391">
        <f t="shared" si="52"/>
        <v>0</v>
      </c>
      <c r="CN54" s="391">
        <f t="shared" si="53"/>
        <v>0</v>
      </c>
      <c r="CO54" s="391">
        <f t="shared" si="54"/>
        <v>0</v>
      </c>
      <c r="CP54" s="385"/>
      <c r="CQ54" s="385"/>
    </row>
    <row r="55" spans="1:95" ht="23.25" customHeight="1" x14ac:dyDescent="0.25">
      <c r="A55" s="1737"/>
      <c r="B55" s="1326" t="s">
        <v>202</v>
      </c>
      <c r="C55" s="882">
        <f>SUM(D55:E55)</f>
        <v>0</v>
      </c>
      <c r="D55" s="900">
        <f>+F55+H55+J55+L55+N55+P55+R55+T55</f>
        <v>0</v>
      </c>
      <c r="E55" s="901">
        <f t="shared" si="55"/>
        <v>0</v>
      </c>
      <c r="F55" s="852"/>
      <c r="G55" s="853"/>
      <c r="H55" s="852"/>
      <c r="I55" s="853"/>
      <c r="J55" s="852"/>
      <c r="K55" s="853"/>
      <c r="L55" s="852"/>
      <c r="M55" s="853"/>
      <c r="N55" s="852"/>
      <c r="O55" s="853"/>
      <c r="P55" s="852"/>
      <c r="Q55" s="853"/>
      <c r="R55" s="852"/>
      <c r="S55" s="853"/>
      <c r="T55" s="852"/>
      <c r="U55" s="856"/>
      <c r="V55" s="857"/>
      <c r="W55" s="853"/>
      <c r="X55" s="852"/>
      <c r="Y55" s="853"/>
      <c r="Z55" s="852"/>
      <c r="AA55" s="853"/>
      <c r="AB55" s="1688" t="str">
        <f t="shared" si="42"/>
        <v/>
      </c>
      <c r="CB55" s="381" t="str">
        <f>IF(SUM($C53:$C55)&gt;$C15,"* La suma de adultos mayores con Riesgo de caída deben ser menor o igual al Total Adultos Mayores con EFAM de sección A. ","")</f>
        <v/>
      </c>
      <c r="CC55" s="381" t="str">
        <f>IF($D55&gt;=$V55,"","* El Nº de hombres de 'Pueblos Originarios' con riesgo de caída no debe ser mayor al Total hombres con riesgo de caída. ")</f>
        <v/>
      </c>
      <c r="CD55" s="381" t="str">
        <f>IF($E55&gt;=$W55,"","* El Nº de mujeres de 'Pueblos Originarios' con riesgo de caída no debe ser mayor al Total mujeres con riesgo de caída. ")</f>
        <v/>
      </c>
      <c r="CE55" s="381" t="str">
        <f>IF($D55&gt;=$X55,"","* El Nº de hombres de Pueblos Migrantes con riesgo de caída no debe ser mayor al Total hombres con riesgo de caída. ")</f>
        <v/>
      </c>
      <c r="CF55" s="381" t="str">
        <f>IF($E55&gt;=$Y55,"","* El Nº de mujeres de Pueblos Migrantes con riesgo de caída no debe ser mayor al Total mujeres con riesgo de caída. ")</f>
        <v/>
      </c>
      <c r="CG55" s="381" t="str">
        <f t="shared" ref="CG55" si="56">IF(AND(D55&lt;&gt;0,V55=""),"* No olvide escribir en la celda de 'Pueblos Originarios' (Digite CERO si no tiene). ",IF(AND(E55&lt;&gt;0,W55=""),"* No olvide escribir en la celda de 'Pueblos Originarios' (Digite CERO si no tiene). ",""))</f>
        <v/>
      </c>
      <c r="CH55" s="381" t="str">
        <f t="shared" ref="CH55" si="57">IF(AND(D55&lt;&gt;0,X55=""),"* No olvide escribir en la celda de 'Población Migrantes' (Digite CERO si no tiene). ",IF(AND(E55&lt;&gt;0,Y55=""),"* No olvide escribir en la celda de 'Población Migrantes' (Digite CERO si no tiene). ",""))</f>
        <v/>
      </c>
      <c r="CJ55" s="391">
        <f>IF($D55&gt;=$V55,0,1)</f>
        <v>0</v>
      </c>
      <c r="CK55" s="391">
        <f>IF($E55&gt;=$W55,0,1)</f>
        <v>0</v>
      </c>
      <c r="CL55" s="391">
        <f>IF($D55&gt;=$X55,0,1)</f>
        <v>0</v>
      </c>
      <c r="CM55" s="391">
        <f>IF($E55&gt;=$Y55,0,1)</f>
        <v>0</v>
      </c>
      <c r="CN55" s="391">
        <f>IF(AND(D55&lt;&gt;0,V55=""),1,IF(AND(E55&lt;&gt;0,W55=""),1,0))</f>
        <v>0</v>
      </c>
      <c r="CO55" s="391">
        <f>IF(AND(D55&lt;&gt;0,X55=""),1,IF(AND(E55&lt;&gt;0,Y55=""),1,0))</f>
        <v>0</v>
      </c>
      <c r="CP55" s="391">
        <f>IF(SUM($C$53:$C$55)&gt;$C$15,1,0)</f>
        <v>0</v>
      </c>
      <c r="CQ55" s="385"/>
    </row>
    <row r="56" spans="1:95" ht="23.25" customHeight="1" x14ac:dyDescent="0.25">
      <c r="A56" s="2108" t="s">
        <v>452</v>
      </c>
      <c r="B56" s="1327" t="s">
        <v>453</v>
      </c>
      <c r="C56" s="902">
        <f>SUM(D56:E56)</f>
        <v>0</v>
      </c>
      <c r="D56" s="903">
        <f>+F56+H56+J56+L56+N56+P56+R56+T56</f>
        <v>0</v>
      </c>
      <c r="E56" s="904">
        <f t="shared" si="55"/>
        <v>0</v>
      </c>
      <c r="F56" s="905"/>
      <c r="G56" s="906"/>
      <c r="H56" s="905"/>
      <c r="I56" s="906"/>
      <c r="J56" s="905"/>
      <c r="K56" s="906"/>
      <c r="L56" s="905"/>
      <c r="M56" s="906"/>
      <c r="N56" s="905"/>
      <c r="O56" s="906"/>
      <c r="P56" s="905"/>
      <c r="Q56" s="906"/>
      <c r="R56" s="905"/>
      <c r="S56" s="906"/>
      <c r="T56" s="905"/>
      <c r="U56" s="1315"/>
      <c r="V56" s="1314"/>
      <c r="W56" s="906"/>
      <c r="X56" s="905"/>
      <c r="Y56" s="906"/>
      <c r="Z56" s="905"/>
      <c r="AA56" s="906"/>
      <c r="AB56" s="1688" t="str">
        <f t="shared" si="42"/>
        <v/>
      </c>
      <c r="CC56" s="381" t="str">
        <f t="shared" ref="CC56:CC57" si="58">IF($D56&gt;=$V56,"","* El Nº de hombres de 'Pueblos Originarios' con riesgo de caída no debe ser mayor al Total hombres con riesgo de caída. ")</f>
        <v/>
      </c>
      <c r="CD56" s="381" t="str">
        <f t="shared" ref="CD56:CD57" si="59">IF($E56&gt;=$W56,"","* El Nº de mujeres de 'Pueblos Originarios' con riesgo de caída no debe ser mayor al Total mujeres con riesgo de caída. ")</f>
        <v/>
      </c>
      <c r="CE56" s="381" t="str">
        <f t="shared" ref="CE56:CE57" si="60">IF($D56&gt;=$X56,"","* El Nº de hombres de Pueblos Migrantes con riesgo de caída no debe ser mayor al Total hombres con riesgo de caída. ")</f>
        <v/>
      </c>
      <c r="CF56" s="381" t="str">
        <f t="shared" ref="CF56:CF57" si="61">IF($E56&gt;=$Y56,"","* El Nº de mujeres de Pueblos Migrantes con riesgo de caída no debe ser mayor al Total mujeres con riesgo de caída. ")</f>
        <v/>
      </c>
      <c r="CG56" s="381" t="str">
        <f t="shared" ref="CG56:CG57" si="62">IF(AND(D56&lt;&gt;0,V56=""),"* No olvide escribir en la celda de 'Pueblos Originarios' (Digite CERO si no tiene). ",IF(AND(E56&lt;&gt;0,W56=""),"* No olvide escribir en la celda de 'Pueblos Originarios' (Digite CERO si no tiene). ",""))</f>
        <v/>
      </c>
      <c r="CH56" s="381" t="str">
        <f t="shared" ref="CH56:CH57" si="63">IF(AND(D56&lt;&gt;0,X56=""),"* No olvide escribir en la celda de 'Población Migrantes' (Digite CERO si no tiene). ",IF(AND(E56&lt;&gt;0,Y56=""),"* No olvide escribir en la celda de 'Población Migrantes' (Digite CERO si no tiene). ",""))</f>
        <v/>
      </c>
      <c r="CJ56" s="391">
        <f t="shared" ref="CJ56:CJ57" si="64">IF($D56&gt;=$V56,0,1)</f>
        <v>0</v>
      </c>
      <c r="CK56" s="391">
        <f t="shared" ref="CK56:CK57" si="65">IF($E56&gt;=$W56,0,1)</f>
        <v>0</v>
      </c>
      <c r="CL56" s="391">
        <f t="shared" ref="CL56:CL57" si="66">IF($D56&gt;=$X56,0,1)</f>
        <v>0</v>
      </c>
      <c r="CM56" s="391">
        <f t="shared" ref="CM56:CM57" si="67">IF($E56&gt;=$Y56,0,1)</f>
        <v>0</v>
      </c>
      <c r="CN56" s="391">
        <f t="shared" ref="CN56:CN57" si="68">IF(AND(D56&lt;&gt;0,V56=""),1,IF(AND(E56&lt;&gt;0,W56=""),1,0))</f>
        <v>0</v>
      </c>
      <c r="CO56" s="391">
        <f t="shared" ref="CO56:CO57" si="69">IF(AND(D56&lt;&gt;0,X56=""),1,IF(AND(E56&lt;&gt;0,Y56=""),1,0))</f>
        <v>0</v>
      </c>
      <c r="CP56" s="385"/>
      <c r="CQ56" s="385"/>
    </row>
    <row r="57" spans="1:95" ht="23.25" customHeight="1" x14ac:dyDescent="0.25">
      <c r="A57" s="1737"/>
      <c r="B57" s="1326" t="s">
        <v>418</v>
      </c>
      <c r="C57" s="907">
        <f>SUM(D57:E57)</f>
        <v>0</v>
      </c>
      <c r="D57" s="908">
        <f>+F57+H57+J57+L57+N57+P57+R57+T57</f>
        <v>0</v>
      </c>
      <c r="E57" s="909">
        <f t="shared" si="55"/>
        <v>0</v>
      </c>
      <c r="F57" s="852"/>
      <c r="G57" s="853"/>
      <c r="H57" s="852"/>
      <c r="I57" s="853"/>
      <c r="J57" s="852"/>
      <c r="K57" s="853"/>
      <c r="L57" s="852"/>
      <c r="M57" s="853"/>
      <c r="N57" s="852"/>
      <c r="O57" s="853"/>
      <c r="P57" s="852"/>
      <c r="Q57" s="853"/>
      <c r="R57" s="852"/>
      <c r="S57" s="853"/>
      <c r="T57" s="852"/>
      <c r="U57" s="856"/>
      <c r="V57" s="857"/>
      <c r="W57" s="853"/>
      <c r="X57" s="852"/>
      <c r="Y57" s="853"/>
      <c r="Z57" s="852"/>
      <c r="AA57" s="853"/>
      <c r="AB57" s="1688" t="str">
        <f t="shared" si="42"/>
        <v/>
      </c>
      <c r="CC57" s="381" t="str">
        <f t="shared" si="58"/>
        <v/>
      </c>
      <c r="CD57" s="381" t="str">
        <f t="shared" si="59"/>
        <v/>
      </c>
      <c r="CE57" s="381" t="str">
        <f t="shared" si="60"/>
        <v/>
      </c>
      <c r="CF57" s="381" t="str">
        <f t="shared" si="61"/>
        <v/>
      </c>
      <c r="CG57" s="381" t="str">
        <f t="shared" si="62"/>
        <v/>
      </c>
      <c r="CH57" s="381" t="str">
        <f t="shared" si="63"/>
        <v/>
      </c>
      <c r="CJ57" s="391">
        <f t="shared" si="64"/>
        <v>0</v>
      </c>
      <c r="CK57" s="391">
        <f t="shared" si="65"/>
        <v>0</v>
      </c>
      <c r="CL57" s="391">
        <f t="shared" si="66"/>
        <v>0</v>
      </c>
      <c r="CM57" s="391">
        <f t="shared" si="67"/>
        <v>0</v>
      </c>
      <c r="CN57" s="391">
        <f t="shared" si="68"/>
        <v>0</v>
      </c>
      <c r="CO57" s="391">
        <f t="shared" si="69"/>
        <v>0</v>
      </c>
      <c r="CP57" s="385"/>
      <c r="CQ57" s="385"/>
    </row>
    <row r="58" spans="1:95" x14ac:dyDescent="0.25">
      <c r="CJ58" s="385"/>
      <c r="CK58" s="385"/>
      <c r="CL58" s="385"/>
      <c r="CM58" s="385"/>
      <c r="CN58" s="385"/>
      <c r="CO58" s="385"/>
      <c r="CP58" s="385"/>
      <c r="CQ58" s="385"/>
    </row>
    <row r="59" spans="1:95" ht="12.75" customHeight="1" x14ac:dyDescent="0.25"/>
    <row r="81" spans="1:2" s="387" customFormat="1" ht="14.45" hidden="1" customHeight="1" x14ac:dyDescent="0.15">
      <c r="A81" s="1286">
        <f>SUM(C12:AA21, C26:AA29,C34:AA38,C43:AA43,C48:AA48,C53:AA57)</f>
        <v>0</v>
      </c>
      <c r="B81" s="381" t="s">
        <v>317</v>
      </c>
    </row>
    <row r="82" spans="1:2" s="387" customFormat="1" ht="14.45" hidden="1" customHeight="1" x14ac:dyDescent="0.15">
      <c r="A82" s="1286">
        <f>SUM(CJ12:CQ58)</f>
        <v>0</v>
      </c>
      <c r="B82" s="381" t="s">
        <v>318</v>
      </c>
    </row>
  </sheetData>
  <sheetProtection algorithmName="SHA-512" hashValue="z3SOlTF7qwJYhL/ywZMY0u4kKuyYLT9VxsKN2NgW15W4EDW+IXHDDTns4cMFgSXxxkHGq/XS5s+cHL4P4ZkhDw==" saltValue="hgMWbkvtkVwuZMK+n/ljrw==" spinCount="100000" sheet="1" objects="1" scenarios="1"/>
  <mergeCells count="115">
    <mergeCell ref="A20:B20"/>
    <mergeCell ref="A21:B21"/>
    <mergeCell ref="A35:B35"/>
    <mergeCell ref="A36:B36"/>
    <mergeCell ref="A9:B11"/>
    <mergeCell ref="A12:B12"/>
    <mergeCell ref="A13:B13"/>
    <mergeCell ref="A14:B14"/>
    <mergeCell ref="A15:B15"/>
    <mergeCell ref="A16:B16"/>
    <mergeCell ref="A17:B17"/>
    <mergeCell ref="A18:B18"/>
    <mergeCell ref="A19:B19"/>
    <mergeCell ref="A37:B37"/>
    <mergeCell ref="A38:B38"/>
    <mergeCell ref="X31:Y32"/>
    <mergeCell ref="V31:W32"/>
    <mergeCell ref="N32:O32"/>
    <mergeCell ref="F24:G24"/>
    <mergeCell ref="T32:U32"/>
    <mergeCell ref="H32:I32"/>
    <mergeCell ref="C31:E32"/>
    <mergeCell ref="A31:B33"/>
    <mergeCell ref="C23:E24"/>
    <mergeCell ref="J32:K32"/>
    <mergeCell ref="L32:M32"/>
    <mergeCell ref="P32:Q32"/>
    <mergeCell ref="R32:S32"/>
    <mergeCell ref="F31:U31"/>
    <mergeCell ref="F32:G32"/>
    <mergeCell ref="A34:B34"/>
    <mergeCell ref="A23:B25"/>
    <mergeCell ref="A26:B26"/>
    <mergeCell ref="A27:B27"/>
    <mergeCell ref="A28:B28"/>
    <mergeCell ref="A29:B29"/>
    <mergeCell ref="R24:S24"/>
    <mergeCell ref="A45:B47"/>
    <mergeCell ref="A56:A57"/>
    <mergeCell ref="C50:E51"/>
    <mergeCell ref="A53:A55"/>
    <mergeCell ref="A49:I49"/>
    <mergeCell ref="A44:H44"/>
    <mergeCell ref="H46:I46"/>
    <mergeCell ref="F40:U40"/>
    <mergeCell ref="P51:Q51"/>
    <mergeCell ref="R51:S51"/>
    <mergeCell ref="T51:U51"/>
    <mergeCell ref="L51:M51"/>
    <mergeCell ref="F50:U50"/>
    <mergeCell ref="B50:B52"/>
    <mergeCell ref="N51:O51"/>
    <mergeCell ref="N46:O46"/>
    <mergeCell ref="P46:Q46"/>
    <mergeCell ref="R46:S46"/>
    <mergeCell ref="T46:U46"/>
    <mergeCell ref="F45:U45"/>
    <mergeCell ref="J41:K41"/>
    <mergeCell ref="E7:R7"/>
    <mergeCell ref="A50:A52"/>
    <mergeCell ref="F46:G46"/>
    <mergeCell ref="F51:G51"/>
    <mergeCell ref="J51:K51"/>
    <mergeCell ref="J46:K46"/>
    <mergeCell ref="L46:M46"/>
    <mergeCell ref="H51:I51"/>
    <mergeCell ref="L41:M41"/>
    <mergeCell ref="C45:E46"/>
    <mergeCell ref="A40:B42"/>
    <mergeCell ref="H41:I41"/>
    <mergeCell ref="C9:E10"/>
    <mergeCell ref="N41:O41"/>
    <mergeCell ref="N10:O10"/>
    <mergeCell ref="L10:M10"/>
    <mergeCell ref="P10:Q10"/>
    <mergeCell ref="R10:S10"/>
    <mergeCell ref="P24:Q24"/>
    <mergeCell ref="C40:E41"/>
    <mergeCell ref="A39:G39"/>
    <mergeCell ref="A48:B48"/>
    <mergeCell ref="F41:G41"/>
    <mergeCell ref="A43:B43"/>
    <mergeCell ref="T24:U24"/>
    <mergeCell ref="V24:W24"/>
    <mergeCell ref="Z31:AA32"/>
    <mergeCell ref="Z40:AA41"/>
    <mergeCell ref="Z45:AA46"/>
    <mergeCell ref="F23:W23"/>
    <mergeCell ref="F9:U9"/>
    <mergeCell ref="Z23:AA24"/>
    <mergeCell ref="H24:I24"/>
    <mergeCell ref="J24:K24"/>
    <mergeCell ref="L24:M24"/>
    <mergeCell ref="N24:O24"/>
    <mergeCell ref="X23:Y24"/>
    <mergeCell ref="V9:W10"/>
    <mergeCell ref="X9:Y10"/>
    <mergeCell ref="F10:G10"/>
    <mergeCell ref="H10:I10"/>
    <mergeCell ref="J10:K10"/>
    <mergeCell ref="T10:U10"/>
    <mergeCell ref="Z9:AA10"/>
    <mergeCell ref="Z50:AA51"/>
    <mergeCell ref="V50:W51"/>
    <mergeCell ref="X50:Y51"/>
    <mergeCell ref="P41:Q41"/>
    <mergeCell ref="R41:S41"/>
    <mergeCell ref="T41:U41"/>
    <mergeCell ref="CL31:CM32"/>
    <mergeCell ref="CN31:CN32"/>
    <mergeCell ref="CO31:CO32"/>
    <mergeCell ref="V40:W41"/>
    <mergeCell ref="X40:Y41"/>
    <mergeCell ref="V45:W46"/>
    <mergeCell ref="X45:Y46"/>
  </mergeCells>
  <phoneticPr fontId="26" type="noConversion"/>
  <dataValidations disablePrompts="1" count="4">
    <dataValidation type="whole" allowBlank="1" showInputMessage="1" showErrorMessage="1" sqref="F26:F28" xr:uid="{6CFB1949-5F1D-42F8-8D5A-FB18E96A74B0}">
      <formula1>0</formula1>
      <formula2>1E+51</formula2>
    </dataValidation>
    <dataValidation allowBlank="1" showInputMessage="1" showErrorMessage="1" errorTitle=" Error de ingreso" error="Debe ingresar sólo números enteros positivos." sqref="BC15:BM15 BC20:BM20 BC29:BL29 BC38:BL38 BC43:BL43 BC48:BL48 BC53:BL53" xr:uid="{DAC026EF-F3C8-434F-8A5F-598F10F03DCE}"/>
    <dataValidation type="whole" allowBlank="1" showInputMessage="1" showErrorMessage="1" sqref="CB48" xr:uid="{70A44822-9916-4F78-BE93-2094BB2129AB}">
      <formula1>0</formula1>
      <formula2>100000000000000000</formula2>
    </dataValidation>
    <dataValidation type="whole" operator="greaterThanOrEqual" allowBlank="1" showInputMessage="1" showErrorMessage="1" sqref="F12:AA14 F16:AA19 G26:AA28 F34:AA37 F43:AA43 F48:AA48 F53:AA57" xr:uid="{2187FB10-EB98-4A1F-B646-411675409467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3" orientation="landscape" r:id="rId1"/>
  <rowBreaks count="1" manualBreakCount="1">
    <brk id="4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HZ146"/>
  <sheetViews>
    <sheetView showGridLines="0" zoomScaleNormal="100" workbookViewId="0">
      <selection activeCell="A7" sqref="A7:U7"/>
    </sheetView>
  </sheetViews>
  <sheetFormatPr baseColWidth="10" defaultColWidth="11.42578125" defaultRowHeight="15" x14ac:dyDescent="0.25"/>
  <cols>
    <col min="1" max="1" width="32.42578125" style="180" customWidth="1"/>
    <col min="2" max="2" width="58.85546875" style="180" customWidth="1"/>
    <col min="3" max="3" width="13.85546875" style="180" customWidth="1"/>
    <col min="4" max="45" width="10.42578125" style="180" customWidth="1"/>
    <col min="46" max="46" width="14.85546875" style="180" customWidth="1"/>
    <col min="47" max="47" width="12.42578125" style="180" customWidth="1"/>
    <col min="48" max="52" width="11.42578125" style="180"/>
    <col min="53" max="54" width="11" style="180" customWidth="1"/>
    <col min="55" max="78" width="11.42578125" style="1050"/>
    <col min="79" max="79" width="0" style="1050" hidden="1" customWidth="1"/>
    <col min="80" max="96" width="11" style="387" hidden="1" customWidth="1"/>
    <col min="97" max="99" width="11" style="1422" hidden="1" customWidth="1"/>
    <col min="100" max="116" width="11" style="387" hidden="1" customWidth="1"/>
    <col min="117" max="119" width="11" style="1422" hidden="1" customWidth="1"/>
    <col min="120" max="122" width="11" style="387" hidden="1" customWidth="1"/>
    <col min="123" max="130" width="0" style="180" hidden="1" customWidth="1"/>
    <col min="131" max="131" width="11.42578125" style="180" customWidth="1"/>
    <col min="132" max="16384" width="11.42578125" style="180"/>
  </cols>
  <sheetData>
    <row r="1" spans="1:124" s="57" customFormat="1" ht="13.5" customHeight="1" x14ac:dyDescent="0.15">
      <c r="A1" s="125" t="s">
        <v>0</v>
      </c>
      <c r="CB1" s="325"/>
      <c r="CC1" s="325"/>
      <c r="CD1" s="325"/>
      <c r="CE1" s="325"/>
      <c r="CF1" s="325"/>
      <c r="CG1" s="325"/>
      <c r="CH1" s="325"/>
      <c r="CI1" s="325"/>
      <c r="CJ1" s="325"/>
      <c r="CK1" s="325"/>
      <c r="CL1" s="325"/>
      <c r="CM1" s="325"/>
      <c r="CN1" s="325"/>
      <c r="CO1" s="325"/>
      <c r="CP1" s="325"/>
      <c r="CQ1" s="325"/>
      <c r="CR1" s="325"/>
      <c r="CS1" s="325"/>
      <c r="CT1" s="325"/>
      <c r="CU1" s="325"/>
      <c r="CV1" s="325"/>
      <c r="CW1" s="325"/>
      <c r="CX1" s="325"/>
      <c r="CY1" s="325"/>
      <c r="CZ1" s="325"/>
      <c r="DA1" s="325"/>
      <c r="DB1" s="325"/>
      <c r="DC1" s="325"/>
      <c r="DD1" s="325"/>
      <c r="DE1" s="325"/>
      <c r="DF1" s="325"/>
      <c r="DG1" s="325"/>
      <c r="DH1" s="325"/>
      <c r="DI1" s="325"/>
      <c r="DJ1" s="325"/>
      <c r="DK1" s="325"/>
      <c r="DL1" s="325"/>
      <c r="DM1" s="325"/>
      <c r="DN1" s="325"/>
      <c r="DO1" s="325"/>
      <c r="DP1" s="325"/>
      <c r="DQ1" s="325"/>
      <c r="DR1" s="325"/>
    </row>
    <row r="2" spans="1:124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CB2" s="325"/>
      <c r="CC2" s="325"/>
      <c r="CD2" s="325"/>
      <c r="CE2" s="325"/>
      <c r="CF2" s="325"/>
      <c r="CG2" s="325"/>
      <c r="CH2" s="325"/>
      <c r="CI2" s="325"/>
      <c r="CJ2" s="325"/>
      <c r="CK2" s="325"/>
      <c r="CL2" s="325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25"/>
      <c r="DB2" s="325"/>
      <c r="DC2" s="325"/>
      <c r="DD2" s="325"/>
      <c r="DE2" s="325"/>
      <c r="DF2" s="325"/>
      <c r="DG2" s="325"/>
      <c r="DH2" s="325"/>
      <c r="DI2" s="325"/>
      <c r="DJ2" s="325"/>
      <c r="DK2" s="325"/>
      <c r="DL2" s="325"/>
      <c r="DM2" s="325"/>
      <c r="DN2" s="325"/>
      <c r="DO2" s="325"/>
      <c r="DP2" s="325"/>
      <c r="DQ2" s="325"/>
      <c r="DR2" s="325"/>
    </row>
    <row r="3" spans="1:124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C3" s="126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25"/>
      <c r="DD3" s="325"/>
      <c r="DE3" s="325"/>
      <c r="DF3" s="325"/>
      <c r="DG3" s="325"/>
      <c r="DH3" s="325"/>
      <c r="DI3" s="325"/>
      <c r="DJ3" s="325"/>
      <c r="DK3" s="325"/>
      <c r="DL3" s="325"/>
      <c r="DM3" s="325"/>
      <c r="DN3" s="325"/>
      <c r="DO3" s="325"/>
      <c r="DP3" s="325"/>
      <c r="DQ3" s="325"/>
      <c r="DR3" s="325"/>
    </row>
    <row r="4" spans="1:124" s="57" customFormat="1" ht="13.5" customHeight="1" x14ac:dyDescent="0.15">
      <c r="A4" s="125" t="str">
        <f>CONCATENATE("MES: ",NOMBRE!$B$6," - ","( ",NOMBRE!$C$6,NOMBRE!$D$6," )")</f>
        <v>MES:  - (  )</v>
      </c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</row>
    <row r="5" spans="1:124" s="57" customFormat="1" ht="13.5" customHeight="1" x14ac:dyDescent="0.15">
      <c r="A5" s="125" t="str">
        <f>CONCATENATE("AÑO: ",NOMBRE!$B$7)</f>
        <v>AÑO: 2023</v>
      </c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25"/>
      <c r="DD5" s="325"/>
      <c r="DE5" s="325"/>
      <c r="DF5" s="325"/>
      <c r="DG5" s="325"/>
      <c r="DH5" s="325"/>
      <c r="DI5" s="325"/>
      <c r="DJ5" s="325"/>
      <c r="DK5" s="325"/>
      <c r="DL5" s="325"/>
      <c r="DM5" s="325"/>
      <c r="DN5" s="325"/>
      <c r="DO5" s="325"/>
      <c r="DP5" s="325"/>
      <c r="DQ5" s="325"/>
      <c r="DR5" s="325"/>
    </row>
    <row r="6" spans="1:124" s="57" customFormat="1" ht="15" customHeight="1" x14ac:dyDescent="0.15">
      <c r="A6" s="1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/>
      <c r="DD6" s="325"/>
      <c r="DE6" s="325"/>
      <c r="DF6" s="325"/>
      <c r="DG6" s="325"/>
      <c r="DH6" s="325"/>
      <c r="DI6" s="325"/>
      <c r="DJ6" s="325"/>
      <c r="DK6" s="325"/>
      <c r="DL6" s="325"/>
      <c r="DM6" s="325"/>
      <c r="DN6" s="325"/>
      <c r="DO6" s="325"/>
      <c r="DP6" s="325"/>
      <c r="DQ6" s="325"/>
      <c r="DR6" s="325"/>
    </row>
    <row r="7" spans="1:124" ht="21.75" customHeight="1" x14ac:dyDescent="0.25">
      <c r="A7" s="2233" t="s">
        <v>514</v>
      </c>
      <c r="B7" s="2233"/>
      <c r="C7" s="2233"/>
      <c r="D7" s="2233"/>
      <c r="E7" s="2233"/>
      <c r="F7" s="2233"/>
      <c r="G7" s="2233"/>
      <c r="H7" s="2233"/>
      <c r="I7" s="2233"/>
      <c r="J7" s="2233"/>
      <c r="K7" s="2233"/>
      <c r="L7" s="2233"/>
      <c r="M7" s="2233"/>
      <c r="N7" s="2233"/>
      <c r="O7" s="2233"/>
      <c r="P7" s="2233"/>
      <c r="Q7" s="2233"/>
      <c r="R7" s="2233"/>
      <c r="S7" s="2233"/>
      <c r="T7" s="2233"/>
      <c r="U7" s="2233"/>
    </row>
    <row r="8" spans="1:124" ht="43.5" customHeight="1" x14ac:dyDescent="0.25">
      <c r="A8" s="1062" t="s">
        <v>203</v>
      </c>
      <c r="B8" s="490"/>
      <c r="C8" s="490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0"/>
      <c r="O8" s="490"/>
      <c r="P8" s="490"/>
      <c r="Q8" s="490"/>
      <c r="R8" s="490"/>
      <c r="S8" s="490"/>
      <c r="T8" s="490"/>
      <c r="U8" s="490"/>
    </row>
    <row r="9" spans="1:124" ht="22.5" customHeight="1" x14ac:dyDescent="0.25">
      <c r="A9" s="2241" t="s">
        <v>204</v>
      </c>
      <c r="B9" s="2241"/>
      <c r="C9" s="2241"/>
      <c r="D9" s="2241"/>
      <c r="E9" s="2241"/>
      <c r="F9" s="2241"/>
      <c r="G9" s="2241"/>
      <c r="H9" s="2234"/>
      <c r="I9" s="2234"/>
      <c r="J9" s="2234"/>
      <c r="K9" s="2234"/>
      <c r="L9" s="2234"/>
      <c r="M9" s="2234"/>
      <c r="N9" s="2234"/>
      <c r="O9" s="2234"/>
      <c r="P9" s="1798"/>
      <c r="Q9" s="1798"/>
      <c r="R9" s="1798"/>
      <c r="S9" s="1798"/>
      <c r="T9" s="1798"/>
      <c r="U9" s="1798"/>
      <c r="V9" s="1798"/>
      <c r="W9" s="1798"/>
      <c r="X9" s="1798"/>
      <c r="Y9" s="1798"/>
      <c r="Z9" s="1798"/>
      <c r="AA9" s="1798"/>
      <c r="AB9" s="1798"/>
      <c r="AC9" s="1798"/>
      <c r="AD9" s="1798"/>
      <c r="AE9" s="1798"/>
      <c r="AF9" s="1798"/>
      <c r="AG9" s="1798"/>
      <c r="AH9" s="1798"/>
      <c r="AI9" s="1798"/>
      <c r="AJ9" s="1798"/>
      <c r="AK9" s="1798"/>
      <c r="AL9" s="1798"/>
      <c r="AM9" s="1798"/>
    </row>
    <row r="10" spans="1:124" ht="15" customHeight="1" x14ac:dyDescent="0.25">
      <c r="A10" s="2235" t="s">
        <v>151</v>
      </c>
      <c r="B10" s="2236"/>
      <c r="C10" s="2019" t="s">
        <v>104</v>
      </c>
      <c r="D10" s="2019"/>
      <c r="E10" s="2019"/>
      <c r="F10" s="2019" t="s">
        <v>14</v>
      </c>
      <c r="G10" s="2019"/>
      <c r="H10" s="2019"/>
      <c r="I10" s="2019"/>
      <c r="J10" s="2019"/>
      <c r="K10" s="2019"/>
      <c r="L10" s="2019"/>
      <c r="M10" s="2019"/>
      <c r="N10" s="2019"/>
      <c r="O10" s="2019"/>
      <c r="P10" s="2019"/>
      <c r="Q10" s="2019"/>
      <c r="R10" s="2019"/>
      <c r="S10" s="2019"/>
      <c r="T10" s="2019"/>
      <c r="U10" s="2019"/>
      <c r="V10" s="2019"/>
      <c r="W10" s="2019"/>
      <c r="X10" s="2019"/>
      <c r="Y10" s="2019"/>
      <c r="Z10" s="2019"/>
      <c r="AA10" s="2019"/>
      <c r="AB10" s="2019"/>
      <c r="AC10" s="2019"/>
      <c r="AD10" s="2019"/>
      <c r="AE10" s="2019"/>
      <c r="AF10" s="2019"/>
      <c r="AG10" s="2019"/>
      <c r="AH10" s="2019"/>
      <c r="AI10" s="2019"/>
      <c r="AJ10" s="2019"/>
      <c r="AK10" s="2019"/>
      <c r="AL10" s="2019"/>
      <c r="AM10" s="1975"/>
      <c r="AN10" s="2264" t="s">
        <v>205</v>
      </c>
      <c r="AO10" s="2253" t="s">
        <v>356</v>
      </c>
      <c r="AP10" s="1796" t="s">
        <v>15</v>
      </c>
      <c r="AQ10" s="1797"/>
      <c r="AR10" s="1796" t="s">
        <v>814</v>
      </c>
      <c r="AS10" s="1797"/>
      <c r="AT10" s="2245" t="s">
        <v>719</v>
      </c>
      <c r="AU10" s="2245" t="s">
        <v>690</v>
      </c>
      <c r="AV10" s="2245" t="s">
        <v>574</v>
      </c>
      <c r="AW10" s="2257" t="s">
        <v>829</v>
      </c>
      <c r="AX10" s="2245"/>
      <c r="CY10" s="385"/>
      <c r="CZ10" s="385"/>
      <c r="DA10" s="385"/>
      <c r="DB10" s="385"/>
      <c r="DC10" s="385"/>
      <c r="DD10" s="385"/>
      <c r="DE10" s="385"/>
      <c r="DF10" s="385"/>
      <c r="DG10" s="385"/>
      <c r="DH10" s="385"/>
      <c r="DI10" s="385"/>
      <c r="DJ10" s="385"/>
      <c r="DK10" s="385"/>
      <c r="DL10" s="385"/>
      <c r="DM10" s="1423"/>
      <c r="DN10" s="1423"/>
      <c r="DO10" s="1423"/>
      <c r="DP10" s="1423"/>
    </row>
    <row r="11" spans="1:124" s="59" customFormat="1" ht="30.75" customHeight="1" x14ac:dyDescent="0.25">
      <c r="A11" s="2237"/>
      <c r="B11" s="2238"/>
      <c r="C11" s="2019"/>
      <c r="D11" s="2019"/>
      <c r="E11" s="2019"/>
      <c r="F11" s="1976" t="s">
        <v>206</v>
      </c>
      <c r="G11" s="1975"/>
      <c r="H11" s="2019" t="s">
        <v>207</v>
      </c>
      <c r="I11" s="1975"/>
      <c r="J11" s="1968" t="s">
        <v>128</v>
      </c>
      <c r="K11" s="1969"/>
      <c r="L11" s="1968" t="s">
        <v>17</v>
      </c>
      <c r="M11" s="1969"/>
      <c r="N11" s="1968" t="s">
        <v>18</v>
      </c>
      <c r="O11" s="1969"/>
      <c r="P11" s="1968" t="s">
        <v>19</v>
      </c>
      <c r="Q11" s="1969"/>
      <c r="R11" s="1968" t="s">
        <v>20</v>
      </c>
      <c r="S11" s="1969"/>
      <c r="T11" s="1968" t="s">
        <v>21</v>
      </c>
      <c r="U11" s="1969"/>
      <c r="V11" s="1968" t="s">
        <v>22</v>
      </c>
      <c r="W11" s="1969"/>
      <c r="X11" s="1968" t="s">
        <v>23</v>
      </c>
      <c r="Y11" s="1969"/>
      <c r="Z11" s="1968" t="s">
        <v>24</v>
      </c>
      <c r="AA11" s="1969"/>
      <c r="AB11" s="1968" t="s">
        <v>208</v>
      </c>
      <c r="AC11" s="1969"/>
      <c r="AD11" s="1968" t="s">
        <v>209</v>
      </c>
      <c r="AE11" s="1969"/>
      <c r="AF11" s="1970" t="s">
        <v>181</v>
      </c>
      <c r="AG11" s="1971"/>
      <c r="AH11" s="1970" t="s">
        <v>182</v>
      </c>
      <c r="AI11" s="1971"/>
      <c r="AJ11" s="1970" t="s">
        <v>183</v>
      </c>
      <c r="AK11" s="1971"/>
      <c r="AL11" s="2242" t="s">
        <v>195</v>
      </c>
      <c r="AM11" s="2243"/>
      <c r="AN11" s="2265"/>
      <c r="AO11" s="2254"/>
      <c r="AP11" s="1798"/>
      <c r="AQ11" s="1799"/>
      <c r="AR11" s="1798"/>
      <c r="AS11" s="1799"/>
      <c r="AT11" s="2256"/>
      <c r="AU11" s="2256"/>
      <c r="AV11" s="2256"/>
      <c r="AW11" s="2258"/>
      <c r="AX11" s="2247"/>
      <c r="AY11" s="180"/>
      <c r="AZ11" s="180"/>
      <c r="BA11" s="180"/>
      <c r="BB11" s="180"/>
      <c r="CB11" s="1599" t="s">
        <v>205</v>
      </c>
      <c r="CC11" s="1599" t="s">
        <v>571</v>
      </c>
      <c r="CD11" s="2262" t="s">
        <v>541</v>
      </c>
      <c r="CE11" s="2263"/>
      <c r="CF11" s="2262" t="s">
        <v>542</v>
      </c>
      <c r="CG11" s="2263"/>
      <c r="CH11" s="2260" t="s">
        <v>544</v>
      </c>
      <c r="CI11" s="2260" t="s">
        <v>883</v>
      </c>
      <c r="CJ11" s="387"/>
      <c r="CK11" s="2262" t="s">
        <v>884</v>
      </c>
      <c r="CL11" s="2263"/>
      <c r="CM11" s="387"/>
      <c r="CN11" s="1622" t="s">
        <v>205</v>
      </c>
      <c r="CO11" s="1622" t="s">
        <v>540</v>
      </c>
      <c r="CP11" s="1622" t="s">
        <v>544</v>
      </c>
      <c r="CQ11" s="1622" t="s">
        <v>541</v>
      </c>
      <c r="CR11" s="1622" t="s">
        <v>542</v>
      </c>
      <c r="CS11" s="1622" t="s">
        <v>885</v>
      </c>
      <c r="CT11" s="333"/>
      <c r="CU11" s="333"/>
      <c r="CV11" s="387"/>
      <c r="CW11" s="387"/>
      <c r="CX11" s="387"/>
      <c r="CY11" s="443"/>
      <c r="CZ11" s="443"/>
      <c r="DA11" s="1620" t="s">
        <v>205</v>
      </c>
      <c r="DB11" s="1620" t="s">
        <v>571</v>
      </c>
      <c r="DC11" s="1619" t="s">
        <v>541</v>
      </c>
      <c r="DD11" s="1619" t="s">
        <v>541</v>
      </c>
      <c r="DE11" s="1619" t="s">
        <v>542</v>
      </c>
      <c r="DF11" s="1619" t="s">
        <v>542</v>
      </c>
      <c r="DG11" s="1620" t="s">
        <v>544</v>
      </c>
      <c r="DH11" s="1620" t="s">
        <v>883</v>
      </c>
      <c r="DI11" s="385"/>
      <c r="DJ11" s="1619" t="s">
        <v>249</v>
      </c>
      <c r="DK11" s="1619" t="s">
        <v>249</v>
      </c>
      <c r="DL11" s="1619" t="s">
        <v>205</v>
      </c>
      <c r="DM11" s="1619" t="s">
        <v>540</v>
      </c>
      <c r="DN11" s="1619" t="s">
        <v>544</v>
      </c>
      <c r="DO11" s="1619" t="s">
        <v>541</v>
      </c>
      <c r="DP11" s="1619" t="s">
        <v>542</v>
      </c>
      <c r="DQ11" s="1619" t="s">
        <v>249</v>
      </c>
      <c r="DR11" s="347"/>
      <c r="DS11" s="347"/>
      <c r="DT11" s="1423"/>
    </row>
    <row r="12" spans="1:124" s="59" customFormat="1" ht="27" customHeight="1" x14ac:dyDescent="0.25">
      <c r="A12" s="2239"/>
      <c r="B12" s="2240"/>
      <c r="C12" s="181" t="s">
        <v>93</v>
      </c>
      <c r="D12" s="395" t="s">
        <v>31</v>
      </c>
      <c r="E12" s="390" t="s">
        <v>94</v>
      </c>
      <c r="F12" s="389" t="s">
        <v>31</v>
      </c>
      <c r="G12" s="390" t="s">
        <v>94</v>
      </c>
      <c r="H12" s="389" t="s">
        <v>31</v>
      </c>
      <c r="I12" s="390" t="s">
        <v>94</v>
      </c>
      <c r="J12" s="389" t="s">
        <v>31</v>
      </c>
      <c r="K12" s="390" t="s">
        <v>94</v>
      </c>
      <c r="L12" s="389" t="s">
        <v>31</v>
      </c>
      <c r="M12" s="390" t="s">
        <v>94</v>
      </c>
      <c r="N12" s="389" t="s">
        <v>31</v>
      </c>
      <c r="O12" s="390" t="s">
        <v>94</v>
      </c>
      <c r="P12" s="389" t="s">
        <v>31</v>
      </c>
      <c r="Q12" s="390" t="s">
        <v>94</v>
      </c>
      <c r="R12" s="389" t="s">
        <v>31</v>
      </c>
      <c r="S12" s="390" t="s">
        <v>94</v>
      </c>
      <c r="T12" s="389" t="s">
        <v>31</v>
      </c>
      <c r="U12" s="390" t="s">
        <v>94</v>
      </c>
      <c r="V12" s="389" t="s">
        <v>31</v>
      </c>
      <c r="W12" s="390" t="s">
        <v>94</v>
      </c>
      <c r="X12" s="389" t="s">
        <v>31</v>
      </c>
      <c r="Y12" s="390" t="s">
        <v>94</v>
      </c>
      <c r="Z12" s="389" t="s">
        <v>31</v>
      </c>
      <c r="AA12" s="390" t="s">
        <v>94</v>
      </c>
      <c r="AB12" s="389" t="s">
        <v>31</v>
      </c>
      <c r="AC12" s="390" t="s">
        <v>94</v>
      </c>
      <c r="AD12" s="389" t="s">
        <v>31</v>
      </c>
      <c r="AE12" s="390" t="s">
        <v>94</v>
      </c>
      <c r="AF12" s="136" t="s">
        <v>129</v>
      </c>
      <c r="AG12" s="137" t="s">
        <v>94</v>
      </c>
      <c r="AH12" s="136" t="s">
        <v>129</v>
      </c>
      <c r="AI12" s="137" t="s">
        <v>94</v>
      </c>
      <c r="AJ12" s="136" t="s">
        <v>129</v>
      </c>
      <c r="AK12" s="137" t="s">
        <v>94</v>
      </c>
      <c r="AL12" s="130" t="s">
        <v>31</v>
      </c>
      <c r="AM12" s="182" t="s">
        <v>94</v>
      </c>
      <c r="AN12" s="2246"/>
      <c r="AO12" s="2255"/>
      <c r="AP12" s="1135" t="s">
        <v>31</v>
      </c>
      <c r="AQ12" s="1128" t="s">
        <v>94</v>
      </c>
      <c r="AR12" s="1135" t="s">
        <v>31</v>
      </c>
      <c r="AS12" s="1128" t="s">
        <v>94</v>
      </c>
      <c r="AT12" s="2247"/>
      <c r="AU12" s="2247"/>
      <c r="AV12" s="2247"/>
      <c r="AW12" s="1388" t="s">
        <v>463</v>
      </c>
      <c r="AX12" s="1388" t="s">
        <v>830</v>
      </c>
      <c r="AY12" s="180"/>
      <c r="AZ12" s="180"/>
      <c r="BA12" s="180"/>
      <c r="BB12" s="180"/>
      <c r="CB12" s="1586"/>
      <c r="CC12" s="1586"/>
      <c r="CD12" s="1621" t="s">
        <v>31</v>
      </c>
      <c r="CE12" s="1621" t="s">
        <v>94</v>
      </c>
      <c r="CF12" s="1621" t="s">
        <v>31</v>
      </c>
      <c r="CG12" s="1621" t="s">
        <v>94</v>
      </c>
      <c r="CH12" s="2261"/>
      <c r="CI12" s="2261"/>
      <c r="CJ12" s="387"/>
      <c r="CK12" s="1621" t="s">
        <v>463</v>
      </c>
      <c r="CL12" s="1621" t="s">
        <v>464</v>
      </c>
      <c r="CM12" s="387"/>
      <c r="CN12" s="1621" t="s">
        <v>543</v>
      </c>
      <c r="CO12" s="1621" t="s">
        <v>543</v>
      </c>
      <c r="CP12" s="1621" t="s">
        <v>543</v>
      </c>
      <c r="CQ12" s="1621" t="s">
        <v>543</v>
      </c>
      <c r="CR12" s="1621" t="s">
        <v>543</v>
      </c>
      <c r="CS12" s="1621" t="s">
        <v>543</v>
      </c>
      <c r="CT12" s="333"/>
      <c r="CU12" s="333"/>
      <c r="CV12" s="387"/>
      <c r="CW12" s="387"/>
      <c r="CX12" s="387"/>
      <c r="CY12" s="970"/>
      <c r="CZ12" s="970"/>
      <c r="DA12" s="1084"/>
      <c r="DB12" s="1084"/>
      <c r="DC12" s="1618" t="s">
        <v>31</v>
      </c>
      <c r="DD12" s="1618" t="s">
        <v>94</v>
      </c>
      <c r="DE12" s="1618" t="s">
        <v>31</v>
      </c>
      <c r="DF12" s="1618" t="s">
        <v>94</v>
      </c>
      <c r="DG12" s="1084"/>
      <c r="DH12" s="1084"/>
      <c r="DI12" s="385"/>
      <c r="DJ12" s="1618" t="s">
        <v>463</v>
      </c>
      <c r="DK12" s="1618" t="s">
        <v>464</v>
      </c>
      <c r="DL12" s="1618" t="s">
        <v>543</v>
      </c>
      <c r="DM12" s="1618" t="s">
        <v>543</v>
      </c>
      <c r="DN12" s="1618" t="s">
        <v>543</v>
      </c>
      <c r="DO12" s="1618" t="s">
        <v>543</v>
      </c>
      <c r="DP12" s="1618" t="s">
        <v>543</v>
      </c>
      <c r="DQ12" s="1618" t="s">
        <v>543</v>
      </c>
      <c r="DR12" s="347"/>
      <c r="DS12" s="347"/>
      <c r="DT12" s="1423"/>
    </row>
    <row r="13" spans="1:124" s="59" customFormat="1" ht="22.5" customHeight="1" x14ac:dyDescent="0.25">
      <c r="A13" s="2186" t="s">
        <v>459</v>
      </c>
      <c r="B13" s="2196"/>
      <c r="C13" s="773">
        <f>SUM(D13:E13)</f>
        <v>0</v>
      </c>
      <c r="D13" s="773">
        <f>+F13+H13+J13+L13+N13+P13+R13+T13+V13+X13+Z13+AB13+AD13+AF13+AH13+AJ13+AL13</f>
        <v>0</v>
      </c>
      <c r="E13" s="807">
        <f>+G13+I13+K13+M13+O13+Q13+S13+U13+W13+Y13+AA13+AC13+AE13+AG13+AI13+AK13+AM13</f>
        <v>0</v>
      </c>
      <c r="F13" s="819"/>
      <c r="G13" s="910"/>
      <c r="H13" s="819"/>
      <c r="I13" s="911"/>
      <c r="J13" s="821"/>
      <c r="K13" s="910"/>
      <c r="L13" s="819"/>
      <c r="M13" s="911"/>
      <c r="N13" s="819"/>
      <c r="O13" s="911"/>
      <c r="P13" s="819"/>
      <c r="Q13" s="911"/>
      <c r="R13" s="819"/>
      <c r="S13" s="911"/>
      <c r="T13" s="819"/>
      <c r="U13" s="911"/>
      <c r="V13" s="819"/>
      <c r="W13" s="911"/>
      <c r="X13" s="821"/>
      <c r="Y13" s="910"/>
      <c r="Z13" s="819"/>
      <c r="AA13" s="911"/>
      <c r="AB13" s="819"/>
      <c r="AC13" s="911"/>
      <c r="AD13" s="819"/>
      <c r="AE13" s="911"/>
      <c r="AF13" s="819"/>
      <c r="AG13" s="911"/>
      <c r="AH13" s="819"/>
      <c r="AI13" s="911"/>
      <c r="AJ13" s="819"/>
      <c r="AK13" s="911"/>
      <c r="AL13" s="821"/>
      <c r="AM13" s="910"/>
      <c r="AN13" s="1167"/>
      <c r="AO13" s="1172"/>
      <c r="AP13" s="1140"/>
      <c r="AQ13" s="911"/>
      <c r="AR13" s="1140"/>
      <c r="AS13" s="911"/>
      <c r="AT13" s="1141"/>
      <c r="AU13" s="1141"/>
      <c r="AV13" s="820"/>
      <c r="AW13" s="820"/>
      <c r="AX13" s="820"/>
      <c r="AY13" s="1688" t="str">
        <f>CA13&amp;CB13&amp;CC13&amp;CD13&amp;CE13&amp;CF13&amp;CG13&amp;CH13&amp;CI13&amp;CJ13&amp;CK13&amp;CL13&amp;CM13&amp;CN13&amp;CO13&amp;CP13&amp;CQ13&amp;CR13&amp;CS13&amp;CT13&amp;CU13&amp;CV13&amp;CW13</f>
        <v/>
      </c>
      <c r="AZ13" s="183"/>
      <c r="BA13" s="183"/>
      <c r="BB13" s="180"/>
      <c r="CB13" s="381" t="str">
        <f>IF($AN13&gt;$E13,"* La celda 'Gestantes' debe ser menor o igual al Total de Mujeres en control. ","")</f>
        <v/>
      </c>
      <c r="CC13" s="381" t="str">
        <f>IF($AO13&gt;$E13,"* La celda 'Madres de Hijos menor de 5 años' debe ser menor o igual al Total de Mujeres en control. ","")</f>
        <v/>
      </c>
      <c r="CD13" s="381" t="str">
        <f>IF(($AP13)&gt;$D13,"* La celda 'Pueblos Originarios / Hombres' debe ser menor o igual al Total de Hombres en control. ","")</f>
        <v/>
      </c>
      <c r="CE13" s="381" t="str">
        <f>IF($AQ13&gt;$E13,"* La celda 'Pueblos Originarios / Mujeres' debe ser menor o igual al Total de Mujeres en control. ","")</f>
        <v/>
      </c>
      <c r="CF13" s="381" t="str">
        <f>IF(($AR13)&gt;$D13,"* La celda 'Población Migrantes / Hombres' debe ser menor o igual al Total de Hombres en control. ","")</f>
        <v/>
      </c>
      <c r="CG13" s="381" t="str">
        <f>IF($AS13&gt;$E13,"* La celda 'Población Migrantes / Mujeres' debe ser menor o igual al Total de Mujeres en control. ","")</f>
        <v/>
      </c>
      <c r="CH13" s="381" t="str">
        <f>IF($AT13&gt;$C13,"* La celda 'Niños, Niñas, Adolescentes y Jóvenes de Población SENAME' debe ser menor o igual al Total de Ambos Sexos. ","")</f>
        <v/>
      </c>
      <c r="CI13" s="381" t="str">
        <f>IF($AU13&gt;$C13,"* La celda 'Niños, Niñas, Adolescentes y Jóvenes Mejor Niñez' debe ser menor o igual al Total de Ambos Sexos. ","")</f>
        <v/>
      </c>
      <c r="CJ13" s="387"/>
      <c r="CK13" s="381" t="str">
        <f>IF(($AW13+$AX13)&gt;$C13,"* La Suma de Trans Masculino y Femenino debe ser menor o igual al Total de Personas en control. ","")</f>
        <v/>
      </c>
      <c r="CL13" s="387"/>
      <c r="CM13" s="387"/>
      <c r="CN13" s="381" t="str">
        <f>IF(AND($C13&lt;&gt;0,$AN13=""),"* No olvide escribir en la celda de 'Gestantes' (Digite CERO si no tiene). ","")</f>
        <v/>
      </c>
      <c r="CO13" s="381" t="str">
        <f>IF(AND($C13&lt;&gt;0,$AO13=""),"* No olvide escribir en la celda de 'Madres de Hijos menor de 5 años' (Digite CERO si no tiene). ","")</f>
        <v/>
      </c>
      <c r="CP13" s="381" t="str">
        <f>IF(AND($C13&lt;&gt;0,$AT13=""),"* No olvide escribir en la celda de 'Niños, Niñas, Adolescentes y Jóvenes de Población SENAME' (Digite CERO si no tiene). ","")</f>
        <v/>
      </c>
      <c r="CQ13" s="381" t="str">
        <f>IF(AND($D13&lt;&gt;0,$AP13=""),"* No olvide escribir en las celdas de 'Pueblos Originarios' (Digite CERO si no tiene). ",IF(AND($E13&lt;&gt;0,$AQ13=""),"* No olvide escribir en las celdas de 'Pueblos Originarios' (Digite CERO si no tiene). ",""))</f>
        <v/>
      </c>
      <c r="CR13" s="381" t="str">
        <f>IF(AND($D13&lt;&gt;0,$AR13=""),"* No olvide escribir en las celdas de 'Población Migrantes' (Digite CERO si no tiene). ",IF(AND($E13&lt;&gt;0,$AS13=""),"* No olvide escribir en las celdas de 'Población Migrantes' (Digite CERO si no tiene). ",""))</f>
        <v/>
      </c>
      <c r="CS13" s="381" t="str">
        <f>IF(AND($D13&lt;&gt;0,$AW13=""),"* No olvide escribir en las celdas 'TRANS' (Digite CERO si no tiene). ",IF(AND($E13&lt;&gt;0,$AX13=""),"* No olvide escribir en las celdas 'TRANS' (Digite CERO si no tiene). ",""))</f>
        <v/>
      </c>
      <c r="CT13" s="333"/>
      <c r="CU13" s="333"/>
      <c r="CV13" s="387"/>
      <c r="CW13" s="387"/>
      <c r="CX13" s="387"/>
      <c r="CY13" s="385"/>
      <c r="CZ13" s="385"/>
      <c r="DA13" s="391">
        <f>IF($AN13&gt;$E13,1,0)</f>
        <v>0</v>
      </c>
      <c r="DB13" s="391">
        <f>IF($AO13&gt;$E13,1,0)</f>
        <v>0</v>
      </c>
      <c r="DC13" s="391">
        <f>IF(($AP13)&gt;$D13,1,0)</f>
        <v>0</v>
      </c>
      <c r="DD13" s="391">
        <f>IF($AQ13&gt;$E13,1,0)</f>
        <v>0</v>
      </c>
      <c r="DE13" s="391">
        <f>IF(($AR13)&gt;$D13,1,0)</f>
        <v>0</v>
      </c>
      <c r="DF13" s="391">
        <f>IF($AS13&gt;$E13,1,0)</f>
        <v>0</v>
      </c>
      <c r="DG13" s="391">
        <f>IF($AT13&gt;$C13,1,0)</f>
        <v>0</v>
      </c>
      <c r="DH13" s="391">
        <f>IF($AU13&gt;$C13,1,0)</f>
        <v>0</v>
      </c>
      <c r="DI13" s="385"/>
      <c r="DJ13" s="391">
        <f>IF(($AW13+$AX13)&gt;$C13,1,0)</f>
        <v>0</v>
      </c>
      <c r="DK13" s="385"/>
      <c r="DL13" s="391">
        <f>IF(AND($C13&lt;&gt;0,$AN13=""),1,0)</f>
        <v>0</v>
      </c>
      <c r="DM13" s="391">
        <f>IF(AND($C13&lt;&gt;0,$AO13=""),1,0)</f>
        <v>0</v>
      </c>
      <c r="DN13" s="391">
        <f>IF(AND($C13&lt;&gt;0,$AT13=""),1,0)</f>
        <v>0</v>
      </c>
      <c r="DO13" s="391">
        <f>IF(AND($D13&lt;&gt;0,$AP13=""),1,IF(AND($E13&lt;&gt;0,$AQ13=""),1,0))</f>
        <v>0</v>
      </c>
      <c r="DP13" s="391">
        <f>IF(AND($D13&lt;&gt;0,$AR13=""),1,IF(AND($E13&lt;&gt;0,$AS13=""),1,0))</f>
        <v>0</v>
      </c>
      <c r="DQ13" s="391">
        <f>IF(AND($D13&lt;&gt;0,$AW13=""),1,IF(AND($E13&lt;&gt;0,$AX13=""),1,0))</f>
        <v>0</v>
      </c>
      <c r="DR13" s="347"/>
      <c r="DS13" s="347"/>
      <c r="DT13" s="1423"/>
    </row>
    <row r="14" spans="1:124" s="146" customFormat="1" ht="15.75" customHeight="1" x14ac:dyDescent="0.25">
      <c r="A14" s="2186" t="s">
        <v>211</v>
      </c>
      <c r="B14" s="2187"/>
      <c r="C14" s="1520"/>
      <c r="D14" s="1521"/>
      <c r="E14" s="1522"/>
      <c r="F14" s="1520"/>
      <c r="G14" s="1522"/>
      <c r="H14" s="1520"/>
      <c r="I14" s="1522"/>
      <c r="J14" s="1520"/>
      <c r="K14" s="1522"/>
      <c r="L14" s="1520"/>
      <c r="M14" s="1522"/>
      <c r="N14" s="1520"/>
      <c r="O14" s="1522"/>
      <c r="P14" s="1520"/>
      <c r="Q14" s="1522"/>
      <c r="R14" s="1520"/>
      <c r="S14" s="1522"/>
      <c r="T14" s="1520"/>
      <c r="U14" s="1522"/>
      <c r="V14" s="1523"/>
      <c r="W14" s="1522"/>
      <c r="X14" s="1520"/>
      <c r="Y14" s="1522"/>
      <c r="Z14" s="1520"/>
      <c r="AA14" s="1522"/>
      <c r="AB14" s="1520"/>
      <c r="AC14" s="1522"/>
      <c r="AD14" s="1520"/>
      <c r="AE14" s="1522"/>
      <c r="AF14" s="1520"/>
      <c r="AG14" s="1522"/>
      <c r="AH14" s="1520"/>
      <c r="AI14" s="1522"/>
      <c r="AJ14" s="1520"/>
      <c r="AK14" s="1522"/>
      <c r="AL14" s="1520"/>
      <c r="AM14" s="1524"/>
      <c r="AN14" s="1540"/>
      <c r="AO14" s="1526"/>
      <c r="AP14" s="1523"/>
      <c r="AQ14" s="1522"/>
      <c r="AR14" s="1523"/>
      <c r="AS14" s="1522"/>
      <c r="AT14" s="1541"/>
      <c r="AU14" s="1541"/>
      <c r="AV14" s="1528"/>
      <c r="AW14" s="1528"/>
      <c r="AX14" s="1528"/>
      <c r="AY14" s="1687"/>
      <c r="AZ14" s="183"/>
      <c r="BA14" s="183"/>
      <c r="BB14" s="180"/>
      <c r="CB14" s="387"/>
      <c r="CC14" s="387"/>
      <c r="CD14" s="387"/>
      <c r="CE14" s="387"/>
      <c r="CF14" s="387"/>
      <c r="CG14" s="387"/>
      <c r="CH14" s="387"/>
      <c r="CI14" s="387"/>
      <c r="CJ14" s="387"/>
      <c r="CK14" s="387"/>
      <c r="CL14" s="387"/>
      <c r="CM14" s="387"/>
      <c r="CN14" s="387"/>
      <c r="CO14" s="387"/>
      <c r="CP14" s="387"/>
      <c r="CQ14" s="387"/>
      <c r="CR14" s="387"/>
      <c r="CS14" s="491"/>
      <c r="CT14" s="491"/>
      <c r="CU14" s="491"/>
      <c r="CV14" s="387"/>
      <c r="CW14" s="387"/>
      <c r="CX14" s="387"/>
      <c r="CY14" s="385"/>
      <c r="CZ14" s="385"/>
      <c r="DA14" s="385"/>
      <c r="DB14" s="385"/>
      <c r="DC14" s="385"/>
      <c r="DD14" s="385"/>
      <c r="DE14" s="385"/>
      <c r="DF14" s="385"/>
      <c r="DG14" s="385"/>
      <c r="DH14" s="385"/>
      <c r="DI14" s="385"/>
      <c r="DJ14" s="385"/>
      <c r="DK14" s="385"/>
      <c r="DL14" s="385"/>
      <c r="DM14" s="385"/>
      <c r="DN14" s="385"/>
      <c r="DO14" s="385"/>
      <c r="DP14" s="385"/>
      <c r="DQ14" s="492"/>
      <c r="DR14" s="492"/>
      <c r="DS14" s="492"/>
      <c r="DT14" s="1423"/>
    </row>
    <row r="15" spans="1:124" s="146" customFormat="1" ht="19.5" customHeight="1" x14ac:dyDescent="0.25">
      <c r="A15" s="2184" t="s">
        <v>398</v>
      </c>
      <c r="B15" s="184" t="s">
        <v>212</v>
      </c>
      <c r="C15" s="722">
        <f t="shared" ref="C15:C20" si="0">SUM(D15:E15)</f>
        <v>0</v>
      </c>
      <c r="D15" s="723">
        <f t="shared" ref="D15:D23" si="1">+F15+H15+J15+L15+N15+P15+R15+T15+V15+X15+Z15+AB15+AD15+AF15+AH15+AJ15+AL15</f>
        <v>0</v>
      </c>
      <c r="E15" s="913">
        <f t="shared" ref="E15:E23" si="2">+G15+I15+K15+M15+O15+Q15+S15+U15+W15+Y15+AA15+AC15+AE15+AG15+AI15+AK15+AM15</f>
        <v>0</v>
      </c>
      <c r="F15" s="731"/>
      <c r="G15" s="732"/>
      <c r="H15" s="731"/>
      <c r="I15" s="732"/>
      <c r="J15" s="731"/>
      <c r="K15" s="732"/>
      <c r="L15" s="731"/>
      <c r="M15" s="732"/>
      <c r="N15" s="731"/>
      <c r="O15" s="732"/>
      <c r="P15" s="731"/>
      <c r="Q15" s="732"/>
      <c r="R15" s="731"/>
      <c r="S15" s="732"/>
      <c r="T15" s="731"/>
      <c r="U15" s="732"/>
      <c r="V15" s="731"/>
      <c r="W15" s="732"/>
      <c r="X15" s="731"/>
      <c r="Y15" s="732"/>
      <c r="Z15" s="731"/>
      <c r="AA15" s="732"/>
      <c r="AB15" s="731"/>
      <c r="AC15" s="732"/>
      <c r="AD15" s="731"/>
      <c r="AE15" s="732"/>
      <c r="AF15" s="731"/>
      <c r="AG15" s="732"/>
      <c r="AH15" s="731"/>
      <c r="AI15" s="732"/>
      <c r="AJ15" s="731"/>
      <c r="AK15" s="732"/>
      <c r="AL15" s="731"/>
      <c r="AM15" s="743"/>
      <c r="AN15" s="1168"/>
      <c r="AO15" s="1152"/>
      <c r="AP15" s="810"/>
      <c r="AQ15" s="732"/>
      <c r="AR15" s="810"/>
      <c r="AS15" s="732"/>
      <c r="AT15" s="809"/>
      <c r="AU15" s="809"/>
      <c r="AV15" s="809"/>
      <c r="AW15" s="809"/>
      <c r="AX15" s="809"/>
      <c r="AY15" s="1688" t="str">
        <f t="shared" ref="AY15:AY54" si="3">CA15&amp;CB15&amp;CC15&amp;CD15&amp;CE15&amp;CF15&amp;CG15&amp;CH15&amp;CI15&amp;CJ15&amp;CK15&amp;CL15&amp;CM15&amp;CN15&amp;CO15&amp;CP15&amp;CQ15&amp;CR15&amp;CS15&amp;CT15&amp;CU15&amp;CV15&amp;CW15</f>
        <v/>
      </c>
      <c r="AZ15" s="183"/>
      <c r="BA15" s="183"/>
      <c r="BB15" s="180"/>
      <c r="CB15" s="381" t="str">
        <f t="shared" ref="CB15:CB23" si="4">IF($AN15&gt;$E15,"* La celda 'Gestantes' debe ser menor o igual al Total de Mujeres en control. ","")</f>
        <v/>
      </c>
      <c r="CC15" s="381" t="str">
        <f t="shared" ref="CC15:CC24" si="5">IF($AO15&gt;$E15,"* La celda 'Madres de Hijos menor de 5 años' debe ser menor o igual al Total de Mujeres en control. ","")</f>
        <v/>
      </c>
      <c r="CD15" s="381" t="str">
        <f t="shared" ref="CD15:CD23" si="6">IF(($AP15)&gt;$D15,"* La celda 'Pueblos Originarios / Hombres' debe ser menor o igual al Total de Hombres en control. ","")</f>
        <v/>
      </c>
      <c r="CE15" s="381" t="str">
        <f t="shared" ref="CE15:CE54" si="7">IF($AQ15&gt;$E15,"* La celda 'Pueblos Originarios / Mujeres' debe ser menor o igual al Total de Mujeres en control. ","")</f>
        <v/>
      </c>
      <c r="CF15" s="381" t="str">
        <f t="shared" ref="CF15:CF23" si="8">IF(($AR15)&gt;$D15,"* La celda 'Población Migrantes / Hombres' debe ser menor o igual al Total de Hombres en control. ","")</f>
        <v/>
      </c>
      <c r="CG15" s="381" t="str">
        <f t="shared" ref="CG15:CG54" si="9">IF($AS15&gt;$E15,"* La celda 'Población Migrantes / Mujeres' debe ser menor o igual al Total de Mujeres en control. ","")</f>
        <v/>
      </c>
      <c r="CH15" s="381" t="str">
        <f t="shared" ref="CH15:CH54" si="10">IF($AT15&gt;$C15,"* La celda 'Niños, Niñas, Adolescentes y Jóvenes de Población SENAME' debe ser menor o igual al Total de Ambos Sexos. ","")</f>
        <v/>
      </c>
      <c r="CI15" s="381" t="str">
        <f t="shared" ref="CI15:CI54" si="11">IF($AU15&gt;$C15,"* La celda 'Niños, Niñas, Adolescentes y Jóvenes Mejor Niñez' debe ser menor o igual al Total de Ambos Sexos. ","")</f>
        <v/>
      </c>
      <c r="CJ15" s="387"/>
      <c r="CK15" s="381" t="str">
        <f t="shared" ref="CK15:CK54" si="12">IF(($AW15+$AX15)&gt;$C15,"* La Suma de Trans Masculino y Femenino debe ser menor o igual al Total de Personas en control. ","")</f>
        <v/>
      </c>
      <c r="CL15" s="387"/>
      <c r="CM15" s="387"/>
      <c r="CN15" s="381" t="str">
        <f t="shared" ref="CN15:CN23" si="13">IF(AND($C15&lt;&gt;0,$AN15=""),"* No olvide escribir en la celda de 'Gestantes' (Digite CERO si no tiene). ","")</f>
        <v/>
      </c>
      <c r="CO15" s="381" t="str">
        <f t="shared" ref="CO15:CO23" si="14">IF(AND($C15&lt;&gt;0,$AO15=""),"* No olvide escribir en la celda de 'Madres de Hijos menor de 5 años' (Digite CERO si no tiene). ","")</f>
        <v/>
      </c>
      <c r="CP15" s="381" t="str">
        <f t="shared" ref="CP15:CP23" si="15">IF(AND($C15&lt;&gt;0,$AT15=""),"* No olvide escribir en la celda de 'Niños, Niñas, Adolescentes y Jóvenes de Población SENAME' (Digite CERO si no tiene). ","")</f>
        <v/>
      </c>
      <c r="CQ15" s="381" t="str">
        <f t="shared" ref="CQ15:CQ23" si="16">IF(AND($D15&lt;&gt;0,$AP15=""),"* No olvide escribir en las celdas de 'Pueblos Originarios' (Digite CERO si no tiene). ",IF(AND($E15&lt;&gt;0,$AQ15=""),"* No olvide escribir en las celdas de 'Pueblos Originarios' (Digite CERO si no tiene). ",""))</f>
        <v/>
      </c>
      <c r="CR15" s="381" t="str">
        <f t="shared" ref="CR15:CR23" si="17">IF(AND($D15&lt;&gt;0,$AR15=""),"* No olvide escribir en las celdas de 'Población Migrantes' (Digite CERO si no tiene). ",IF(AND($E15&lt;&gt;0,$AS15=""),"* No olvide escribir en las celdas de 'Población Migrantes' (Digite CERO si no tiene). ",""))</f>
        <v/>
      </c>
      <c r="CS15" s="381" t="str">
        <f t="shared" ref="CS15:CS54" si="18">IF(AND($D15&lt;&gt;0,$AW15=""),"* No olvide escribir en las celdas 'TRANS' (Digite CERO si no tiene). ",IF(AND($E15&lt;&gt;0,$AX15=""),"* No olvide escribir en las celdas 'TRANS' (Digite CERO si no tiene). ",""))</f>
        <v/>
      </c>
      <c r="CT15" s="491"/>
      <c r="CU15" s="491"/>
      <c r="CV15" s="387"/>
      <c r="CW15" s="387"/>
      <c r="CX15" s="387"/>
      <c r="CY15" s="385"/>
      <c r="CZ15" s="385"/>
      <c r="DA15" s="391">
        <f t="shared" ref="DA15:DA23" si="19">IF($AN15&gt;$E15,1,0)</f>
        <v>0</v>
      </c>
      <c r="DB15" s="391">
        <f t="shared" ref="DB15:DB30" si="20">IF($AO15&gt;$E15,1,0)</f>
        <v>0</v>
      </c>
      <c r="DC15" s="391">
        <f t="shared" ref="DC15:DC23" si="21">IF(($AP15)&gt;$D15,1,0)</f>
        <v>0</v>
      </c>
      <c r="DD15" s="391">
        <f t="shared" ref="DD15:DD54" si="22">IF($AQ15&gt;$E15,1,0)</f>
        <v>0</v>
      </c>
      <c r="DE15" s="391">
        <f t="shared" ref="DE15:DE23" si="23">IF(($AR15)&gt;$D15,1,0)</f>
        <v>0</v>
      </c>
      <c r="DF15" s="391">
        <f t="shared" ref="DF15:DF54" si="24">IF($AS15&gt;$E15,1,0)</f>
        <v>0</v>
      </c>
      <c r="DG15" s="391">
        <f t="shared" ref="DG15:DG54" si="25">IF($AT15&gt;$C15,1,0)</f>
        <v>0</v>
      </c>
      <c r="DH15" s="391">
        <f t="shared" ref="DH15:DH54" si="26">IF($AU15&gt;$C15,1,0)</f>
        <v>0</v>
      </c>
      <c r="DI15" s="385"/>
      <c r="DJ15" s="391">
        <f t="shared" ref="DJ15:DJ54" si="27">IF(($AW15+$AX15)&gt;$C15,1,0)</f>
        <v>0</v>
      </c>
      <c r="DK15" s="385"/>
      <c r="DL15" s="391">
        <f t="shared" ref="DL15:DL23" si="28">IF(AND($C15&lt;&gt;0,$AN15=""),1,0)</f>
        <v>0</v>
      </c>
      <c r="DM15" s="391">
        <f t="shared" ref="DM15:DM30" si="29">IF(AND($C15&lt;&gt;0,$AO15=""),1,0)</f>
        <v>0</v>
      </c>
      <c r="DN15" s="391">
        <f t="shared" ref="DN15:DN54" si="30">IF(AND($C15&lt;&gt;0,$AT15=""),1,0)</f>
        <v>0</v>
      </c>
      <c r="DO15" s="391">
        <f t="shared" ref="DO15:DO23" si="31">IF(AND($D15&lt;&gt;0,$AP15=""),1,IF(AND($E15&lt;&gt;0,$AQ15=""),1,0))</f>
        <v>0</v>
      </c>
      <c r="DP15" s="391">
        <f t="shared" ref="DP15:DP23" si="32">IF(AND($D15&lt;&gt;0,$AR15=""),1,IF(AND($E15&lt;&gt;0,$AS15=""),1,0))</f>
        <v>0</v>
      </c>
      <c r="DQ15" s="391">
        <f t="shared" ref="DQ15:DQ54" si="33">IF(AND($D15&lt;&gt;0,$AW15=""),1,IF(AND($E15&lt;&gt;0,$AX15=""),1,0))</f>
        <v>0</v>
      </c>
      <c r="DR15" s="492"/>
      <c r="DS15" s="492"/>
      <c r="DT15" s="1423"/>
    </row>
    <row r="16" spans="1:124" s="146" customFormat="1" ht="19.5" customHeight="1" x14ac:dyDescent="0.25">
      <c r="A16" s="2185"/>
      <c r="B16" s="185" t="s">
        <v>397</v>
      </c>
      <c r="C16" s="719">
        <f t="shared" si="0"/>
        <v>0</v>
      </c>
      <c r="D16" s="728">
        <f t="shared" si="1"/>
        <v>0</v>
      </c>
      <c r="E16" s="914">
        <f t="shared" si="2"/>
        <v>0</v>
      </c>
      <c r="F16" s="740"/>
      <c r="G16" s="741"/>
      <c r="H16" s="740"/>
      <c r="I16" s="741"/>
      <c r="J16" s="740"/>
      <c r="K16" s="741"/>
      <c r="L16" s="740"/>
      <c r="M16" s="741"/>
      <c r="N16" s="740"/>
      <c r="O16" s="741"/>
      <c r="P16" s="740"/>
      <c r="Q16" s="741"/>
      <c r="R16" s="740"/>
      <c r="S16" s="741"/>
      <c r="T16" s="740"/>
      <c r="U16" s="741"/>
      <c r="V16" s="740"/>
      <c r="W16" s="741"/>
      <c r="X16" s="740"/>
      <c r="Y16" s="741"/>
      <c r="Z16" s="740"/>
      <c r="AA16" s="741"/>
      <c r="AB16" s="740"/>
      <c r="AC16" s="741"/>
      <c r="AD16" s="740"/>
      <c r="AE16" s="741"/>
      <c r="AF16" s="740"/>
      <c r="AG16" s="741"/>
      <c r="AH16" s="740"/>
      <c r="AI16" s="741"/>
      <c r="AJ16" s="740"/>
      <c r="AK16" s="741"/>
      <c r="AL16" s="740"/>
      <c r="AM16" s="771"/>
      <c r="AN16" s="1169"/>
      <c r="AO16" s="1155"/>
      <c r="AP16" s="812"/>
      <c r="AQ16" s="741"/>
      <c r="AR16" s="812"/>
      <c r="AS16" s="741"/>
      <c r="AT16" s="785"/>
      <c r="AU16" s="785"/>
      <c r="AV16" s="785"/>
      <c r="AW16" s="785"/>
      <c r="AX16" s="785"/>
      <c r="AY16" s="1688" t="str">
        <f t="shared" si="3"/>
        <v/>
      </c>
      <c r="AZ16" s="183"/>
      <c r="BA16" s="183"/>
      <c r="BB16" s="180"/>
      <c r="CB16" s="381" t="str">
        <f t="shared" si="4"/>
        <v/>
      </c>
      <c r="CC16" s="381" t="str">
        <f t="shared" si="5"/>
        <v/>
      </c>
      <c r="CD16" s="381" t="str">
        <f t="shared" si="6"/>
        <v/>
      </c>
      <c r="CE16" s="381" t="str">
        <f t="shared" si="7"/>
        <v/>
      </c>
      <c r="CF16" s="381" t="str">
        <f t="shared" si="8"/>
        <v/>
      </c>
      <c r="CG16" s="381" t="str">
        <f t="shared" si="9"/>
        <v/>
      </c>
      <c r="CH16" s="381" t="str">
        <f t="shared" si="10"/>
        <v/>
      </c>
      <c r="CI16" s="381" t="str">
        <f t="shared" si="11"/>
        <v/>
      </c>
      <c r="CJ16" s="387"/>
      <c r="CK16" s="381" t="str">
        <f t="shared" si="12"/>
        <v/>
      </c>
      <c r="CL16" s="387"/>
      <c r="CM16" s="387"/>
      <c r="CN16" s="381" t="str">
        <f t="shared" si="13"/>
        <v/>
      </c>
      <c r="CO16" s="381" t="str">
        <f t="shared" si="14"/>
        <v/>
      </c>
      <c r="CP16" s="381" t="str">
        <f t="shared" si="15"/>
        <v/>
      </c>
      <c r="CQ16" s="381" t="str">
        <f t="shared" si="16"/>
        <v/>
      </c>
      <c r="CR16" s="381" t="str">
        <f t="shared" si="17"/>
        <v/>
      </c>
      <c r="CS16" s="381" t="str">
        <f t="shared" si="18"/>
        <v/>
      </c>
      <c r="CT16" s="491"/>
      <c r="CU16" s="491"/>
      <c r="CV16" s="387"/>
      <c r="CW16" s="387"/>
      <c r="CX16" s="387"/>
      <c r="CY16" s="385"/>
      <c r="CZ16" s="385"/>
      <c r="DA16" s="391">
        <f t="shared" si="19"/>
        <v>0</v>
      </c>
      <c r="DB16" s="391">
        <f t="shared" si="20"/>
        <v>0</v>
      </c>
      <c r="DC16" s="391">
        <f t="shared" si="21"/>
        <v>0</v>
      </c>
      <c r="DD16" s="391">
        <f t="shared" si="22"/>
        <v>0</v>
      </c>
      <c r="DE16" s="391">
        <f t="shared" si="23"/>
        <v>0</v>
      </c>
      <c r="DF16" s="391">
        <f t="shared" si="24"/>
        <v>0</v>
      </c>
      <c r="DG16" s="391">
        <f t="shared" si="25"/>
        <v>0</v>
      </c>
      <c r="DH16" s="391">
        <f t="shared" si="26"/>
        <v>0</v>
      </c>
      <c r="DI16" s="385"/>
      <c r="DJ16" s="391">
        <f t="shared" si="27"/>
        <v>0</v>
      </c>
      <c r="DK16" s="385"/>
      <c r="DL16" s="391">
        <f t="shared" si="28"/>
        <v>0</v>
      </c>
      <c r="DM16" s="391">
        <f t="shared" si="29"/>
        <v>0</v>
      </c>
      <c r="DN16" s="391">
        <f t="shared" si="30"/>
        <v>0</v>
      </c>
      <c r="DO16" s="391">
        <f t="shared" si="31"/>
        <v>0</v>
      </c>
      <c r="DP16" s="391">
        <f t="shared" si="32"/>
        <v>0</v>
      </c>
      <c r="DQ16" s="391">
        <f t="shared" si="33"/>
        <v>0</v>
      </c>
      <c r="DR16" s="492"/>
      <c r="DS16" s="492"/>
      <c r="DT16" s="1423"/>
    </row>
    <row r="17" spans="1:124" s="146" customFormat="1" ht="19.5" customHeight="1" x14ac:dyDescent="0.25">
      <c r="A17" s="2182" t="s">
        <v>213</v>
      </c>
      <c r="B17" s="2183"/>
      <c r="C17" s="745">
        <f t="shared" si="0"/>
        <v>0</v>
      </c>
      <c r="D17" s="923">
        <f t="shared" si="1"/>
        <v>0</v>
      </c>
      <c r="E17" s="924">
        <f t="shared" si="2"/>
        <v>0</v>
      </c>
      <c r="F17" s="751"/>
      <c r="G17" s="752"/>
      <c r="H17" s="751"/>
      <c r="I17" s="752"/>
      <c r="J17" s="751"/>
      <c r="K17" s="752"/>
      <c r="L17" s="751"/>
      <c r="M17" s="752"/>
      <c r="N17" s="751"/>
      <c r="O17" s="752"/>
      <c r="P17" s="751"/>
      <c r="Q17" s="752"/>
      <c r="R17" s="751"/>
      <c r="S17" s="752"/>
      <c r="T17" s="751"/>
      <c r="U17" s="752"/>
      <c r="V17" s="751"/>
      <c r="W17" s="752"/>
      <c r="X17" s="751"/>
      <c r="Y17" s="752"/>
      <c r="Z17" s="751"/>
      <c r="AA17" s="752"/>
      <c r="AB17" s="751"/>
      <c r="AC17" s="752"/>
      <c r="AD17" s="751"/>
      <c r="AE17" s="752"/>
      <c r="AF17" s="751"/>
      <c r="AG17" s="752"/>
      <c r="AH17" s="751"/>
      <c r="AI17" s="752"/>
      <c r="AJ17" s="751"/>
      <c r="AK17" s="752"/>
      <c r="AL17" s="751"/>
      <c r="AM17" s="753"/>
      <c r="AN17" s="1170"/>
      <c r="AO17" s="1173"/>
      <c r="AP17" s="811"/>
      <c r="AQ17" s="752"/>
      <c r="AR17" s="811"/>
      <c r="AS17" s="752"/>
      <c r="AT17" s="925"/>
      <c r="AU17" s="925"/>
      <c r="AV17" s="925"/>
      <c r="AW17" s="925"/>
      <c r="AX17" s="925"/>
      <c r="AY17" s="1688" t="str">
        <f t="shared" si="3"/>
        <v/>
      </c>
      <c r="AZ17" s="183"/>
      <c r="BA17" s="183"/>
      <c r="BB17" s="180"/>
      <c r="CB17" s="381" t="str">
        <f t="shared" si="4"/>
        <v/>
      </c>
      <c r="CC17" s="381" t="str">
        <f t="shared" si="5"/>
        <v/>
      </c>
      <c r="CD17" s="381" t="str">
        <f t="shared" si="6"/>
        <v/>
      </c>
      <c r="CE17" s="381" t="str">
        <f t="shared" si="7"/>
        <v/>
      </c>
      <c r="CF17" s="381" t="str">
        <f t="shared" si="8"/>
        <v/>
      </c>
      <c r="CG17" s="381" t="str">
        <f t="shared" si="9"/>
        <v/>
      </c>
      <c r="CH17" s="381" t="str">
        <f t="shared" si="10"/>
        <v/>
      </c>
      <c r="CI17" s="381" t="str">
        <f t="shared" si="11"/>
        <v/>
      </c>
      <c r="CJ17" s="387"/>
      <c r="CK17" s="381" t="str">
        <f t="shared" si="12"/>
        <v/>
      </c>
      <c r="CL17" s="387"/>
      <c r="CM17" s="387"/>
      <c r="CN17" s="381" t="str">
        <f t="shared" si="13"/>
        <v/>
      </c>
      <c r="CO17" s="381" t="str">
        <f t="shared" si="14"/>
        <v/>
      </c>
      <c r="CP17" s="381" t="str">
        <f t="shared" si="15"/>
        <v/>
      </c>
      <c r="CQ17" s="381" t="str">
        <f t="shared" si="16"/>
        <v/>
      </c>
      <c r="CR17" s="381" t="str">
        <f t="shared" si="17"/>
        <v/>
      </c>
      <c r="CS17" s="381" t="str">
        <f t="shared" si="18"/>
        <v/>
      </c>
      <c r="CT17" s="491"/>
      <c r="CU17" s="491"/>
      <c r="CV17" s="387"/>
      <c r="CW17" s="387"/>
      <c r="CX17" s="387"/>
      <c r="CY17" s="385"/>
      <c r="CZ17" s="385"/>
      <c r="DA17" s="391">
        <f t="shared" si="19"/>
        <v>0</v>
      </c>
      <c r="DB17" s="391">
        <f t="shared" si="20"/>
        <v>0</v>
      </c>
      <c r="DC17" s="391">
        <f t="shared" si="21"/>
        <v>0</v>
      </c>
      <c r="DD17" s="391">
        <f t="shared" si="22"/>
        <v>0</v>
      </c>
      <c r="DE17" s="391">
        <f t="shared" si="23"/>
        <v>0</v>
      </c>
      <c r="DF17" s="391">
        <f t="shared" si="24"/>
        <v>0</v>
      </c>
      <c r="DG17" s="391">
        <f t="shared" si="25"/>
        <v>0</v>
      </c>
      <c r="DH17" s="391">
        <f t="shared" si="26"/>
        <v>0</v>
      </c>
      <c r="DI17" s="385"/>
      <c r="DJ17" s="391">
        <f t="shared" si="27"/>
        <v>0</v>
      </c>
      <c r="DK17" s="385"/>
      <c r="DL17" s="391">
        <f t="shared" si="28"/>
        <v>0</v>
      </c>
      <c r="DM17" s="391">
        <f t="shared" si="29"/>
        <v>0</v>
      </c>
      <c r="DN17" s="391">
        <f t="shared" si="30"/>
        <v>0</v>
      </c>
      <c r="DO17" s="391">
        <f t="shared" si="31"/>
        <v>0</v>
      </c>
      <c r="DP17" s="391">
        <f t="shared" si="32"/>
        <v>0</v>
      </c>
      <c r="DQ17" s="391">
        <f t="shared" si="33"/>
        <v>0</v>
      </c>
      <c r="DR17" s="492"/>
      <c r="DS17" s="492"/>
      <c r="DT17" s="1423"/>
    </row>
    <row r="18" spans="1:124" s="146" customFormat="1" ht="22.15" customHeight="1" x14ac:dyDescent="0.25">
      <c r="A18" s="2108" t="s">
        <v>550</v>
      </c>
      <c r="B18" s="1424" t="s">
        <v>551</v>
      </c>
      <c r="C18" s="715">
        <f t="shared" si="0"/>
        <v>0</v>
      </c>
      <c r="D18" s="715">
        <f>+H18+J18+L18+N18+P18+R18+T18+V18+X18+Z18+AB18+AD18+AF18+AH18+AJ18+AL18</f>
        <v>0</v>
      </c>
      <c r="E18" s="922">
        <f>+I18+K18+M18+O18+Q18+S18+U18+W18+Y18+AA18+AC18+AE18+AG18+AI18+AK18+AM18</f>
        <v>0</v>
      </c>
      <c r="F18" s="776"/>
      <c r="G18" s="777"/>
      <c r="H18" s="731"/>
      <c r="I18" s="732"/>
      <c r="J18" s="731"/>
      <c r="K18" s="732"/>
      <c r="L18" s="731"/>
      <c r="M18" s="732"/>
      <c r="N18" s="731"/>
      <c r="O18" s="732"/>
      <c r="P18" s="731"/>
      <c r="Q18" s="732"/>
      <c r="R18" s="731"/>
      <c r="S18" s="732"/>
      <c r="T18" s="731"/>
      <c r="U18" s="732"/>
      <c r="V18" s="731"/>
      <c r="W18" s="732"/>
      <c r="X18" s="731"/>
      <c r="Y18" s="732"/>
      <c r="Z18" s="731"/>
      <c r="AA18" s="732"/>
      <c r="AB18" s="731"/>
      <c r="AC18" s="732"/>
      <c r="AD18" s="731"/>
      <c r="AE18" s="732"/>
      <c r="AF18" s="731"/>
      <c r="AG18" s="732"/>
      <c r="AH18" s="731"/>
      <c r="AI18" s="732"/>
      <c r="AJ18" s="731"/>
      <c r="AK18" s="732"/>
      <c r="AL18" s="731"/>
      <c r="AM18" s="743"/>
      <c r="AN18" s="1168"/>
      <c r="AO18" s="1152"/>
      <c r="AP18" s="810"/>
      <c r="AQ18" s="732"/>
      <c r="AR18" s="810"/>
      <c r="AS18" s="732"/>
      <c r="AT18" s="809"/>
      <c r="AU18" s="809"/>
      <c r="AV18" s="809"/>
      <c r="AW18" s="809"/>
      <c r="AX18" s="809"/>
      <c r="AY18" s="1688" t="str">
        <f t="shared" si="3"/>
        <v/>
      </c>
      <c r="AZ18" s="183"/>
      <c r="BA18" s="183"/>
      <c r="BB18" s="180"/>
      <c r="CB18" s="381" t="str">
        <f t="shared" si="4"/>
        <v/>
      </c>
      <c r="CC18" s="381" t="str">
        <f t="shared" si="5"/>
        <v/>
      </c>
      <c r="CD18" s="381" t="str">
        <f t="shared" si="6"/>
        <v/>
      </c>
      <c r="CE18" s="381" t="str">
        <f t="shared" si="7"/>
        <v/>
      </c>
      <c r="CF18" s="381" t="str">
        <f t="shared" si="8"/>
        <v/>
      </c>
      <c r="CG18" s="381" t="str">
        <f t="shared" si="9"/>
        <v/>
      </c>
      <c r="CH18" s="381" t="str">
        <f t="shared" si="10"/>
        <v/>
      </c>
      <c r="CI18" s="381" t="str">
        <f t="shared" si="11"/>
        <v/>
      </c>
      <c r="CJ18" s="387"/>
      <c r="CK18" s="381" t="str">
        <f t="shared" si="12"/>
        <v/>
      </c>
      <c r="CL18" s="387"/>
      <c r="CM18" s="387"/>
      <c r="CN18" s="381" t="str">
        <f t="shared" si="13"/>
        <v/>
      </c>
      <c r="CO18" s="381" t="str">
        <f t="shared" si="14"/>
        <v/>
      </c>
      <c r="CP18" s="381" t="str">
        <f t="shared" si="15"/>
        <v/>
      </c>
      <c r="CQ18" s="381" t="str">
        <f t="shared" si="16"/>
        <v/>
      </c>
      <c r="CR18" s="381" t="str">
        <f t="shared" si="17"/>
        <v/>
      </c>
      <c r="CS18" s="381" t="str">
        <f t="shared" si="18"/>
        <v/>
      </c>
      <c r="CT18" s="491"/>
      <c r="CU18" s="491"/>
      <c r="CV18" s="387"/>
      <c r="CW18" s="387"/>
      <c r="CX18" s="387"/>
      <c r="CY18" s="385"/>
      <c r="CZ18" s="385"/>
      <c r="DA18" s="391">
        <f t="shared" si="19"/>
        <v>0</v>
      </c>
      <c r="DB18" s="391">
        <f t="shared" si="20"/>
        <v>0</v>
      </c>
      <c r="DC18" s="391">
        <f t="shared" si="21"/>
        <v>0</v>
      </c>
      <c r="DD18" s="391">
        <f t="shared" si="22"/>
        <v>0</v>
      </c>
      <c r="DE18" s="391">
        <f t="shared" si="23"/>
        <v>0</v>
      </c>
      <c r="DF18" s="391">
        <f t="shared" si="24"/>
        <v>0</v>
      </c>
      <c r="DG18" s="391">
        <f t="shared" si="25"/>
        <v>0</v>
      </c>
      <c r="DH18" s="391">
        <f t="shared" si="26"/>
        <v>0</v>
      </c>
      <c r="DI18" s="385"/>
      <c r="DJ18" s="391">
        <f t="shared" si="27"/>
        <v>0</v>
      </c>
      <c r="DK18" s="385"/>
      <c r="DL18" s="391">
        <f t="shared" si="28"/>
        <v>0</v>
      </c>
      <c r="DM18" s="391">
        <f t="shared" si="29"/>
        <v>0</v>
      </c>
      <c r="DN18" s="391">
        <f t="shared" si="30"/>
        <v>0</v>
      </c>
      <c r="DO18" s="391">
        <f t="shared" si="31"/>
        <v>0</v>
      </c>
      <c r="DP18" s="391">
        <f t="shared" si="32"/>
        <v>0</v>
      </c>
      <c r="DQ18" s="391">
        <f t="shared" si="33"/>
        <v>0</v>
      </c>
      <c r="DR18" s="492"/>
      <c r="DS18" s="492"/>
      <c r="DT18" s="1423"/>
    </row>
    <row r="19" spans="1:124" s="146" customFormat="1" ht="19.5" customHeight="1" x14ac:dyDescent="0.25">
      <c r="A19" s="1737"/>
      <c r="B19" s="1389" t="s">
        <v>552</v>
      </c>
      <c r="C19" s="923">
        <f t="shared" si="0"/>
        <v>0</v>
      </c>
      <c r="D19" s="923">
        <f>+H19+J19+L19+N19+P19+R19+T19+V19+X19+Z19+AB19+AD19+AF19+AH19+AJ19+AL19</f>
        <v>0</v>
      </c>
      <c r="E19" s="924">
        <f>+I19+K19+M19+O19+Q19+S19+U19+W19+Y19+AA19+AC19+AE19+AG19+AI19+AK19+AM19</f>
        <v>0</v>
      </c>
      <c r="F19" s="982"/>
      <c r="G19" s="983"/>
      <c r="H19" s="751"/>
      <c r="I19" s="752"/>
      <c r="J19" s="751"/>
      <c r="K19" s="752"/>
      <c r="L19" s="751"/>
      <c r="M19" s="752"/>
      <c r="N19" s="751"/>
      <c r="O19" s="752"/>
      <c r="P19" s="751"/>
      <c r="Q19" s="752"/>
      <c r="R19" s="751"/>
      <c r="S19" s="752"/>
      <c r="T19" s="751"/>
      <c r="U19" s="752"/>
      <c r="V19" s="751"/>
      <c r="W19" s="752"/>
      <c r="X19" s="751"/>
      <c r="Y19" s="752"/>
      <c r="Z19" s="751"/>
      <c r="AA19" s="752"/>
      <c r="AB19" s="751"/>
      <c r="AC19" s="752"/>
      <c r="AD19" s="751"/>
      <c r="AE19" s="752"/>
      <c r="AF19" s="751"/>
      <c r="AG19" s="752"/>
      <c r="AH19" s="751"/>
      <c r="AI19" s="752"/>
      <c r="AJ19" s="751"/>
      <c r="AK19" s="752"/>
      <c r="AL19" s="751"/>
      <c r="AM19" s="753"/>
      <c r="AN19" s="1170"/>
      <c r="AO19" s="1173"/>
      <c r="AP19" s="811"/>
      <c r="AQ19" s="752"/>
      <c r="AR19" s="811"/>
      <c r="AS19" s="752"/>
      <c r="AT19" s="925"/>
      <c r="AU19" s="925"/>
      <c r="AV19" s="925"/>
      <c r="AW19" s="925"/>
      <c r="AX19" s="925"/>
      <c r="AY19" s="1688" t="str">
        <f t="shared" si="3"/>
        <v/>
      </c>
      <c r="AZ19" s="183"/>
      <c r="BA19" s="183"/>
      <c r="BB19" s="180"/>
      <c r="CB19" s="381" t="str">
        <f t="shared" si="4"/>
        <v/>
      </c>
      <c r="CC19" s="381" t="str">
        <f t="shared" si="5"/>
        <v/>
      </c>
      <c r="CD19" s="381" t="str">
        <f t="shared" si="6"/>
        <v/>
      </c>
      <c r="CE19" s="381" t="str">
        <f t="shared" si="7"/>
        <v/>
      </c>
      <c r="CF19" s="381" t="str">
        <f t="shared" si="8"/>
        <v/>
      </c>
      <c r="CG19" s="381" t="str">
        <f t="shared" si="9"/>
        <v/>
      </c>
      <c r="CH19" s="381" t="str">
        <f t="shared" si="10"/>
        <v/>
      </c>
      <c r="CI19" s="381" t="str">
        <f t="shared" si="11"/>
        <v/>
      </c>
      <c r="CJ19" s="387"/>
      <c r="CK19" s="381" t="str">
        <f t="shared" si="12"/>
        <v/>
      </c>
      <c r="CL19" s="387"/>
      <c r="CM19" s="387"/>
      <c r="CN19" s="381" t="str">
        <f t="shared" si="13"/>
        <v/>
      </c>
      <c r="CO19" s="381" t="str">
        <f t="shared" si="14"/>
        <v/>
      </c>
      <c r="CP19" s="381" t="str">
        <f t="shared" si="15"/>
        <v/>
      </c>
      <c r="CQ19" s="381" t="str">
        <f t="shared" si="16"/>
        <v/>
      </c>
      <c r="CR19" s="381" t="str">
        <f t="shared" si="17"/>
        <v/>
      </c>
      <c r="CS19" s="381" t="str">
        <f t="shared" si="18"/>
        <v/>
      </c>
      <c r="CT19" s="491"/>
      <c r="CU19" s="491"/>
      <c r="CV19" s="387"/>
      <c r="CW19" s="387"/>
      <c r="CX19" s="387"/>
      <c r="CY19" s="385"/>
      <c r="CZ19" s="385"/>
      <c r="DA19" s="391">
        <f t="shared" si="19"/>
        <v>0</v>
      </c>
      <c r="DB19" s="391">
        <f t="shared" si="20"/>
        <v>0</v>
      </c>
      <c r="DC19" s="391">
        <f t="shared" si="21"/>
        <v>0</v>
      </c>
      <c r="DD19" s="391">
        <f t="shared" si="22"/>
        <v>0</v>
      </c>
      <c r="DE19" s="391">
        <f t="shared" si="23"/>
        <v>0</v>
      </c>
      <c r="DF19" s="391">
        <f t="shared" si="24"/>
        <v>0</v>
      </c>
      <c r="DG19" s="391">
        <f t="shared" si="25"/>
        <v>0</v>
      </c>
      <c r="DH19" s="391">
        <f t="shared" si="26"/>
        <v>0</v>
      </c>
      <c r="DI19" s="385"/>
      <c r="DJ19" s="391">
        <f t="shared" si="27"/>
        <v>0</v>
      </c>
      <c r="DK19" s="385"/>
      <c r="DL19" s="391">
        <f t="shared" si="28"/>
        <v>0</v>
      </c>
      <c r="DM19" s="391">
        <f t="shared" si="29"/>
        <v>0</v>
      </c>
      <c r="DN19" s="391">
        <f t="shared" si="30"/>
        <v>0</v>
      </c>
      <c r="DO19" s="391">
        <f t="shared" si="31"/>
        <v>0</v>
      </c>
      <c r="DP19" s="391">
        <f t="shared" si="32"/>
        <v>0</v>
      </c>
      <c r="DQ19" s="391">
        <f t="shared" si="33"/>
        <v>0</v>
      </c>
      <c r="DR19" s="492"/>
      <c r="DS19" s="492"/>
      <c r="DT19" s="1423"/>
    </row>
    <row r="20" spans="1:124" s="146" customFormat="1" ht="15.75" customHeight="1" x14ac:dyDescent="0.25">
      <c r="A20" s="2186" t="s">
        <v>339</v>
      </c>
      <c r="B20" s="2204"/>
      <c r="C20" s="772">
        <f t="shared" si="0"/>
        <v>0</v>
      </c>
      <c r="D20" s="773">
        <f t="shared" si="1"/>
        <v>0</v>
      </c>
      <c r="E20" s="807">
        <f t="shared" si="2"/>
        <v>0</v>
      </c>
      <c r="F20" s="819"/>
      <c r="G20" s="911"/>
      <c r="H20" s="819"/>
      <c r="I20" s="911"/>
      <c r="J20" s="819"/>
      <c r="K20" s="911"/>
      <c r="L20" s="819"/>
      <c r="M20" s="911"/>
      <c r="N20" s="819"/>
      <c r="O20" s="911"/>
      <c r="P20" s="819"/>
      <c r="Q20" s="911"/>
      <c r="R20" s="819"/>
      <c r="S20" s="911"/>
      <c r="T20" s="819"/>
      <c r="U20" s="911"/>
      <c r="V20" s="819"/>
      <c r="W20" s="911"/>
      <c r="X20" s="819"/>
      <c r="Y20" s="911"/>
      <c r="Z20" s="819"/>
      <c r="AA20" s="911"/>
      <c r="AB20" s="819"/>
      <c r="AC20" s="911"/>
      <c r="AD20" s="819"/>
      <c r="AE20" s="911"/>
      <c r="AF20" s="819"/>
      <c r="AG20" s="911"/>
      <c r="AH20" s="819"/>
      <c r="AI20" s="911"/>
      <c r="AJ20" s="819"/>
      <c r="AK20" s="911"/>
      <c r="AL20" s="819"/>
      <c r="AM20" s="912"/>
      <c r="AN20" s="1167"/>
      <c r="AO20" s="1172"/>
      <c r="AP20" s="1140"/>
      <c r="AQ20" s="911"/>
      <c r="AR20" s="1140"/>
      <c r="AS20" s="911"/>
      <c r="AT20" s="1141"/>
      <c r="AU20" s="1141"/>
      <c r="AV20" s="820"/>
      <c r="AW20" s="820"/>
      <c r="AX20" s="820"/>
      <c r="AY20" s="1688" t="str">
        <f t="shared" si="3"/>
        <v/>
      </c>
      <c r="AZ20" s="186"/>
      <c r="BA20" s="186"/>
      <c r="CB20" s="381" t="str">
        <f t="shared" si="4"/>
        <v/>
      </c>
      <c r="CC20" s="381" t="str">
        <f t="shared" si="5"/>
        <v/>
      </c>
      <c r="CD20" s="381" t="str">
        <f t="shared" si="6"/>
        <v/>
      </c>
      <c r="CE20" s="381" t="str">
        <f t="shared" si="7"/>
        <v/>
      </c>
      <c r="CF20" s="381" t="str">
        <f t="shared" si="8"/>
        <v/>
      </c>
      <c r="CG20" s="381" t="str">
        <f t="shared" si="9"/>
        <v/>
      </c>
      <c r="CH20" s="381" t="str">
        <f t="shared" si="10"/>
        <v/>
      </c>
      <c r="CI20" s="381" t="str">
        <f t="shared" si="11"/>
        <v/>
      </c>
      <c r="CJ20" s="387"/>
      <c r="CK20" s="381" t="str">
        <f t="shared" si="12"/>
        <v/>
      </c>
      <c r="CL20" s="387"/>
      <c r="CM20" s="387"/>
      <c r="CN20" s="381" t="str">
        <f t="shared" si="13"/>
        <v/>
      </c>
      <c r="CO20" s="381" t="str">
        <f t="shared" si="14"/>
        <v/>
      </c>
      <c r="CP20" s="381" t="str">
        <f t="shared" si="15"/>
        <v/>
      </c>
      <c r="CQ20" s="381" t="str">
        <f t="shared" si="16"/>
        <v/>
      </c>
      <c r="CR20" s="381" t="str">
        <f t="shared" si="17"/>
        <v/>
      </c>
      <c r="CS20" s="381" t="str">
        <f t="shared" si="18"/>
        <v/>
      </c>
      <c r="CT20" s="491"/>
      <c r="CU20" s="491"/>
      <c r="CV20" s="387"/>
      <c r="CW20" s="387"/>
      <c r="CX20" s="387"/>
      <c r="CY20" s="492"/>
      <c r="CZ20" s="492"/>
      <c r="DA20" s="391">
        <f t="shared" si="19"/>
        <v>0</v>
      </c>
      <c r="DB20" s="391">
        <f t="shared" si="20"/>
        <v>0</v>
      </c>
      <c r="DC20" s="391">
        <f t="shared" si="21"/>
        <v>0</v>
      </c>
      <c r="DD20" s="391">
        <f t="shared" si="22"/>
        <v>0</v>
      </c>
      <c r="DE20" s="391">
        <f t="shared" si="23"/>
        <v>0</v>
      </c>
      <c r="DF20" s="391">
        <f t="shared" si="24"/>
        <v>0</v>
      </c>
      <c r="DG20" s="391">
        <f t="shared" si="25"/>
        <v>0</v>
      </c>
      <c r="DH20" s="391">
        <f t="shared" si="26"/>
        <v>0</v>
      </c>
      <c r="DI20" s="385"/>
      <c r="DJ20" s="391">
        <f t="shared" si="27"/>
        <v>0</v>
      </c>
      <c r="DK20" s="385"/>
      <c r="DL20" s="391">
        <f t="shared" si="28"/>
        <v>0</v>
      </c>
      <c r="DM20" s="391">
        <f t="shared" si="29"/>
        <v>0</v>
      </c>
      <c r="DN20" s="391">
        <f t="shared" si="30"/>
        <v>0</v>
      </c>
      <c r="DO20" s="391">
        <f t="shared" si="31"/>
        <v>0</v>
      </c>
      <c r="DP20" s="391">
        <f t="shared" si="32"/>
        <v>0</v>
      </c>
      <c r="DQ20" s="391">
        <f t="shared" si="33"/>
        <v>0</v>
      </c>
      <c r="DR20" s="492"/>
      <c r="DS20" s="492"/>
      <c r="DT20" s="1423"/>
    </row>
    <row r="21" spans="1:124" s="146" customFormat="1" ht="21" customHeight="1" x14ac:dyDescent="0.25">
      <c r="A21" s="2205" t="s">
        <v>214</v>
      </c>
      <c r="B21" s="184" t="s">
        <v>215</v>
      </c>
      <c r="C21" s="722">
        <f t="shared" ref="C21:C52" si="34">SUM(D21:E21)</f>
        <v>0</v>
      </c>
      <c r="D21" s="723">
        <f t="shared" si="1"/>
        <v>0</v>
      </c>
      <c r="E21" s="913">
        <f t="shared" si="2"/>
        <v>0</v>
      </c>
      <c r="F21" s="755"/>
      <c r="G21" s="756"/>
      <c r="H21" s="755"/>
      <c r="I21" s="756"/>
      <c r="J21" s="755"/>
      <c r="K21" s="756"/>
      <c r="L21" s="755"/>
      <c r="M21" s="756"/>
      <c r="N21" s="755"/>
      <c r="O21" s="756"/>
      <c r="P21" s="755"/>
      <c r="Q21" s="756"/>
      <c r="R21" s="755"/>
      <c r="S21" s="756"/>
      <c r="T21" s="755"/>
      <c r="U21" s="756"/>
      <c r="V21" s="755"/>
      <c r="W21" s="756"/>
      <c r="X21" s="755"/>
      <c r="Y21" s="756"/>
      <c r="Z21" s="755"/>
      <c r="AA21" s="756"/>
      <c r="AB21" s="755"/>
      <c r="AC21" s="756"/>
      <c r="AD21" s="755"/>
      <c r="AE21" s="756"/>
      <c r="AF21" s="755"/>
      <c r="AG21" s="756"/>
      <c r="AH21" s="755"/>
      <c r="AI21" s="756"/>
      <c r="AJ21" s="755"/>
      <c r="AK21" s="756"/>
      <c r="AL21" s="755"/>
      <c r="AM21" s="757"/>
      <c r="AN21" s="934"/>
      <c r="AO21" s="1159"/>
      <c r="AP21" s="816"/>
      <c r="AQ21" s="756"/>
      <c r="AR21" s="816"/>
      <c r="AS21" s="756"/>
      <c r="AT21" s="775"/>
      <c r="AU21" s="775"/>
      <c r="AV21" s="775"/>
      <c r="AW21" s="775"/>
      <c r="AX21" s="775"/>
      <c r="AY21" s="1688" t="str">
        <f t="shared" si="3"/>
        <v/>
      </c>
      <c r="AZ21" s="186"/>
      <c r="BA21" s="186"/>
      <c r="CB21" s="381" t="str">
        <f t="shared" si="4"/>
        <v/>
      </c>
      <c r="CC21" s="381" t="str">
        <f t="shared" si="5"/>
        <v/>
      </c>
      <c r="CD21" s="381" t="str">
        <f t="shared" si="6"/>
        <v/>
      </c>
      <c r="CE21" s="381" t="str">
        <f t="shared" si="7"/>
        <v/>
      </c>
      <c r="CF21" s="381" t="str">
        <f t="shared" si="8"/>
        <v/>
      </c>
      <c r="CG21" s="381" t="str">
        <f t="shared" si="9"/>
        <v/>
      </c>
      <c r="CH21" s="381" t="str">
        <f t="shared" si="10"/>
        <v/>
      </c>
      <c r="CI21" s="381" t="str">
        <f t="shared" si="11"/>
        <v/>
      </c>
      <c r="CJ21" s="387"/>
      <c r="CK21" s="381" t="str">
        <f t="shared" si="12"/>
        <v/>
      </c>
      <c r="CL21" s="387"/>
      <c r="CM21" s="387"/>
      <c r="CN21" s="381" t="str">
        <f t="shared" si="13"/>
        <v/>
      </c>
      <c r="CO21" s="381" t="str">
        <f t="shared" si="14"/>
        <v/>
      </c>
      <c r="CP21" s="381" t="str">
        <f t="shared" si="15"/>
        <v/>
      </c>
      <c r="CQ21" s="381" t="str">
        <f t="shared" si="16"/>
        <v/>
      </c>
      <c r="CR21" s="381" t="str">
        <f t="shared" si="17"/>
        <v/>
      </c>
      <c r="CS21" s="381" t="str">
        <f t="shared" si="18"/>
        <v/>
      </c>
      <c r="CT21" s="491"/>
      <c r="CU21" s="491"/>
      <c r="CV21" s="387"/>
      <c r="CW21" s="387"/>
      <c r="CX21" s="387"/>
      <c r="CY21" s="492"/>
      <c r="CZ21" s="492"/>
      <c r="DA21" s="391">
        <f t="shared" si="19"/>
        <v>0</v>
      </c>
      <c r="DB21" s="391">
        <f t="shared" si="20"/>
        <v>0</v>
      </c>
      <c r="DC21" s="391">
        <f t="shared" si="21"/>
        <v>0</v>
      </c>
      <c r="DD21" s="391">
        <f t="shared" si="22"/>
        <v>0</v>
      </c>
      <c r="DE21" s="391">
        <f t="shared" si="23"/>
        <v>0</v>
      </c>
      <c r="DF21" s="391">
        <f t="shared" si="24"/>
        <v>0</v>
      </c>
      <c r="DG21" s="391">
        <f t="shared" si="25"/>
        <v>0</v>
      </c>
      <c r="DH21" s="391">
        <f t="shared" si="26"/>
        <v>0</v>
      </c>
      <c r="DI21" s="385"/>
      <c r="DJ21" s="391">
        <f t="shared" si="27"/>
        <v>0</v>
      </c>
      <c r="DK21" s="385"/>
      <c r="DL21" s="391">
        <f t="shared" si="28"/>
        <v>0</v>
      </c>
      <c r="DM21" s="391">
        <f t="shared" si="29"/>
        <v>0</v>
      </c>
      <c r="DN21" s="391">
        <f t="shared" si="30"/>
        <v>0</v>
      </c>
      <c r="DO21" s="391">
        <f t="shared" si="31"/>
        <v>0</v>
      </c>
      <c r="DP21" s="391">
        <f t="shared" si="32"/>
        <v>0</v>
      </c>
      <c r="DQ21" s="391">
        <f t="shared" si="33"/>
        <v>0</v>
      </c>
      <c r="DR21" s="492"/>
      <c r="DS21" s="492"/>
      <c r="DT21" s="1423"/>
    </row>
    <row r="22" spans="1:124" s="146" customFormat="1" ht="21" customHeight="1" x14ac:dyDescent="0.25">
      <c r="A22" s="2206"/>
      <c r="B22" s="366" t="s">
        <v>216</v>
      </c>
      <c r="C22" s="722">
        <f t="shared" si="34"/>
        <v>0</v>
      </c>
      <c r="D22" s="723">
        <f t="shared" si="1"/>
        <v>0</v>
      </c>
      <c r="E22" s="913">
        <f t="shared" si="2"/>
        <v>0</v>
      </c>
      <c r="F22" s="735"/>
      <c r="G22" s="736"/>
      <c r="H22" s="735"/>
      <c r="I22" s="736"/>
      <c r="J22" s="735"/>
      <c r="K22" s="736"/>
      <c r="L22" s="735"/>
      <c r="M22" s="736"/>
      <c r="N22" s="735"/>
      <c r="O22" s="736"/>
      <c r="P22" s="735"/>
      <c r="Q22" s="736"/>
      <c r="R22" s="735"/>
      <c r="S22" s="736"/>
      <c r="T22" s="735"/>
      <c r="U22" s="736"/>
      <c r="V22" s="735"/>
      <c r="W22" s="736"/>
      <c r="X22" s="735"/>
      <c r="Y22" s="736"/>
      <c r="Z22" s="735"/>
      <c r="AA22" s="736"/>
      <c r="AB22" s="735"/>
      <c r="AC22" s="736"/>
      <c r="AD22" s="735"/>
      <c r="AE22" s="736"/>
      <c r="AF22" s="735"/>
      <c r="AG22" s="736"/>
      <c r="AH22" s="735"/>
      <c r="AI22" s="736"/>
      <c r="AJ22" s="735"/>
      <c r="AK22" s="736"/>
      <c r="AL22" s="735"/>
      <c r="AM22" s="744"/>
      <c r="AN22" s="935"/>
      <c r="AO22" s="1153"/>
      <c r="AP22" s="813"/>
      <c r="AQ22" s="736"/>
      <c r="AR22" s="813"/>
      <c r="AS22" s="736"/>
      <c r="AT22" s="915"/>
      <c r="AU22" s="915"/>
      <c r="AV22" s="915"/>
      <c r="AW22" s="915"/>
      <c r="AX22" s="915"/>
      <c r="AY22" s="1688" t="str">
        <f t="shared" si="3"/>
        <v/>
      </c>
      <c r="AZ22" s="186"/>
      <c r="BA22" s="186"/>
      <c r="CB22" s="381" t="str">
        <f t="shared" si="4"/>
        <v/>
      </c>
      <c r="CC22" s="381" t="str">
        <f t="shared" si="5"/>
        <v/>
      </c>
      <c r="CD22" s="381" t="str">
        <f t="shared" si="6"/>
        <v/>
      </c>
      <c r="CE22" s="381" t="str">
        <f t="shared" si="7"/>
        <v/>
      </c>
      <c r="CF22" s="381" t="str">
        <f t="shared" si="8"/>
        <v/>
      </c>
      <c r="CG22" s="381" t="str">
        <f t="shared" si="9"/>
        <v/>
      </c>
      <c r="CH22" s="381" t="str">
        <f t="shared" si="10"/>
        <v/>
      </c>
      <c r="CI22" s="381" t="str">
        <f t="shared" si="11"/>
        <v/>
      </c>
      <c r="CJ22" s="387"/>
      <c r="CK22" s="381" t="str">
        <f t="shared" si="12"/>
        <v/>
      </c>
      <c r="CL22" s="387"/>
      <c r="CM22" s="387"/>
      <c r="CN22" s="381" t="str">
        <f t="shared" si="13"/>
        <v/>
      </c>
      <c r="CO22" s="381" t="str">
        <f t="shared" si="14"/>
        <v/>
      </c>
      <c r="CP22" s="381" t="str">
        <f t="shared" si="15"/>
        <v/>
      </c>
      <c r="CQ22" s="381" t="str">
        <f t="shared" si="16"/>
        <v/>
      </c>
      <c r="CR22" s="381" t="str">
        <f t="shared" si="17"/>
        <v/>
      </c>
      <c r="CS22" s="381" t="str">
        <f t="shared" si="18"/>
        <v/>
      </c>
      <c r="CT22" s="491"/>
      <c r="CU22" s="491"/>
      <c r="CV22" s="387"/>
      <c r="CW22" s="387"/>
      <c r="CX22" s="387"/>
      <c r="CY22" s="492"/>
      <c r="CZ22" s="492"/>
      <c r="DA22" s="391">
        <f t="shared" si="19"/>
        <v>0</v>
      </c>
      <c r="DB22" s="391">
        <f t="shared" si="20"/>
        <v>0</v>
      </c>
      <c r="DC22" s="391">
        <f t="shared" si="21"/>
        <v>0</v>
      </c>
      <c r="DD22" s="391">
        <f t="shared" si="22"/>
        <v>0</v>
      </c>
      <c r="DE22" s="391">
        <f t="shared" si="23"/>
        <v>0</v>
      </c>
      <c r="DF22" s="391">
        <f t="shared" si="24"/>
        <v>0</v>
      </c>
      <c r="DG22" s="391">
        <f t="shared" si="25"/>
        <v>0</v>
      </c>
      <c r="DH22" s="391">
        <f t="shared" si="26"/>
        <v>0</v>
      </c>
      <c r="DI22" s="385"/>
      <c r="DJ22" s="391">
        <f t="shared" si="27"/>
        <v>0</v>
      </c>
      <c r="DK22" s="385"/>
      <c r="DL22" s="391">
        <f t="shared" si="28"/>
        <v>0</v>
      </c>
      <c r="DM22" s="391">
        <f t="shared" si="29"/>
        <v>0</v>
      </c>
      <c r="DN22" s="391">
        <f t="shared" si="30"/>
        <v>0</v>
      </c>
      <c r="DO22" s="391">
        <f t="shared" si="31"/>
        <v>0</v>
      </c>
      <c r="DP22" s="391">
        <f t="shared" si="32"/>
        <v>0</v>
      </c>
      <c r="DQ22" s="391">
        <f t="shared" si="33"/>
        <v>0</v>
      </c>
      <c r="DR22" s="492"/>
      <c r="DS22" s="492"/>
      <c r="DT22" s="1423"/>
    </row>
    <row r="23" spans="1:124" s="146" customFormat="1" ht="21" customHeight="1" x14ac:dyDescent="0.25">
      <c r="A23" s="2206"/>
      <c r="B23" s="366" t="s">
        <v>217</v>
      </c>
      <c r="C23" s="722">
        <f t="shared" si="34"/>
        <v>0</v>
      </c>
      <c r="D23" s="723">
        <f t="shared" si="1"/>
        <v>0</v>
      </c>
      <c r="E23" s="913">
        <f t="shared" si="2"/>
        <v>0</v>
      </c>
      <c r="F23" s="735"/>
      <c r="G23" s="736"/>
      <c r="H23" s="735"/>
      <c r="I23" s="736"/>
      <c r="J23" s="735"/>
      <c r="K23" s="736"/>
      <c r="L23" s="735"/>
      <c r="M23" s="736"/>
      <c r="N23" s="735"/>
      <c r="O23" s="736"/>
      <c r="P23" s="735"/>
      <c r="Q23" s="736"/>
      <c r="R23" s="735"/>
      <c r="S23" s="736"/>
      <c r="T23" s="735"/>
      <c r="U23" s="736"/>
      <c r="V23" s="735"/>
      <c r="W23" s="736"/>
      <c r="X23" s="735"/>
      <c r="Y23" s="736"/>
      <c r="Z23" s="735"/>
      <c r="AA23" s="736"/>
      <c r="AB23" s="735"/>
      <c r="AC23" s="736"/>
      <c r="AD23" s="735"/>
      <c r="AE23" s="736"/>
      <c r="AF23" s="735"/>
      <c r="AG23" s="736"/>
      <c r="AH23" s="735"/>
      <c r="AI23" s="736"/>
      <c r="AJ23" s="735"/>
      <c r="AK23" s="736"/>
      <c r="AL23" s="735"/>
      <c r="AM23" s="744"/>
      <c r="AN23" s="935"/>
      <c r="AO23" s="1153"/>
      <c r="AP23" s="813"/>
      <c r="AQ23" s="736"/>
      <c r="AR23" s="813"/>
      <c r="AS23" s="736"/>
      <c r="AT23" s="915"/>
      <c r="AU23" s="915"/>
      <c r="AV23" s="915"/>
      <c r="AW23" s="915"/>
      <c r="AX23" s="915"/>
      <c r="AY23" s="1688" t="str">
        <f t="shared" si="3"/>
        <v/>
      </c>
      <c r="AZ23" s="186"/>
      <c r="BA23" s="186"/>
      <c r="CB23" s="381" t="str">
        <f t="shared" si="4"/>
        <v/>
      </c>
      <c r="CC23" s="381" t="str">
        <f t="shared" si="5"/>
        <v/>
      </c>
      <c r="CD23" s="381" t="str">
        <f t="shared" si="6"/>
        <v/>
      </c>
      <c r="CE23" s="381" t="str">
        <f t="shared" si="7"/>
        <v/>
      </c>
      <c r="CF23" s="381" t="str">
        <f t="shared" si="8"/>
        <v/>
      </c>
      <c r="CG23" s="381" t="str">
        <f t="shared" si="9"/>
        <v/>
      </c>
      <c r="CH23" s="381" t="str">
        <f t="shared" si="10"/>
        <v/>
      </c>
      <c r="CI23" s="381" t="str">
        <f t="shared" si="11"/>
        <v/>
      </c>
      <c r="CJ23" s="387"/>
      <c r="CK23" s="381" t="str">
        <f t="shared" si="12"/>
        <v/>
      </c>
      <c r="CL23" s="387"/>
      <c r="CM23" s="387"/>
      <c r="CN23" s="381" t="str">
        <f t="shared" si="13"/>
        <v/>
      </c>
      <c r="CO23" s="381" t="str">
        <f t="shared" si="14"/>
        <v/>
      </c>
      <c r="CP23" s="381" t="str">
        <f t="shared" si="15"/>
        <v/>
      </c>
      <c r="CQ23" s="381" t="str">
        <f t="shared" si="16"/>
        <v/>
      </c>
      <c r="CR23" s="381" t="str">
        <f t="shared" si="17"/>
        <v/>
      </c>
      <c r="CS23" s="381" t="str">
        <f t="shared" si="18"/>
        <v/>
      </c>
      <c r="CT23" s="491"/>
      <c r="CU23" s="491"/>
      <c r="CV23" s="387"/>
      <c r="CW23" s="387"/>
      <c r="CX23" s="387"/>
      <c r="CY23" s="492"/>
      <c r="CZ23" s="492"/>
      <c r="DA23" s="391">
        <f t="shared" si="19"/>
        <v>0</v>
      </c>
      <c r="DB23" s="391">
        <f t="shared" si="20"/>
        <v>0</v>
      </c>
      <c r="DC23" s="391">
        <f t="shared" si="21"/>
        <v>0</v>
      </c>
      <c r="DD23" s="391">
        <f t="shared" si="22"/>
        <v>0</v>
      </c>
      <c r="DE23" s="391">
        <f t="shared" si="23"/>
        <v>0</v>
      </c>
      <c r="DF23" s="391">
        <f t="shared" si="24"/>
        <v>0</v>
      </c>
      <c r="DG23" s="391">
        <f t="shared" si="25"/>
        <v>0</v>
      </c>
      <c r="DH23" s="391">
        <f t="shared" si="26"/>
        <v>0</v>
      </c>
      <c r="DI23" s="385"/>
      <c r="DJ23" s="391">
        <f t="shared" si="27"/>
        <v>0</v>
      </c>
      <c r="DK23" s="385"/>
      <c r="DL23" s="391">
        <f t="shared" si="28"/>
        <v>0</v>
      </c>
      <c r="DM23" s="391">
        <f t="shared" si="29"/>
        <v>0</v>
      </c>
      <c r="DN23" s="391">
        <f t="shared" si="30"/>
        <v>0</v>
      </c>
      <c r="DO23" s="391">
        <f t="shared" si="31"/>
        <v>0</v>
      </c>
      <c r="DP23" s="391">
        <f t="shared" si="32"/>
        <v>0</v>
      </c>
      <c r="DQ23" s="391">
        <f t="shared" si="33"/>
        <v>0</v>
      </c>
      <c r="DR23" s="492"/>
      <c r="DS23" s="492"/>
      <c r="DT23" s="1423"/>
    </row>
    <row r="24" spans="1:124" s="146" customFormat="1" ht="21" customHeight="1" x14ac:dyDescent="0.25">
      <c r="A24" s="2207"/>
      <c r="B24" s="367" t="s">
        <v>218</v>
      </c>
      <c r="C24" s="722">
        <f t="shared" si="34"/>
        <v>0</v>
      </c>
      <c r="D24" s="916"/>
      <c r="E24" s="917">
        <f>K24+M24+O24+Q24+S24+U24+W24+Y24+AA24+AC24</f>
        <v>0</v>
      </c>
      <c r="F24" s="779"/>
      <c r="G24" s="780"/>
      <c r="H24" s="779"/>
      <c r="I24" s="780"/>
      <c r="J24" s="779"/>
      <c r="K24" s="736"/>
      <c r="L24" s="779"/>
      <c r="M24" s="736"/>
      <c r="N24" s="779"/>
      <c r="O24" s="736"/>
      <c r="P24" s="779"/>
      <c r="Q24" s="736"/>
      <c r="R24" s="779"/>
      <c r="S24" s="736"/>
      <c r="T24" s="779"/>
      <c r="U24" s="736"/>
      <c r="V24" s="779"/>
      <c r="W24" s="736"/>
      <c r="X24" s="779"/>
      <c r="Y24" s="736"/>
      <c r="Z24" s="779"/>
      <c r="AA24" s="736"/>
      <c r="AB24" s="779"/>
      <c r="AC24" s="736"/>
      <c r="AD24" s="779"/>
      <c r="AE24" s="780"/>
      <c r="AF24" s="779"/>
      <c r="AG24" s="780"/>
      <c r="AH24" s="779"/>
      <c r="AI24" s="780"/>
      <c r="AJ24" s="779"/>
      <c r="AK24" s="780"/>
      <c r="AL24" s="779"/>
      <c r="AM24" s="918"/>
      <c r="AN24" s="1542"/>
      <c r="AO24" s="1153"/>
      <c r="AP24" s="916"/>
      <c r="AQ24" s="736"/>
      <c r="AR24" s="916"/>
      <c r="AS24" s="736"/>
      <c r="AT24" s="915"/>
      <c r="AU24" s="915"/>
      <c r="AV24" s="915"/>
      <c r="AW24" s="915"/>
      <c r="AX24" s="915"/>
      <c r="AY24" s="1688" t="str">
        <f t="shared" si="3"/>
        <v/>
      </c>
      <c r="AZ24" s="186"/>
      <c r="BA24" s="186"/>
      <c r="CB24" s="387"/>
      <c r="CC24" s="381" t="str">
        <f t="shared" si="5"/>
        <v/>
      </c>
      <c r="CD24" s="387"/>
      <c r="CE24" s="381" t="str">
        <f t="shared" si="7"/>
        <v/>
      </c>
      <c r="CF24" s="387"/>
      <c r="CG24" s="381" t="str">
        <f t="shared" si="9"/>
        <v/>
      </c>
      <c r="CH24" s="381" t="str">
        <f t="shared" si="10"/>
        <v/>
      </c>
      <c r="CI24" s="381" t="str">
        <f t="shared" si="11"/>
        <v/>
      </c>
      <c r="CJ24" s="387"/>
      <c r="CK24" s="381" t="str">
        <f t="shared" si="12"/>
        <v/>
      </c>
      <c r="CL24" s="387"/>
      <c r="CM24" s="387"/>
      <c r="CN24" s="387"/>
      <c r="CO24" s="381" t="str">
        <f>IF(AND($C24&lt;&gt;0,$AO24=""),"* No olvide escribir en la celda de 'Madres de Hijos menor de 5 años' (Digite CERO si no tiene). ","")</f>
        <v/>
      </c>
      <c r="CP24" s="381" t="str">
        <f>IF(AND($C24&lt;&gt;0,$AT24=""),"* No olvide escribir en la celda de 'Niños, Niñas, Adolescentes y Jóvenes de Población SENAME' (Digite CERO si no tiene). ","")</f>
        <v/>
      </c>
      <c r="CQ24" s="381" t="str">
        <f>IF(AND($E24&lt;&gt;0,$AQ24=""),"* No olvide escribir en las celdas de 'Pueblos Originarios / Mujeres' (Digite CERO si no tiene). ","")</f>
        <v/>
      </c>
      <c r="CR24" s="381" t="str">
        <f>IF(AND($E24&lt;&gt;0,$AS24=""),"* No olvide escribir en las celdas de ''Población Migrantes / Mujeres' (Digite CERO si no tiene). ","")</f>
        <v/>
      </c>
      <c r="CS24" s="381" t="str">
        <f t="shared" si="18"/>
        <v/>
      </c>
      <c r="CT24" s="491"/>
      <c r="CU24" s="491"/>
      <c r="CV24" s="387"/>
      <c r="CW24" s="387"/>
      <c r="CX24" s="387"/>
      <c r="CY24" s="492"/>
      <c r="CZ24" s="492"/>
      <c r="DA24" s="385"/>
      <c r="DB24" s="391">
        <f t="shared" si="20"/>
        <v>0</v>
      </c>
      <c r="DC24" s="385"/>
      <c r="DD24" s="391">
        <f t="shared" si="22"/>
        <v>0</v>
      </c>
      <c r="DE24" s="385"/>
      <c r="DF24" s="391">
        <f t="shared" si="24"/>
        <v>0</v>
      </c>
      <c r="DG24" s="391">
        <f t="shared" si="25"/>
        <v>0</v>
      </c>
      <c r="DH24" s="391">
        <f t="shared" si="26"/>
        <v>0</v>
      </c>
      <c r="DI24" s="385"/>
      <c r="DJ24" s="391">
        <f t="shared" si="27"/>
        <v>0</v>
      </c>
      <c r="DK24" s="385"/>
      <c r="DL24" s="385"/>
      <c r="DM24" s="391">
        <f t="shared" si="29"/>
        <v>0</v>
      </c>
      <c r="DN24" s="391">
        <f t="shared" si="30"/>
        <v>0</v>
      </c>
      <c r="DO24" s="391">
        <f>IF(AND($E24&lt;&gt;0,$AQ24=""),1,0)</f>
        <v>0</v>
      </c>
      <c r="DP24" s="391">
        <f>IF(AND($E24&lt;&gt;0,$AS24=""),1,0)</f>
        <v>0</v>
      </c>
      <c r="DQ24" s="391">
        <f t="shared" si="33"/>
        <v>0</v>
      </c>
      <c r="DR24" s="492"/>
      <c r="DS24" s="492"/>
      <c r="DT24" s="1423"/>
    </row>
    <row r="25" spans="1:124" s="146" customFormat="1" ht="21" customHeight="1" x14ac:dyDescent="0.25">
      <c r="A25" s="2208"/>
      <c r="B25" s="185" t="s">
        <v>219</v>
      </c>
      <c r="C25" s="919">
        <f t="shared" si="34"/>
        <v>0</v>
      </c>
      <c r="D25" s="738">
        <f t="shared" ref="D25:E32" si="35">+F25+H25+J25+L25+N25+P25+R25+T25+V25+X25+Z25+AB25+AD25+AF25+AH25+AJ25+AL25</f>
        <v>0</v>
      </c>
      <c r="E25" s="920">
        <f t="shared" si="35"/>
        <v>0</v>
      </c>
      <c r="F25" s="746"/>
      <c r="G25" s="747"/>
      <c r="H25" s="746"/>
      <c r="I25" s="747"/>
      <c r="J25" s="746"/>
      <c r="K25" s="747"/>
      <c r="L25" s="746"/>
      <c r="M25" s="747"/>
      <c r="N25" s="746"/>
      <c r="O25" s="747"/>
      <c r="P25" s="746"/>
      <c r="Q25" s="747"/>
      <c r="R25" s="746"/>
      <c r="S25" s="747"/>
      <c r="T25" s="746"/>
      <c r="U25" s="747"/>
      <c r="V25" s="746"/>
      <c r="W25" s="747"/>
      <c r="X25" s="746"/>
      <c r="Y25" s="747"/>
      <c r="Z25" s="746"/>
      <c r="AA25" s="747"/>
      <c r="AB25" s="746"/>
      <c r="AC25" s="747"/>
      <c r="AD25" s="746"/>
      <c r="AE25" s="747"/>
      <c r="AF25" s="746"/>
      <c r="AG25" s="747"/>
      <c r="AH25" s="746"/>
      <c r="AI25" s="747"/>
      <c r="AJ25" s="746"/>
      <c r="AK25" s="747"/>
      <c r="AL25" s="746"/>
      <c r="AM25" s="748"/>
      <c r="AN25" s="1171"/>
      <c r="AO25" s="1156"/>
      <c r="AP25" s="1166"/>
      <c r="AQ25" s="747"/>
      <c r="AR25" s="1166"/>
      <c r="AS25" s="747"/>
      <c r="AT25" s="921"/>
      <c r="AU25" s="921"/>
      <c r="AV25" s="921"/>
      <c r="AW25" s="921"/>
      <c r="AX25" s="921"/>
      <c r="AY25" s="1688" t="str">
        <f t="shared" si="3"/>
        <v/>
      </c>
      <c r="AZ25" s="186"/>
      <c r="BA25" s="186"/>
      <c r="CB25" s="381" t="str">
        <f>IF($AN25&gt;$E25,"* La celda 'Gestantes' debe ser menor o igual al Total de Mujeres en control. ","")</f>
        <v/>
      </c>
      <c r="CC25" s="381" t="str">
        <f>IF($AO25&gt;$E25,"* La celda 'Madres de Hijos menor de 5 años' debe ser menor o igual al Total de Mujeres en control. ","")</f>
        <v/>
      </c>
      <c r="CD25" s="381" t="str">
        <f t="shared" ref="CD25:CD54" si="36">IF(($AP25)&gt;$D25,"* La celda 'Pueblos Originarios / Hombres' debe ser menor o igual al Total de Hombres en control. ","")</f>
        <v/>
      </c>
      <c r="CE25" s="381" t="str">
        <f t="shared" si="7"/>
        <v/>
      </c>
      <c r="CF25" s="381" t="str">
        <f t="shared" ref="CF25:CF54" si="37">IF(($AR25)&gt;$D25,"* La celda 'Población Migrantes / Hombres' debe ser menor o igual al Total de Hombres en control. ","")</f>
        <v/>
      </c>
      <c r="CG25" s="381" t="str">
        <f t="shared" si="9"/>
        <v/>
      </c>
      <c r="CH25" s="381" t="str">
        <f t="shared" si="10"/>
        <v/>
      </c>
      <c r="CI25" s="381" t="str">
        <f t="shared" si="11"/>
        <v/>
      </c>
      <c r="CJ25" s="387"/>
      <c r="CK25" s="381" t="str">
        <f t="shared" si="12"/>
        <v/>
      </c>
      <c r="CL25" s="387"/>
      <c r="CM25" s="387"/>
      <c r="CN25" s="381" t="str">
        <f>IF(AND($C25&lt;&gt;0,$AN25=""),"* No olvide escribir en la celda de 'Gestantes' (Digite CERO si no tiene). ","")</f>
        <v/>
      </c>
      <c r="CO25" s="381" t="str">
        <f>IF(AND($C25&lt;&gt;0,$AO25=""),"* No olvide escribir en la celda de 'Madres de Hijos menor de 5 años' (Digite CERO si no tiene). ","")</f>
        <v/>
      </c>
      <c r="CP25" s="381" t="str">
        <f t="shared" ref="CP25:CP54" si="38">IF(AND($C25&lt;&gt;0,$AT25=""),"* No olvide escribir en la celda de 'Niños, Niñas, Adolescentes y Jóvenes de Población SENAME' (Digite CERO si no tiene). ","")</f>
        <v/>
      </c>
      <c r="CQ25" s="381" t="str">
        <f t="shared" ref="CQ25:CQ54" si="39">IF(AND($D25&lt;&gt;0,$AP25=""),"* No olvide escribir en las celdas de 'Pueblos Originarios' (Digite CERO si no tiene). ",IF(AND($E25&lt;&gt;0,$AQ25=""),"* No olvide escribir en las celdas de 'Pueblos Originarios' (Digite CERO si no tiene). ",""))</f>
        <v/>
      </c>
      <c r="CR25" s="381" t="str">
        <f t="shared" ref="CR25:CR54" si="40">IF(AND($D25&lt;&gt;0,$AR25=""),"* No olvide escribir en las celdas de 'Población Migrantes' (Digite CERO si no tiene). ",IF(AND($E25&lt;&gt;0,$AS25=""),"* No olvide escribir en las celdas de 'Población Migrantes' (Digite CERO si no tiene). ",""))</f>
        <v/>
      </c>
      <c r="CS25" s="381" t="str">
        <f t="shared" si="18"/>
        <v/>
      </c>
      <c r="CT25" s="491"/>
      <c r="CU25" s="491"/>
      <c r="CV25" s="387"/>
      <c r="CW25" s="387"/>
      <c r="CX25" s="387"/>
      <c r="CY25" s="492"/>
      <c r="CZ25" s="492"/>
      <c r="DA25" s="391">
        <f>IF($AN25&gt;$E25,1,0)</f>
        <v>0</v>
      </c>
      <c r="DB25" s="391">
        <f t="shared" si="20"/>
        <v>0</v>
      </c>
      <c r="DC25" s="391">
        <f t="shared" ref="DC25:DC54" si="41">IF(($AP25)&gt;$D25,1,0)</f>
        <v>0</v>
      </c>
      <c r="DD25" s="391">
        <f t="shared" si="22"/>
        <v>0</v>
      </c>
      <c r="DE25" s="391">
        <f t="shared" ref="DE25:DE54" si="42">IF(($AR25)&gt;$D25,1,0)</f>
        <v>0</v>
      </c>
      <c r="DF25" s="391">
        <f t="shared" si="24"/>
        <v>0</v>
      </c>
      <c r="DG25" s="391">
        <f t="shared" si="25"/>
        <v>0</v>
      </c>
      <c r="DH25" s="391">
        <f t="shared" si="26"/>
        <v>0</v>
      </c>
      <c r="DI25" s="385"/>
      <c r="DJ25" s="391">
        <f t="shared" si="27"/>
        <v>0</v>
      </c>
      <c r="DK25" s="385"/>
      <c r="DL25" s="391">
        <f>IF(AND($C25&lt;&gt;0,$AN25=""),1,0)</f>
        <v>0</v>
      </c>
      <c r="DM25" s="391">
        <f t="shared" si="29"/>
        <v>0</v>
      </c>
      <c r="DN25" s="391">
        <f t="shared" si="30"/>
        <v>0</v>
      </c>
      <c r="DO25" s="391">
        <f t="shared" ref="DO25:DO54" si="43">IF(AND($D25&lt;&gt;0,$AP25=""),1,IF(AND($E25&lt;&gt;0,$AQ25=""),1,0))</f>
        <v>0</v>
      </c>
      <c r="DP25" s="391">
        <f t="shared" ref="DP25:DP54" si="44">IF(AND($D25&lt;&gt;0,$AR25=""),1,IF(AND($E25&lt;&gt;0,$AS25=""),1,0))</f>
        <v>0</v>
      </c>
      <c r="DQ25" s="391">
        <f t="shared" si="33"/>
        <v>0</v>
      </c>
      <c r="DR25" s="492"/>
      <c r="DS25" s="492"/>
      <c r="DT25" s="1423"/>
    </row>
    <row r="26" spans="1:124" s="146" customFormat="1" ht="21" customHeight="1" x14ac:dyDescent="0.25">
      <c r="A26" s="2205" t="s">
        <v>220</v>
      </c>
      <c r="B26" s="1425" t="s">
        <v>708</v>
      </c>
      <c r="C26" s="714">
        <f t="shared" si="34"/>
        <v>0</v>
      </c>
      <c r="D26" s="729">
        <f t="shared" si="35"/>
        <v>0</v>
      </c>
      <c r="E26" s="922">
        <f t="shared" si="35"/>
        <v>0</v>
      </c>
      <c r="F26" s="731"/>
      <c r="G26" s="732"/>
      <c r="H26" s="731"/>
      <c r="I26" s="732"/>
      <c r="J26" s="731"/>
      <c r="K26" s="732"/>
      <c r="L26" s="731"/>
      <c r="M26" s="732"/>
      <c r="N26" s="731"/>
      <c r="O26" s="732"/>
      <c r="P26" s="731"/>
      <c r="Q26" s="732"/>
      <c r="R26" s="731"/>
      <c r="S26" s="732"/>
      <c r="T26" s="731"/>
      <c r="U26" s="732"/>
      <c r="V26" s="731"/>
      <c r="W26" s="732"/>
      <c r="X26" s="731"/>
      <c r="Y26" s="732"/>
      <c r="Z26" s="731"/>
      <c r="AA26" s="732"/>
      <c r="AB26" s="731"/>
      <c r="AC26" s="732"/>
      <c r="AD26" s="731"/>
      <c r="AE26" s="732"/>
      <c r="AF26" s="731"/>
      <c r="AG26" s="732"/>
      <c r="AH26" s="731"/>
      <c r="AI26" s="732"/>
      <c r="AJ26" s="731"/>
      <c r="AK26" s="732"/>
      <c r="AL26" s="731"/>
      <c r="AM26" s="743"/>
      <c r="AN26" s="1168"/>
      <c r="AO26" s="1152"/>
      <c r="AP26" s="810"/>
      <c r="AQ26" s="732"/>
      <c r="AR26" s="810"/>
      <c r="AS26" s="732"/>
      <c r="AT26" s="809"/>
      <c r="AU26" s="809"/>
      <c r="AV26" s="809"/>
      <c r="AW26" s="809"/>
      <c r="AX26" s="809"/>
      <c r="AY26" s="1688" t="str">
        <f t="shared" si="3"/>
        <v/>
      </c>
      <c r="AZ26" s="186"/>
      <c r="BA26" s="186"/>
      <c r="CB26" s="381" t="str">
        <f>IF($AN26&gt;$E26,"* La celda 'Gestantes' debe ser menor o igual al Total de Mujeres en control. ","")</f>
        <v/>
      </c>
      <c r="CC26" s="381" t="str">
        <f>IF($AO26&gt;$E26,"* La celda 'Madres de Hijos menor de 5 años' debe ser menor o igual al Total de Mujeres en control. ","")</f>
        <v/>
      </c>
      <c r="CD26" s="381" t="str">
        <f t="shared" si="36"/>
        <v/>
      </c>
      <c r="CE26" s="381" t="str">
        <f t="shared" si="7"/>
        <v/>
      </c>
      <c r="CF26" s="381" t="str">
        <f t="shared" si="37"/>
        <v/>
      </c>
      <c r="CG26" s="381" t="str">
        <f t="shared" si="9"/>
        <v/>
      </c>
      <c r="CH26" s="381" t="str">
        <f t="shared" si="10"/>
        <v/>
      </c>
      <c r="CI26" s="381" t="str">
        <f t="shared" si="11"/>
        <v/>
      </c>
      <c r="CJ26" s="387"/>
      <c r="CK26" s="381" t="str">
        <f t="shared" si="12"/>
        <v/>
      </c>
      <c r="CL26" s="387"/>
      <c r="CM26" s="387"/>
      <c r="CN26" s="381" t="str">
        <f>IF(AND($C26&lt;&gt;0,$AN26=""),"* No olvide escribir en la celda de 'Gestantes' (Digite CERO si no tiene). ","")</f>
        <v/>
      </c>
      <c r="CO26" s="381" t="str">
        <f>IF(AND($C26&lt;&gt;0,$AO26=""),"* No olvide escribir en la celda de 'Madres de Hijos menor de 5 años' (Digite CERO si no tiene). ","")</f>
        <v/>
      </c>
      <c r="CP26" s="381" t="str">
        <f t="shared" si="38"/>
        <v/>
      </c>
      <c r="CQ26" s="381" t="str">
        <f t="shared" si="39"/>
        <v/>
      </c>
      <c r="CR26" s="381" t="str">
        <f t="shared" si="40"/>
        <v/>
      </c>
      <c r="CS26" s="381" t="str">
        <f t="shared" si="18"/>
        <v/>
      </c>
      <c r="CT26" s="491"/>
      <c r="CU26" s="491"/>
      <c r="CV26" s="387"/>
      <c r="CW26" s="387"/>
      <c r="CX26" s="387"/>
      <c r="CY26" s="492"/>
      <c r="CZ26" s="492"/>
      <c r="DA26" s="391">
        <f>IF($AN26&gt;$E26,1,0)</f>
        <v>0</v>
      </c>
      <c r="DB26" s="391">
        <f t="shared" si="20"/>
        <v>0</v>
      </c>
      <c r="DC26" s="391">
        <f t="shared" si="41"/>
        <v>0</v>
      </c>
      <c r="DD26" s="391">
        <f t="shared" si="22"/>
        <v>0</v>
      </c>
      <c r="DE26" s="391">
        <f t="shared" si="42"/>
        <v>0</v>
      </c>
      <c r="DF26" s="391">
        <f t="shared" si="24"/>
        <v>0</v>
      </c>
      <c r="DG26" s="391">
        <f t="shared" si="25"/>
        <v>0</v>
      </c>
      <c r="DH26" s="391">
        <f t="shared" si="26"/>
        <v>0</v>
      </c>
      <c r="DI26" s="385"/>
      <c r="DJ26" s="391">
        <f t="shared" si="27"/>
        <v>0</v>
      </c>
      <c r="DK26" s="385"/>
      <c r="DL26" s="391">
        <f>IF(AND($C26&lt;&gt;0,$AN26=""),1,0)</f>
        <v>0</v>
      </c>
      <c r="DM26" s="391">
        <f t="shared" si="29"/>
        <v>0</v>
      </c>
      <c r="DN26" s="391">
        <f t="shared" si="30"/>
        <v>0</v>
      </c>
      <c r="DO26" s="391">
        <f t="shared" si="43"/>
        <v>0</v>
      </c>
      <c r="DP26" s="391">
        <f t="shared" si="44"/>
        <v>0</v>
      </c>
      <c r="DQ26" s="391">
        <f t="shared" si="33"/>
        <v>0</v>
      </c>
      <c r="DR26" s="492"/>
      <c r="DS26" s="492"/>
      <c r="DT26" s="1423"/>
    </row>
    <row r="27" spans="1:124" s="146" customFormat="1" ht="21" customHeight="1" x14ac:dyDescent="0.25">
      <c r="A27" s="2209"/>
      <c r="B27" s="1002" t="s">
        <v>709</v>
      </c>
      <c r="C27" s="716">
        <f t="shared" si="34"/>
        <v>0</v>
      </c>
      <c r="D27" s="734">
        <f t="shared" si="35"/>
        <v>0</v>
      </c>
      <c r="E27" s="917">
        <f t="shared" si="35"/>
        <v>0</v>
      </c>
      <c r="F27" s="735"/>
      <c r="G27" s="736"/>
      <c r="H27" s="735"/>
      <c r="I27" s="736"/>
      <c r="J27" s="735"/>
      <c r="K27" s="736"/>
      <c r="L27" s="735"/>
      <c r="M27" s="736"/>
      <c r="N27" s="735"/>
      <c r="O27" s="736"/>
      <c r="P27" s="735"/>
      <c r="Q27" s="736"/>
      <c r="R27" s="735"/>
      <c r="S27" s="736"/>
      <c r="T27" s="735"/>
      <c r="U27" s="736"/>
      <c r="V27" s="735"/>
      <c r="W27" s="736"/>
      <c r="X27" s="735"/>
      <c r="Y27" s="736"/>
      <c r="Z27" s="735"/>
      <c r="AA27" s="736"/>
      <c r="AB27" s="735"/>
      <c r="AC27" s="736"/>
      <c r="AD27" s="735"/>
      <c r="AE27" s="736"/>
      <c r="AF27" s="735"/>
      <c r="AG27" s="736"/>
      <c r="AH27" s="735"/>
      <c r="AI27" s="736"/>
      <c r="AJ27" s="735"/>
      <c r="AK27" s="736"/>
      <c r="AL27" s="735"/>
      <c r="AM27" s="744"/>
      <c r="AN27" s="935"/>
      <c r="AO27" s="1153"/>
      <c r="AP27" s="813"/>
      <c r="AQ27" s="736"/>
      <c r="AR27" s="813"/>
      <c r="AS27" s="736"/>
      <c r="AT27" s="915"/>
      <c r="AU27" s="915"/>
      <c r="AV27" s="915"/>
      <c r="AW27" s="915"/>
      <c r="AX27" s="915"/>
      <c r="AY27" s="1688" t="str">
        <f t="shared" si="3"/>
        <v/>
      </c>
      <c r="AZ27" s="186"/>
      <c r="BA27" s="186"/>
      <c r="CB27" s="381" t="str">
        <f>IF($AN27&gt;$E27,"* La celda 'Gestantes' debe ser menor o igual al Total de Mujeres en control. ","")</f>
        <v/>
      </c>
      <c r="CC27" s="381" t="str">
        <f>IF($AO27&gt;$E27,"* La celda 'Madres de Hijos menor de 5 años' debe ser menor o igual al Total de Mujeres en control. ","")</f>
        <v/>
      </c>
      <c r="CD27" s="381" t="str">
        <f t="shared" si="36"/>
        <v/>
      </c>
      <c r="CE27" s="381" t="str">
        <f t="shared" si="7"/>
        <v/>
      </c>
      <c r="CF27" s="381" t="str">
        <f t="shared" si="37"/>
        <v/>
      </c>
      <c r="CG27" s="381" t="str">
        <f t="shared" si="9"/>
        <v/>
      </c>
      <c r="CH27" s="381" t="str">
        <f t="shared" si="10"/>
        <v/>
      </c>
      <c r="CI27" s="381" t="str">
        <f t="shared" si="11"/>
        <v/>
      </c>
      <c r="CJ27" s="387"/>
      <c r="CK27" s="381" t="str">
        <f t="shared" si="12"/>
        <v/>
      </c>
      <c r="CL27" s="387"/>
      <c r="CM27" s="387"/>
      <c r="CN27" s="381" t="str">
        <f>IF(AND($C27&lt;&gt;0,$AN27=""),"* No olvide escribir en la celda de 'Gestantes' (Digite CERO si no tiene). ","")</f>
        <v/>
      </c>
      <c r="CO27" s="381" t="str">
        <f>IF(AND($C27&lt;&gt;0,$AO27=""),"* No olvide escribir en la celda de 'Madres de Hijos menor de 5 años' (Digite CERO si no tiene). ","")</f>
        <v/>
      </c>
      <c r="CP27" s="381" t="str">
        <f t="shared" si="38"/>
        <v/>
      </c>
      <c r="CQ27" s="381" t="str">
        <f t="shared" si="39"/>
        <v/>
      </c>
      <c r="CR27" s="381" t="str">
        <f t="shared" si="40"/>
        <v/>
      </c>
      <c r="CS27" s="381" t="str">
        <f t="shared" si="18"/>
        <v/>
      </c>
      <c r="CT27" s="491"/>
      <c r="CU27" s="491"/>
      <c r="CV27" s="387"/>
      <c r="CW27" s="387"/>
      <c r="CX27" s="387"/>
      <c r="CY27" s="492"/>
      <c r="CZ27" s="492"/>
      <c r="DA27" s="391">
        <f>IF($AN27&gt;$E27,1,0)</f>
        <v>0</v>
      </c>
      <c r="DB27" s="391">
        <f t="shared" si="20"/>
        <v>0</v>
      </c>
      <c r="DC27" s="391">
        <f t="shared" si="41"/>
        <v>0</v>
      </c>
      <c r="DD27" s="391">
        <f t="shared" si="22"/>
        <v>0</v>
      </c>
      <c r="DE27" s="391">
        <f t="shared" si="42"/>
        <v>0</v>
      </c>
      <c r="DF27" s="391">
        <f t="shared" si="24"/>
        <v>0</v>
      </c>
      <c r="DG27" s="391">
        <f t="shared" si="25"/>
        <v>0</v>
      </c>
      <c r="DH27" s="391">
        <f t="shared" si="26"/>
        <v>0</v>
      </c>
      <c r="DI27" s="385"/>
      <c r="DJ27" s="391">
        <f t="shared" si="27"/>
        <v>0</v>
      </c>
      <c r="DK27" s="385"/>
      <c r="DL27" s="391">
        <f>IF(AND($C27&lt;&gt;0,$AN27=""),1,0)</f>
        <v>0</v>
      </c>
      <c r="DM27" s="391">
        <f t="shared" si="29"/>
        <v>0</v>
      </c>
      <c r="DN27" s="391">
        <f t="shared" si="30"/>
        <v>0</v>
      </c>
      <c r="DO27" s="391">
        <f t="shared" si="43"/>
        <v>0</v>
      </c>
      <c r="DP27" s="391">
        <f t="shared" si="44"/>
        <v>0</v>
      </c>
      <c r="DQ27" s="391">
        <f t="shared" si="33"/>
        <v>0</v>
      </c>
      <c r="DR27" s="492"/>
      <c r="DS27" s="492"/>
      <c r="DT27" s="1423"/>
    </row>
    <row r="28" spans="1:124" s="146" customFormat="1" ht="21" customHeight="1" x14ac:dyDescent="0.25">
      <c r="A28" s="2210"/>
      <c r="B28" s="1426" t="s">
        <v>710</v>
      </c>
      <c r="C28" s="919">
        <f t="shared" si="34"/>
        <v>0</v>
      </c>
      <c r="D28" s="738">
        <f t="shared" si="35"/>
        <v>0</v>
      </c>
      <c r="E28" s="920">
        <f t="shared" si="35"/>
        <v>0</v>
      </c>
      <c r="F28" s="746"/>
      <c r="G28" s="747"/>
      <c r="H28" s="746"/>
      <c r="I28" s="747"/>
      <c r="J28" s="746"/>
      <c r="K28" s="747"/>
      <c r="L28" s="746"/>
      <c r="M28" s="747"/>
      <c r="N28" s="746"/>
      <c r="O28" s="747"/>
      <c r="P28" s="746"/>
      <c r="Q28" s="747"/>
      <c r="R28" s="746"/>
      <c r="S28" s="747"/>
      <c r="T28" s="746"/>
      <c r="U28" s="747"/>
      <c r="V28" s="746"/>
      <c r="W28" s="747"/>
      <c r="X28" s="746"/>
      <c r="Y28" s="747"/>
      <c r="Z28" s="746"/>
      <c r="AA28" s="747"/>
      <c r="AB28" s="746"/>
      <c r="AC28" s="747"/>
      <c r="AD28" s="746"/>
      <c r="AE28" s="747"/>
      <c r="AF28" s="746"/>
      <c r="AG28" s="747"/>
      <c r="AH28" s="746"/>
      <c r="AI28" s="747"/>
      <c r="AJ28" s="746"/>
      <c r="AK28" s="747"/>
      <c r="AL28" s="746"/>
      <c r="AM28" s="748"/>
      <c r="AN28" s="1171"/>
      <c r="AO28" s="1156"/>
      <c r="AP28" s="1166"/>
      <c r="AQ28" s="747"/>
      <c r="AR28" s="1166"/>
      <c r="AS28" s="747"/>
      <c r="AT28" s="921"/>
      <c r="AU28" s="921"/>
      <c r="AV28" s="921"/>
      <c r="AW28" s="921"/>
      <c r="AX28" s="921"/>
      <c r="AY28" s="1688" t="str">
        <f t="shared" si="3"/>
        <v/>
      </c>
      <c r="AZ28" s="186"/>
      <c r="BA28" s="186"/>
      <c r="CB28" s="381"/>
      <c r="CC28" s="381"/>
      <c r="CD28" s="381"/>
      <c r="CE28" s="381"/>
      <c r="CF28" s="381"/>
      <c r="CG28" s="381"/>
      <c r="CH28" s="381"/>
      <c r="CI28" s="381" t="str">
        <f t="shared" si="11"/>
        <v/>
      </c>
      <c r="CJ28" s="387"/>
      <c r="CK28" s="381" t="str">
        <f t="shared" si="12"/>
        <v/>
      </c>
      <c r="CL28" s="387"/>
      <c r="CM28" s="387"/>
      <c r="CN28" s="381"/>
      <c r="CO28" s="381"/>
      <c r="CP28" s="381"/>
      <c r="CQ28" s="381"/>
      <c r="CR28" s="381"/>
      <c r="CS28" s="381" t="str">
        <f t="shared" si="18"/>
        <v/>
      </c>
      <c r="CT28" s="491"/>
      <c r="CU28" s="491"/>
      <c r="CV28" s="387"/>
      <c r="CW28" s="387"/>
      <c r="CX28" s="387"/>
      <c r="CY28" s="492"/>
      <c r="CZ28" s="492"/>
      <c r="DA28" s="391"/>
      <c r="DB28" s="391"/>
      <c r="DC28" s="391"/>
      <c r="DD28" s="391"/>
      <c r="DE28" s="391"/>
      <c r="DF28" s="391"/>
      <c r="DG28" s="391"/>
      <c r="DH28" s="391">
        <f t="shared" si="26"/>
        <v>0</v>
      </c>
      <c r="DI28" s="385"/>
      <c r="DJ28" s="391">
        <f t="shared" si="27"/>
        <v>0</v>
      </c>
      <c r="DK28" s="385"/>
      <c r="DL28" s="391"/>
      <c r="DM28" s="391"/>
      <c r="DN28" s="391"/>
      <c r="DO28" s="391"/>
      <c r="DP28" s="391"/>
      <c r="DQ28" s="391">
        <f t="shared" si="33"/>
        <v>0</v>
      </c>
      <c r="DR28" s="492"/>
      <c r="DS28" s="492"/>
      <c r="DT28" s="1423"/>
    </row>
    <row r="29" spans="1:124" s="146" customFormat="1" ht="21" customHeight="1" x14ac:dyDescent="0.25">
      <c r="A29" s="2210"/>
      <c r="B29" s="1426" t="s">
        <v>711</v>
      </c>
      <c r="C29" s="919">
        <f t="shared" si="34"/>
        <v>0</v>
      </c>
      <c r="D29" s="738">
        <f t="shared" si="35"/>
        <v>0</v>
      </c>
      <c r="E29" s="920">
        <f t="shared" si="35"/>
        <v>0</v>
      </c>
      <c r="F29" s="746"/>
      <c r="G29" s="747"/>
      <c r="H29" s="746"/>
      <c r="I29" s="747"/>
      <c r="J29" s="746"/>
      <c r="K29" s="747"/>
      <c r="L29" s="746"/>
      <c r="M29" s="747"/>
      <c r="N29" s="746"/>
      <c r="O29" s="747"/>
      <c r="P29" s="746"/>
      <c r="Q29" s="747"/>
      <c r="R29" s="746"/>
      <c r="S29" s="747"/>
      <c r="T29" s="746"/>
      <c r="U29" s="747"/>
      <c r="V29" s="746"/>
      <c r="W29" s="747"/>
      <c r="X29" s="746"/>
      <c r="Y29" s="747"/>
      <c r="Z29" s="746"/>
      <c r="AA29" s="747"/>
      <c r="AB29" s="746"/>
      <c r="AC29" s="747"/>
      <c r="AD29" s="746"/>
      <c r="AE29" s="747"/>
      <c r="AF29" s="746"/>
      <c r="AG29" s="747"/>
      <c r="AH29" s="746"/>
      <c r="AI29" s="747"/>
      <c r="AJ29" s="746"/>
      <c r="AK29" s="747"/>
      <c r="AL29" s="746"/>
      <c r="AM29" s="748"/>
      <c r="AN29" s="1171"/>
      <c r="AO29" s="1156"/>
      <c r="AP29" s="1166"/>
      <c r="AQ29" s="747"/>
      <c r="AR29" s="1166"/>
      <c r="AS29" s="747"/>
      <c r="AT29" s="921"/>
      <c r="AU29" s="921"/>
      <c r="AV29" s="921"/>
      <c r="AW29" s="921"/>
      <c r="AX29" s="921"/>
      <c r="AY29" s="1688" t="str">
        <f t="shared" si="3"/>
        <v/>
      </c>
      <c r="AZ29" s="186"/>
      <c r="BA29" s="186"/>
      <c r="CB29" s="381"/>
      <c r="CC29" s="381"/>
      <c r="CD29" s="381"/>
      <c r="CE29" s="381"/>
      <c r="CF29" s="381"/>
      <c r="CG29" s="381"/>
      <c r="CH29" s="381"/>
      <c r="CI29" s="381" t="str">
        <f t="shared" si="11"/>
        <v/>
      </c>
      <c r="CJ29" s="387"/>
      <c r="CK29" s="381" t="str">
        <f t="shared" si="12"/>
        <v/>
      </c>
      <c r="CL29" s="387"/>
      <c r="CM29" s="387"/>
      <c r="CN29" s="381"/>
      <c r="CO29" s="381"/>
      <c r="CP29" s="381"/>
      <c r="CQ29" s="381"/>
      <c r="CR29" s="381"/>
      <c r="CS29" s="381" t="str">
        <f t="shared" si="18"/>
        <v/>
      </c>
      <c r="CT29" s="491"/>
      <c r="CU29" s="491"/>
      <c r="CV29" s="387"/>
      <c r="CW29" s="387"/>
      <c r="CX29" s="387"/>
      <c r="CY29" s="492"/>
      <c r="CZ29" s="492"/>
      <c r="DA29" s="391"/>
      <c r="DB29" s="391"/>
      <c r="DC29" s="391"/>
      <c r="DD29" s="391"/>
      <c r="DE29" s="391"/>
      <c r="DF29" s="391"/>
      <c r="DG29" s="391"/>
      <c r="DH29" s="391">
        <f t="shared" si="26"/>
        <v>0</v>
      </c>
      <c r="DI29" s="385"/>
      <c r="DJ29" s="391">
        <f t="shared" si="27"/>
        <v>0</v>
      </c>
      <c r="DK29" s="385"/>
      <c r="DL29" s="391"/>
      <c r="DM29" s="391"/>
      <c r="DN29" s="391"/>
      <c r="DO29" s="391"/>
      <c r="DP29" s="391"/>
      <c r="DQ29" s="391">
        <f t="shared" si="33"/>
        <v>0</v>
      </c>
      <c r="DR29" s="492"/>
      <c r="DS29" s="492"/>
      <c r="DT29" s="1423"/>
    </row>
    <row r="30" spans="1:124" s="146" customFormat="1" ht="21" customHeight="1" x14ac:dyDescent="0.25">
      <c r="A30" s="2208"/>
      <c r="B30" s="1023" t="s">
        <v>712</v>
      </c>
      <c r="C30" s="719">
        <f t="shared" si="34"/>
        <v>0</v>
      </c>
      <c r="D30" s="728">
        <f t="shared" si="35"/>
        <v>0</v>
      </c>
      <c r="E30" s="914">
        <f t="shared" si="35"/>
        <v>0</v>
      </c>
      <c r="F30" s="740"/>
      <c r="G30" s="741"/>
      <c r="H30" s="740"/>
      <c r="I30" s="741"/>
      <c r="J30" s="740"/>
      <c r="K30" s="741"/>
      <c r="L30" s="740"/>
      <c r="M30" s="741"/>
      <c r="N30" s="740"/>
      <c r="O30" s="741"/>
      <c r="P30" s="740"/>
      <c r="Q30" s="741"/>
      <c r="R30" s="740"/>
      <c r="S30" s="741"/>
      <c r="T30" s="740"/>
      <c r="U30" s="741"/>
      <c r="V30" s="740"/>
      <c r="W30" s="741"/>
      <c r="X30" s="740"/>
      <c r="Y30" s="741"/>
      <c r="Z30" s="740"/>
      <c r="AA30" s="741"/>
      <c r="AB30" s="740"/>
      <c r="AC30" s="741"/>
      <c r="AD30" s="740"/>
      <c r="AE30" s="741"/>
      <c r="AF30" s="740"/>
      <c r="AG30" s="741"/>
      <c r="AH30" s="740"/>
      <c r="AI30" s="741"/>
      <c r="AJ30" s="740"/>
      <c r="AK30" s="741"/>
      <c r="AL30" s="740"/>
      <c r="AM30" s="771"/>
      <c r="AN30" s="1169"/>
      <c r="AO30" s="1155"/>
      <c r="AP30" s="812"/>
      <c r="AQ30" s="741"/>
      <c r="AR30" s="812"/>
      <c r="AS30" s="741"/>
      <c r="AT30" s="785"/>
      <c r="AU30" s="785"/>
      <c r="AV30" s="785"/>
      <c r="AW30" s="785"/>
      <c r="AX30" s="785"/>
      <c r="AY30" s="1688" t="str">
        <f t="shared" si="3"/>
        <v/>
      </c>
      <c r="AZ30" s="186"/>
      <c r="BA30" s="186"/>
      <c r="CB30" s="381" t="str">
        <f>IF($AN30&gt;$E30,"* La celda 'Gestantes' debe ser menor o igual al Total de Mujeres en control. ","")</f>
        <v/>
      </c>
      <c r="CC30" s="381" t="str">
        <f>IF($AO30&gt;$E30,"* La celda 'Madres de Hijos menor de 5 años' debe ser menor o igual al Total de Mujeres en control. ","")</f>
        <v/>
      </c>
      <c r="CD30" s="381" t="str">
        <f t="shared" si="36"/>
        <v/>
      </c>
      <c r="CE30" s="381" t="str">
        <f t="shared" si="7"/>
        <v/>
      </c>
      <c r="CF30" s="381" t="str">
        <f t="shared" si="37"/>
        <v/>
      </c>
      <c r="CG30" s="381" t="str">
        <f t="shared" si="9"/>
        <v/>
      </c>
      <c r="CH30" s="381" t="str">
        <f t="shared" si="10"/>
        <v/>
      </c>
      <c r="CI30" s="381" t="str">
        <f t="shared" si="11"/>
        <v/>
      </c>
      <c r="CJ30" s="387"/>
      <c r="CK30" s="381" t="str">
        <f t="shared" si="12"/>
        <v/>
      </c>
      <c r="CL30" s="387"/>
      <c r="CM30" s="387"/>
      <c r="CN30" s="381" t="str">
        <f>IF(AND($C30&lt;&gt;0,$AN30=""),"* No olvide escribir en la celda de 'Gestantes' (Digite CERO si no tiene). ","")</f>
        <v/>
      </c>
      <c r="CO30" s="381" t="str">
        <f>IF(AND($C30&lt;&gt;0,$AO30=""),"* No olvide escribir en la celda de 'Madres de Hijos menor de 5 años' (Digite CERO si no tiene). ","")</f>
        <v/>
      </c>
      <c r="CP30" s="381" t="str">
        <f t="shared" si="38"/>
        <v/>
      </c>
      <c r="CQ30" s="381" t="str">
        <f t="shared" si="39"/>
        <v/>
      </c>
      <c r="CR30" s="381" t="str">
        <f t="shared" si="40"/>
        <v/>
      </c>
      <c r="CS30" s="381" t="str">
        <f t="shared" si="18"/>
        <v/>
      </c>
      <c r="CT30" s="491"/>
      <c r="CU30" s="491"/>
      <c r="CV30" s="387"/>
      <c r="CW30" s="387"/>
      <c r="CX30" s="387"/>
      <c r="CY30" s="492"/>
      <c r="CZ30" s="492"/>
      <c r="DA30" s="391">
        <f>IF($AN30&gt;$E30,1,0)</f>
        <v>0</v>
      </c>
      <c r="DB30" s="391">
        <f t="shared" si="20"/>
        <v>0</v>
      </c>
      <c r="DC30" s="391">
        <f t="shared" si="41"/>
        <v>0</v>
      </c>
      <c r="DD30" s="391">
        <f t="shared" si="22"/>
        <v>0</v>
      </c>
      <c r="DE30" s="391">
        <f t="shared" si="42"/>
        <v>0</v>
      </c>
      <c r="DF30" s="391">
        <f t="shared" si="24"/>
        <v>0</v>
      </c>
      <c r="DG30" s="391">
        <f t="shared" si="25"/>
        <v>0</v>
      </c>
      <c r="DH30" s="391">
        <f t="shared" si="26"/>
        <v>0</v>
      </c>
      <c r="DI30" s="385"/>
      <c r="DJ30" s="391">
        <f t="shared" si="27"/>
        <v>0</v>
      </c>
      <c r="DK30" s="385"/>
      <c r="DL30" s="391">
        <f>IF(AND($C30&lt;&gt;0,$AN30=""),1,0)</f>
        <v>0</v>
      </c>
      <c r="DM30" s="391">
        <f t="shared" si="29"/>
        <v>0</v>
      </c>
      <c r="DN30" s="391">
        <f t="shared" si="30"/>
        <v>0</v>
      </c>
      <c r="DO30" s="391">
        <f t="shared" si="43"/>
        <v>0</v>
      </c>
      <c r="DP30" s="391">
        <f t="shared" si="44"/>
        <v>0</v>
      </c>
      <c r="DQ30" s="391">
        <f t="shared" si="33"/>
        <v>0</v>
      </c>
      <c r="DR30" s="492"/>
      <c r="DS30" s="492"/>
      <c r="DT30" s="1423"/>
    </row>
    <row r="31" spans="1:124" s="146" customFormat="1" ht="21" customHeight="1" x14ac:dyDescent="0.25">
      <c r="A31" s="2211" t="s">
        <v>221</v>
      </c>
      <c r="B31" s="396" t="s">
        <v>222</v>
      </c>
      <c r="C31" s="714">
        <f t="shared" si="34"/>
        <v>0</v>
      </c>
      <c r="D31" s="729">
        <f t="shared" si="35"/>
        <v>0</v>
      </c>
      <c r="E31" s="922">
        <f t="shared" si="35"/>
        <v>0</v>
      </c>
      <c r="F31" s="731"/>
      <c r="G31" s="732"/>
      <c r="H31" s="731"/>
      <c r="I31" s="732"/>
      <c r="J31" s="731"/>
      <c r="K31" s="732"/>
      <c r="L31" s="731"/>
      <c r="M31" s="732"/>
      <c r="N31" s="731"/>
      <c r="O31" s="732"/>
      <c r="P31" s="731"/>
      <c r="Q31" s="732"/>
      <c r="R31" s="731"/>
      <c r="S31" s="732"/>
      <c r="T31" s="731"/>
      <c r="U31" s="732"/>
      <c r="V31" s="731"/>
      <c r="W31" s="732"/>
      <c r="X31" s="731"/>
      <c r="Y31" s="732"/>
      <c r="Z31" s="731"/>
      <c r="AA31" s="732"/>
      <c r="AB31" s="731"/>
      <c r="AC31" s="732"/>
      <c r="AD31" s="731"/>
      <c r="AE31" s="732"/>
      <c r="AF31" s="731"/>
      <c r="AG31" s="732"/>
      <c r="AH31" s="731"/>
      <c r="AI31" s="732"/>
      <c r="AJ31" s="731"/>
      <c r="AK31" s="732"/>
      <c r="AL31" s="731"/>
      <c r="AM31" s="743"/>
      <c r="AN31" s="1168"/>
      <c r="AO31" s="1543"/>
      <c r="AP31" s="810"/>
      <c r="AQ31" s="732"/>
      <c r="AR31" s="810"/>
      <c r="AS31" s="732"/>
      <c r="AT31" s="809"/>
      <c r="AU31" s="809"/>
      <c r="AV31" s="809"/>
      <c r="AW31" s="809"/>
      <c r="AX31" s="809"/>
      <c r="AY31" s="1688" t="str">
        <f t="shared" si="3"/>
        <v/>
      </c>
      <c r="AZ31" s="186"/>
      <c r="BA31" s="186"/>
      <c r="CB31" s="387"/>
      <c r="CC31" s="387"/>
      <c r="CD31" s="381" t="str">
        <f t="shared" si="36"/>
        <v/>
      </c>
      <c r="CE31" s="381" t="str">
        <f t="shared" si="7"/>
        <v/>
      </c>
      <c r="CF31" s="381" t="str">
        <f t="shared" si="37"/>
        <v/>
      </c>
      <c r="CG31" s="381" t="str">
        <f t="shared" si="9"/>
        <v/>
      </c>
      <c r="CH31" s="381" t="str">
        <f t="shared" si="10"/>
        <v/>
      </c>
      <c r="CI31" s="381" t="str">
        <f t="shared" si="11"/>
        <v/>
      </c>
      <c r="CJ31" s="387"/>
      <c r="CK31" s="381" t="str">
        <f t="shared" si="12"/>
        <v/>
      </c>
      <c r="CL31" s="387"/>
      <c r="CM31" s="387"/>
      <c r="CN31" s="387"/>
      <c r="CO31" s="387"/>
      <c r="CP31" s="381" t="str">
        <f t="shared" si="38"/>
        <v/>
      </c>
      <c r="CQ31" s="381" t="str">
        <f t="shared" si="39"/>
        <v/>
      </c>
      <c r="CR31" s="381" t="str">
        <f t="shared" si="40"/>
        <v/>
      </c>
      <c r="CS31" s="381" t="str">
        <f t="shared" si="18"/>
        <v/>
      </c>
      <c r="CT31" s="491"/>
      <c r="CU31" s="491"/>
      <c r="CV31" s="387"/>
      <c r="CW31" s="387"/>
      <c r="CX31" s="387"/>
      <c r="CY31" s="492"/>
      <c r="CZ31" s="492"/>
      <c r="DA31" s="385"/>
      <c r="DB31" s="385"/>
      <c r="DC31" s="391">
        <f t="shared" si="41"/>
        <v>0</v>
      </c>
      <c r="DD31" s="391">
        <f t="shared" si="22"/>
        <v>0</v>
      </c>
      <c r="DE31" s="391">
        <f t="shared" si="42"/>
        <v>0</v>
      </c>
      <c r="DF31" s="391">
        <f t="shared" si="24"/>
        <v>0</v>
      </c>
      <c r="DG31" s="391">
        <f t="shared" si="25"/>
        <v>0</v>
      </c>
      <c r="DH31" s="391">
        <f t="shared" si="26"/>
        <v>0</v>
      </c>
      <c r="DI31" s="385"/>
      <c r="DJ31" s="391">
        <f t="shared" si="27"/>
        <v>0</v>
      </c>
      <c r="DK31" s="385"/>
      <c r="DL31" s="385"/>
      <c r="DM31" s="385"/>
      <c r="DN31" s="391">
        <f t="shared" si="30"/>
        <v>0</v>
      </c>
      <c r="DO31" s="391">
        <f t="shared" si="43"/>
        <v>0</v>
      </c>
      <c r="DP31" s="391">
        <f t="shared" si="44"/>
        <v>0</v>
      </c>
      <c r="DQ31" s="391">
        <f t="shared" si="33"/>
        <v>0</v>
      </c>
      <c r="DR31" s="492"/>
      <c r="DS31" s="492"/>
      <c r="DT31" s="1423"/>
    </row>
    <row r="32" spans="1:124" s="146" customFormat="1" ht="21" customHeight="1" x14ac:dyDescent="0.25">
      <c r="A32" s="2212"/>
      <c r="B32" s="397" t="s">
        <v>223</v>
      </c>
      <c r="C32" s="716">
        <f t="shared" si="34"/>
        <v>0</v>
      </c>
      <c r="D32" s="734">
        <f t="shared" si="35"/>
        <v>0</v>
      </c>
      <c r="E32" s="917">
        <f t="shared" si="35"/>
        <v>0</v>
      </c>
      <c r="F32" s="735"/>
      <c r="G32" s="736"/>
      <c r="H32" s="735"/>
      <c r="I32" s="736"/>
      <c r="J32" s="735"/>
      <c r="K32" s="736"/>
      <c r="L32" s="735"/>
      <c r="M32" s="736"/>
      <c r="N32" s="735"/>
      <c r="O32" s="813"/>
      <c r="P32" s="735"/>
      <c r="Q32" s="736"/>
      <c r="R32" s="735"/>
      <c r="S32" s="736"/>
      <c r="T32" s="735"/>
      <c r="U32" s="736"/>
      <c r="V32" s="735"/>
      <c r="W32" s="736"/>
      <c r="X32" s="735"/>
      <c r="Y32" s="736"/>
      <c r="Z32" s="735"/>
      <c r="AA32" s="736"/>
      <c r="AB32" s="735"/>
      <c r="AC32" s="736"/>
      <c r="AD32" s="735"/>
      <c r="AE32" s="736"/>
      <c r="AF32" s="735"/>
      <c r="AG32" s="736"/>
      <c r="AH32" s="735"/>
      <c r="AI32" s="736"/>
      <c r="AJ32" s="735"/>
      <c r="AK32" s="736"/>
      <c r="AL32" s="735"/>
      <c r="AM32" s="744"/>
      <c r="AN32" s="935"/>
      <c r="AO32" s="1533"/>
      <c r="AP32" s="813"/>
      <c r="AQ32" s="736"/>
      <c r="AR32" s="813"/>
      <c r="AS32" s="736"/>
      <c r="AT32" s="915"/>
      <c r="AU32" s="915"/>
      <c r="AV32" s="915"/>
      <c r="AW32" s="915"/>
      <c r="AX32" s="915"/>
      <c r="AY32" s="1688" t="str">
        <f t="shared" si="3"/>
        <v/>
      </c>
      <c r="AZ32" s="186"/>
      <c r="BA32" s="186"/>
      <c r="CB32" s="387"/>
      <c r="CC32" s="387"/>
      <c r="CD32" s="381" t="str">
        <f t="shared" si="36"/>
        <v/>
      </c>
      <c r="CE32" s="381" t="str">
        <f t="shared" si="7"/>
        <v/>
      </c>
      <c r="CF32" s="381" t="str">
        <f t="shared" si="37"/>
        <v/>
      </c>
      <c r="CG32" s="381" t="str">
        <f t="shared" si="9"/>
        <v/>
      </c>
      <c r="CH32" s="381" t="str">
        <f t="shared" si="10"/>
        <v/>
      </c>
      <c r="CI32" s="381" t="str">
        <f t="shared" si="11"/>
        <v/>
      </c>
      <c r="CJ32" s="387"/>
      <c r="CK32" s="381" t="str">
        <f t="shared" si="12"/>
        <v/>
      </c>
      <c r="CL32" s="387"/>
      <c r="CM32" s="387"/>
      <c r="CN32" s="387"/>
      <c r="CO32" s="387"/>
      <c r="CP32" s="381" t="str">
        <f t="shared" si="38"/>
        <v/>
      </c>
      <c r="CQ32" s="381" t="str">
        <f t="shared" si="39"/>
        <v/>
      </c>
      <c r="CR32" s="381" t="str">
        <f t="shared" si="40"/>
        <v/>
      </c>
      <c r="CS32" s="381" t="str">
        <f t="shared" si="18"/>
        <v/>
      </c>
      <c r="CT32" s="491"/>
      <c r="CU32" s="491"/>
      <c r="CV32" s="387"/>
      <c r="CW32" s="387"/>
      <c r="CX32" s="387"/>
      <c r="CY32" s="492"/>
      <c r="CZ32" s="492"/>
      <c r="DA32" s="385"/>
      <c r="DB32" s="385"/>
      <c r="DC32" s="391">
        <f t="shared" si="41"/>
        <v>0</v>
      </c>
      <c r="DD32" s="391">
        <f t="shared" si="22"/>
        <v>0</v>
      </c>
      <c r="DE32" s="391">
        <f t="shared" si="42"/>
        <v>0</v>
      </c>
      <c r="DF32" s="391">
        <f t="shared" si="24"/>
        <v>0</v>
      </c>
      <c r="DG32" s="391">
        <f t="shared" si="25"/>
        <v>0</v>
      </c>
      <c r="DH32" s="391">
        <f t="shared" si="26"/>
        <v>0</v>
      </c>
      <c r="DI32" s="385"/>
      <c r="DJ32" s="391">
        <f t="shared" si="27"/>
        <v>0</v>
      </c>
      <c r="DK32" s="385"/>
      <c r="DL32" s="385"/>
      <c r="DM32" s="385"/>
      <c r="DN32" s="391">
        <f t="shared" si="30"/>
        <v>0</v>
      </c>
      <c r="DO32" s="391">
        <f t="shared" si="43"/>
        <v>0</v>
      </c>
      <c r="DP32" s="391">
        <f t="shared" si="44"/>
        <v>0</v>
      </c>
      <c r="DQ32" s="391">
        <f t="shared" si="33"/>
        <v>0</v>
      </c>
      <c r="DR32" s="492"/>
      <c r="DS32" s="492"/>
      <c r="DT32" s="1423"/>
    </row>
    <row r="33" spans="1:124" s="146" customFormat="1" ht="21" customHeight="1" x14ac:dyDescent="0.25">
      <c r="A33" s="2212"/>
      <c r="B33" s="397" t="s">
        <v>224</v>
      </c>
      <c r="C33" s="722">
        <f t="shared" si="34"/>
        <v>0</v>
      </c>
      <c r="D33" s="723">
        <f>+F33+H33+J33</f>
        <v>0</v>
      </c>
      <c r="E33" s="913">
        <f>+G33+I33+K33</f>
        <v>0</v>
      </c>
      <c r="F33" s="735"/>
      <c r="G33" s="736"/>
      <c r="H33" s="735"/>
      <c r="I33" s="736"/>
      <c r="J33" s="735"/>
      <c r="K33" s="736"/>
      <c r="L33" s="779"/>
      <c r="M33" s="780"/>
      <c r="N33" s="779"/>
      <c r="O33" s="780"/>
      <c r="P33" s="779"/>
      <c r="Q33" s="780"/>
      <c r="R33" s="779"/>
      <c r="S33" s="780"/>
      <c r="T33" s="779"/>
      <c r="U33" s="780"/>
      <c r="V33" s="779"/>
      <c r="W33" s="780"/>
      <c r="X33" s="779"/>
      <c r="Y33" s="780"/>
      <c r="Z33" s="779"/>
      <c r="AA33" s="780"/>
      <c r="AB33" s="779"/>
      <c r="AC33" s="780"/>
      <c r="AD33" s="779"/>
      <c r="AE33" s="780"/>
      <c r="AF33" s="779"/>
      <c r="AG33" s="780"/>
      <c r="AH33" s="779"/>
      <c r="AI33" s="780"/>
      <c r="AJ33" s="779"/>
      <c r="AK33" s="780"/>
      <c r="AL33" s="779"/>
      <c r="AM33" s="918"/>
      <c r="AN33" s="935"/>
      <c r="AO33" s="1533"/>
      <c r="AP33" s="813"/>
      <c r="AQ33" s="736"/>
      <c r="AR33" s="813"/>
      <c r="AS33" s="736"/>
      <c r="AT33" s="915"/>
      <c r="AU33" s="915"/>
      <c r="AV33" s="915"/>
      <c r="AW33" s="915"/>
      <c r="AX33" s="915"/>
      <c r="AY33" s="1688" t="str">
        <f t="shared" si="3"/>
        <v/>
      </c>
      <c r="AZ33" s="186"/>
      <c r="BA33" s="186"/>
      <c r="CB33" s="387"/>
      <c r="CC33" s="387"/>
      <c r="CD33" s="381" t="str">
        <f t="shared" si="36"/>
        <v/>
      </c>
      <c r="CE33" s="381" t="str">
        <f t="shared" si="7"/>
        <v/>
      </c>
      <c r="CF33" s="381" t="str">
        <f t="shared" si="37"/>
        <v/>
      </c>
      <c r="CG33" s="381" t="str">
        <f t="shared" si="9"/>
        <v/>
      </c>
      <c r="CH33" s="381" t="str">
        <f t="shared" si="10"/>
        <v/>
      </c>
      <c r="CI33" s="381" t="str">
        <f t="shared" si="11"/>
        <v/>
      </c>
      <c r="CJ33" s="387"/>
      <c r="CK33" s="381" t="str">
        <f t="shared" si="12"/>
        <v/>
      </c>
      <c r="CL33" s="387"/>
      <c r="CM33" s="387"/>
      <c r="CN33" s="387"/>
      <c r="CO33" s="387"/>
      <c r="CP33" s="381" t="str">
        <f t="shared" si="38"/>
        <v/>
      </c>
      <c r="CQ33" s="381" t="str">
        <f t="shared" si="39"/>
        <v/>
      </c>
      <c r="CR33" s="381" t="str">
        <f t="shared" si="40"/>
        <v/>
      </c>
      <c r="CS33" s="381" t="str">
        <f t="shared" si="18"/>
        <v/>
      </c>
      <c r="CT33" s="491"/>
      <c r="CU33" s="491"/>
      <c r="CV33" s="387"/>
      <c r="CW33" s="387"/>
      <c r="CX33" s="387"/>
      <c r="CY33" s="492"/>
      <c r="CZ33" s="492"/>
      <c r="DA33" s="385"/>
      <c r="DB33" s="385"/>
      <c r="DC33" s="391">
        <f t="shared" si="41"/>
        <v>0</v>
      </c>
      <c r="DD33" s="391">
        <f t="shared" si="22"/>
        <v>0</v>
      </c>
      <c r="DE33" s="391">
        <f t="shared" si="42"/>
        <v>0</v>
      </c>
      <c r="DF33" s="391">
        <f t="shared" si="24"/>
        <v>0</v>
      </c>
      <c r="DG33" s="391">
        <f t="shared" si="25"/>
        <v>0</v>
      </c>
      <c r="DH33" s="391">
        <f t="shared" si="26"/>
        <v>0</v>
      </c>
      <c r="DI33" s="385"/>
      <c r="DJ33" s="391">
        <f t="shared" si="27"/>
        <v>0</v>
      </c>
      <c r="DK33" s="385"/>
      <c r="DL33" s="385"/>
      <c r="DM33" s="385"/>
      <c r="DN33" s="391">
        <f t="shared" si="30"/>
        <v>0</v>
      </c>
      <c r="DO33" s="391">
        <f t="shared" si="43"/>
        <v>0</v>
      </c>
      <c r="DP33" s="391">
        <f t="shared" si="44"/>
        <v>0</v>
      </c>
      <c r="DQ33" s="391">
        <f t="shared" si="33"/>
        <v>0</v>
      </c>
      <c r="DR33" s="492"/>
      <c r="DS33" s="492"/>
      <c r="DT33" s="1423"/>
    </row>
    <row r="34" spans="1:124" s="146" customFormat="1" ht="33" customHeight="1" x14ac:dyDescent="0.25">
      <c r="A34" s="1842"/>
      <c r="B34" s="1006" t="s">
        <v>225</v>
      </c>
      <c r="C34" s="719">
        <f t="shared" si="34"/>
        <v>0</v>
      </c>
      <c r="D34" s="728">
        <f>+F34+H34+J34+L34+N34</f>
        <v>0</v>
      </c>
      <c r="E34" s="914">
        <f>+G34+I34+K34+M34+O34</f>
        <v>0</v>
      </c>
      <c r="F34" s="740"/>
      <c r="G34" s="741"/>
      <c r="H34" s="740"/>
      <c r="I34" s="741"/>
      <c r="J34" s="740"/>
      <c r="K34" s="741"/>
      <c r="L34" s="740"/>
      <c r="M34" s="741"/>
      <c r="N34" s="740"/>
      <c r="O34" s="741"/>
      <c r="P34" s="782"/>
      <c r="Q34" s="783"/>
      <c r="R34" s="782"/>
      <c r="S34" s="783"/>
      <c r="T34" s="782"/>
      <c r="U34" s="783"/>
      <c r="V34" s="782"/>
      <c r="W34" s="783"/>
      <c r="X34" s="782"/>
      <c r="Y34" s="783"/>
      <c r="Z34" s="782"/>
      <c r="AA34" s="783"/>
      <c r="AB34" s="782"/>
      <c r="AC34" s="783"/>
      <c r="AD34" s="782"/>
      <c r="AE34" s="783"/>
      <c r="AF34" s="782"/>
      <c r="AG34" s="783"/>
      <c r="AH34" s="782"/>
      <c r="AI34" s="783"/>
      <c r="AJ34" s="782"/>
      <c r="AK34" s="783"/>
      <c r="AL34" s="782"/>
      <c r="AM34" s="1544"/>
      <c r="AN34" s="1169"/>
      <c r="AO34" s="1534"/>
      <c r="AP34" s="812"/>
      <c r="AQ34" s="741"/>
      <c r="AR34" s="812"/>
      <c r="AS34" s="741"/>
      <c r="AT34" s="785"/>
      <c r="AU34" s="785"/>
      <c r="AV34" s="785"/>
      <c r="AW34" s="785"/>
      <c r="AX34" s="785"/>
      <c r="AY34" s="1688" t="str">
        <f t="shared" si="3"/>
        <v/>
      </c>
      <c r="AZ34" s="186"/>
      <c r="BA34" s="186"/>
      <c r="CB34" s="387"/>
      <c r="CC34" s="387"/>
      <c r="CD34" s="381" t="str">
        <f t="shared" si="36"/>
        <v/>
      </c>
      <c r="CE34" s="381" t="str">
        <f t="shared" si="7"/>
        <v/>
      </c>
      <c r="CF34" s="381" t="str">
        <f t="shared" si="37"/>
        <v/>
      </c>
      <c r="CG34" s="381" t="str">
        <f t="shared" si="9"/>
        <v/>
      </c>
      <c r="CH34" s="381" t="str">
        <f t="shared" si="10"/>
        <v/>
      </c>
      <c r="CI34" s="381" t="str">
        <f t="shared" si="11"/>
        <v/>
      </c>
      <c r="CJ34" s="387"/>
      <c r="CK34" s="381" t="str">
        <f t="shared" si="12"/>
        <v/>
      </c>
      <c r="CL34" s="387"/>
      <c r="CM34" s="387"/>
      <c r="CN34" s="387"/>
      <c r="CO34" s="387"/>
      <c r="CP34" s="381" t="str">
        <f t="shared" si="38"/>
        <v/>
      </c>
      <c r="CQ34" s="381" t="str">
        <f t="shared" si="39"/>
        <v/>
      </c>
      <c r="CR34" s="381" t="str">
        <f t="shared" si="40"/>
        <v/>
      </c>
      <c r="CS34" s="381" t="str">
        <f t="shared" si="18"/>
        <v/>
      </c>
      <c r="CT34" s="491"/>
      <c r="CU34" s="491"/>
      <c r="CV34" s="387"/>
      <c r="CW34" s="387"/>
      <c r="CX34" s="387"/>
      <c r="CY34" s="492"/>
      <c r="CZ34" s="492"/>
      <c r="DA34" s="385"/>
      <c r="DB34" s="385"/>
      <c r="DC34" s="391">
        <f t="shared" si="41"/>
        <v>0</v>
      </c>
      <c r="DD34" s="391">
        <f t="shared" si="22"/>
        <v>0</v>
      </c>
      <c r="DE34" s="391">
        <f t="shared" si="42"/>
        <v>0</v>
      </c>
      <c r="DF34" s="391">
        <f t="shared" si="24"/>
        <v>0</v>
      </c>
      <c r="DG34" s="391">
        <f t="shared" si="25"/>
        <v>0</v>
      </c>
      <c r="DH34" s="391">
        <f t="shared" si="26"/>
        <v>0</v>
      </c>
      <c r="DI34" s="385"/>
      <c r="DJ34" s="391">
        <f t="shared" si="27"/>
        <v>0</v>
      </c>
      <c r="DK34" s="385"/>
      <c r="DL34" s="385"/>
      <c r="DM34" s="385"/>
      <c r="DN34" s="391">
        <f t="shared" si="30"/>
        <v>0</v>
      </c>
      <c r="DO34" s="391">
        <f t="shared" si="43"/>
        <v>0</v>
      </c>
      <c r="DP34" s="391">
        <f t="shared" si="44"/>
        <v>0</v>
      </c>
      <c r="DQ34" s="391">
        <f t="shared" si="33"/>
        <v>0</v>
      </c>
      <c r="DR34" s="492"/>
      <c r="DS34" s="492"/>
      <c r="DT34" s="1423"/>
    </row>
    <row r="35" spans="1:124" s="146" customFormat="1" ht="15.75" customHeight="1" x14ac:dyDescent="0.25">
      <c r="A35" s="2108" t="s">
        <v>226</v>
      </c>
      <c r="B35" s="396" t="s">
        <v>553</v>
      </c>
      <c r="C35" s="997">
        <f t="shared" si="34"/>
        <v>0</v>
      </c>
      <c r="D35" s="998">
        <f t="shared" ref="D35:E39" si="45">SUM(F35+H35+J35+L35+N35+P35+R35+T35+V35+X35+Z35+AB35+AD35+AF35+AH35+AJ35+AL35)</f>
        <v>0</v>
      </c>
      <c r="E35" s="999">
        <f>SUM(G35+I35+K35+M35+O35+Q35+S35+U35+W35+Y35+AA35+AC35+AE35+AG35+AI35+AK35+AM35)</f>
        <v>0</v>
      </c>
      <c r="F35" s="755"/>
      <c r="G35" s="756"/>
      <c r="H35" s="755"/>
      <c r="I35" s="756"/>
      <c r="J35" s="755"/>
      <c r="K35" s="756"/>
      <c r="L35" s="735"/>
      <c r="M35" s="736"/>
      <c r="N35" s="731"/>
      <c r="O35" s="813"/>
      <c r="P35" s="735"/>
      <c r="Q35" s="813"/>
      <c r="R35" s="735"/>
      <c r="S35" s="813"/>
      <c r="T35" s="735"/>
      <c r="U35" s="813"/>
      <c r="V35" s="735"/>
      <c r="W35" s="813"/>
      <c r="X35" s="735"/>
      <c r="Y35" s="813"/>
      <c r="Z35" s="735"/>
      <c r="AA35" s="813"/>
      <c r="AB35" s="735"/>
      <c r="AC35" s="813"/>
      <c r="AD35" s="735"/>
      <c r="AE35" s="813"/>
      <c r="AF35" s="735"/>
      <c r="AG35" s="813"/>
      <c r="AH35" s="735"/>
      <c r="AI35" s="813"/>
      <c r="AJ35" s="735"/>
      <c r="AK35" s="813"/>
      <c r="AL35" s="735"/>
      <c r="AM35" s="743"/>
      <c r="AN35" s="1168"/>
      <c r="AO35" s="1152"/>
      <c r="AP35" s="813"/>
      <c r="AQ35" s="915"/>
      <c r="AR35" s="813"/>
      <c r="AS35" s="736"/>
      <c r="AT35" s="809"/>
      <c r="AU35" s="809"/>
      <c r="AV35" s="732"/>
      <c r="AW35" s="732"/>
      <c r="AX35" s="732"/>
      <c r="AY35" s="1688" t="str">
        <f t="shared" si="3"/>
        <v/>
      </c>
      <c r="AZ35" s="186"/>
      <c r="BA35" s="186"/>
      <c r="CB35" s="381" t="str">
        <f t="shared" ref="CB35:CB53" si="46">IF($AN35&gt;$E35,"* La celda 'Gestantes' debe ser menor o igual al Total de Mujeres en control. ","")</f>
        <v/>
      </c>
      <c r="CC35" s="381" t="str">
        <f t="shared" ref="CC35:CC53" si="47">IF($AO35&gt;$E35,"* La celda 'Madres de Hijos menor de 5 años' debe ser menor o igual al Total de Mujeres en control. ","")</f>
        <v/>
      </c>
      <c r="CD35" s="381" t="str">
        <f t="shared" si="36"/>
        <v/>
      </c>
      <c r="CE35" s="381" t="str">
        <f t="shared" si="7"/>
        <v/>
      </c>
      <c r="CF35" s="381" t="str">
        <f t="shared" si="37"/>
        <v/>
      </c>
      <c r="CG35" s="381" t="str">
        <f t="shared" si="9"/>
        <v/>
      </c>
      <c r="CH35" s="381" t="str">
        <f t="shared" si="10"/>
        <v/>
      </c>
      <c r="CI35" s="381" t="str">
        <f t="shared" si="11"/>
        <v/>
      </c>
      <c r="CJ35" s="387"/>
      <c r="CK35" s="381" t="str">
        <f t="shared" si="12"/>
        <v/>
      </c>
      <c r="CL35" s="387"/>
      <c r="CM35" s="387"/>
      <c r="CN35" s="381" t="str">
        <f t="shared" ref="CN35:CN53" si="48">IF(AND($C35&lt;&gt;0,$AN35=""),"* No olvide escribir en la celda de 'Gestantes' (Digite CERO si no tiene). ","")</f>
        <v/>
      </c>
      <c r="CO35" s="381" t="str">
        <f t="shared" ref="CO35:CO53" si="49">IF(AND($C35&lt;&gt;0,$AO35=""),"* No olvide escribir en la celda de 'Madres de Hijos menor de 5 años' (Digite CERO si no tiene). ","")</f>
        <v/>
      </c>
      <c r="CP35" s="381" t="str">
        <f t="shared" si="38"/>
        <v/>
      </c>
      <c r="CQ35" s="381" t="str">
        <f t="shared" si="39"/>
        <v/>
      </c>
      <c r="CR35" s="381" t="str">
        <f t="shared" si="40"/>
        <v/>
      </c>
      <c r="CS35" s="381" t="str">
        <f t="shared" si="18"/>
        <v/>
      </c>
      <c r="CT35" s="491"/>
      <c r="CU35" s="491"/>
      <c r="CV35" s="387"/>
      <c r="CW35" s="387"/>
      <c r="CX35" s="387"/>
      <c r="CY35" s="492"/>
      <c r="CZ35" s="492"/>
      <c r="DA35" s="391">
        <f t="shared" ref="DA35:DA53" si="50">IF($AN35&gt;$E35,1,0)</f>
        <v>0</v>
      </c>
      <c r="DB35" s="391">
        <f t="shared" ref="DB35:DB53" si="51">IF($AO35&gt;$E35,1,0)</f>
        <v>0</v>
      </c>
      <c r="DC35" s="391">
        <f t="shared" si="41"/>
        <v>0</v>
      </c>
      <c r="DD35" s="391">
        <f t="shared" si="22"/>
        <v>0</v>
      </c>
      <c r="DE35" s="391">
        <f t="shared" si="42"/>
        <v>0</v>
      </c>
      <c r="DF35" s="391">
        <f t="shared" si="24"/>
        <v>0</v>
      </c>
      <c r="DG35" s="391">
        <f t="shared" si="25"/>
        <v>0</v>
      </c>
      <c r="DH35" s="391">
        <f t="shared" si="26"/>
        <v>0</v>
      </c>
      <c r="DI35" s="385"/>
      <c r="DJ35" s="391">
        <f t="shared" si="27"/>
        <v>0</v>
      </c>
      <c r="DK35" s="385"/>
      <c r="DL35" s="391">
        <f t="shared" ref="DL35:DL53" si="52">IF(AND($C35&lt;&gt;0,$AN35=""),1,0)</f>
        <v>0</v>
      </c>
      <c r="DM35" s="391">
        <f t="shared" ref="DM35:DM53" si="53">IF(AND($C35&lt;&gt;0,$AO35=""),1,0)</f>
        <v>0</v>
      </c>
      <c r="DN35" s="391">
        <f t="shared" si="30"/>
        <v>0</v>
      </c>
      <c r="DO35" s="391">
        <f t="shared" si="43"/>
        <v>0</v>
      </c>
      <c r="DP35" s="391">
        <f t="shared" si="44"/>
        <v>0</v>
      </c>
      <c r="DQ35" s="391">
        <f t="shared" si="33"/>
        <v>0</v>
      </c>
      <c r="DR35" s="492"/>
      <c r="DS35" s="492"/>
      <c r="DT35" s="1423"/>
    </row>
    <row r="36" spans="1:124" s="146" customFormat="1" ht="15.75" customHeight="1" x14ac:dyDescent="0.25">
      <c r="A36" s="1982"/>
      <c r="B36" s="1427" t="s">
        <v>828</v>
      </c>
      <c r="C36" s="997">
        <f t="shared" si="34"/>
        <v>0</v>
      </c>
      <c r="D36" s="998">
        <f t="shared" si="45"/>
        <v>0</v>
      </c>
      <c r="E36" s="999">
        <f>SUM(G36+I36+K36+M36+O36+Q36+S36+U36+W36+Y36+AA36+AC36+AE36+AG36+AI36+AK36+AM36)</f>
        <v>0</v>
      </c>
      <c r="F36" s="735"/>
      <c r="G36" s="736"/>
      <c r="H36" s="735"/>
      <c r="I36" s="736"/>
      <c r="J36" s="735"/>
      <c r="K36" s="736"/>
      <c r="L36" s="735"/>
      <c r="M36" s="736"/>
      <c r="N36" s="735"/>
      <c r="O36" s="813"/>
      <c r="P36" s="735"/>
      <c r="Q36" s="813"/>
      <c r="R36" s="735"/>
      <c r="S36" s="813"/>
      <c r="T36" s="735"/>
      <c r="U36" s="813"/>
      <c r="V36" s="735"/>
      <c r="W36" s="813"/>
      <c r="X36" s="735"/>
      <c r="Y36" s="813"/>
      <c r="Z36" s="735"/>
      <c r="AA36" s="813"/>
      <c r="AB36" s="735"/>
      <c r="AC36" s="813"/>
      <c r="AD36" s="735"/>
      <c r="AE36" s="813"/>
      <c r="AF36" s="735"/>
      <c r="AG36" s="813"/>
      <c r="AH36" s="735"/>
      <c r="AI36" s="813"/>
      <c r="AJ36" s="735"/>
      <c r="AK36" s="813"/>
      <c r="AL36" s="735"/>
      <c r="AM36" s="744"/>
      <c r="AN36" s="935"/>
      <c r="AO36" s="1153"/>
      <c r="AP36" s="813"/>
      <c r="AQ36" s="915"/>
      <c r="AR36" s="813"/>
      <c r="AS36" s="736"/>
      <c r="AT36" s="915"/>
      <c r="AU36" s="915"/>
      <c r="AV36" s="736"/>
      <c r="AW36" s="736"/>
      <c r="AX36" s="736"/>
      <c r="AY36" s="1688" t="str">
        <f t="shared" si="3"/>
        <v/>
      </c>
      <c r="AZ36" s="186"/>
      <c r="BA36" s="186"/>
      <c r="CB36" s="381"/>
      <c r="CC36" s="381"/>
      <c r="CD36" s="381"/>
      <c r="CE36" s="381"/>
      <c r="CF36" s="381"/>
      <c r="CG36" s="381"/>
      <c r="CH36" s="381"/>
      <c r="CI36" s="381" t="str">
        <f t="shared" si="11"/>
        <v/>
      </c>
      <c r="CJ36" s="387"/>
      <c r="CK36" s="381" t="str">
        <f t="shared" si="12"/>
        <v/>
      </c>
      <c r="CL36" s="387"/>
      <c r="CM36" s="387"/>
      <c r="CN36" s="381"/>
      <c r="CO36" s="381"/>
      <c r="CP36" s="381"/>
      <c r="CQ36" s="381"/>
      <c r="CR36" s="381"/>
      <c r="CS36" s="381" t="str">
        <f t="shared" si="18"/>
        <v/>
      </c>
      <c r="CT36" s="491"/>
      <c r="CU36" s="491"/>
      <c r="CV36" s="387"/>
      <c r="CW36" s="387"/>
      <c r="CX36" s="387"/>
      <c r="CY36" s="492"/>
      <c r="CZ36" s="492"/>
      <c r="DA36" s="391"/>
      <c r="DB36" s="391"/>
      <c r="DC36" s="391"/>
      <c r="DD36" s="391"/>
      <c r="DE36" s="391"/>
      <c r="DF36" s="391"/>
      <c r="DG36" s="391"/>
      <c r="DH36" s="391">
        <f t="shared" si="26"/>
        <v>0</v>
      </c>
      <c r="DI36" s="385"/>
      <c r="DJ36" s="391">
        <f t="shared" si="27"/>
        <v>0</v>
      </c>
      <c r="DK36" s="385"/>
      <c r="DL36" s="391"/>
      <c r="DM36" s="391"/>
      <c r="DN36" s="391"/>
      <c r="DO36" s="391"/>
      <c r="DP36" s="391"/>
      <c r="DQ36" s="391">
        <f t="shared" si="33"/>
        <v>0</v>
      </c>
      <c r="DR36" s="492"/>
      <c r="DS36" s="492"/>
      <c r="DT36" s="1423"/>
    </row>
    <row r="37" spans="1:124" s="146" customFormat="1" ht="15.75" customHeight="1" x14ac:dyDescent="0.25">
      <c r="A37" s="1982"/>
      <c r="B37" s="403" t="s">
        <v>554</v>
      </c>
      <c r="C37" s="1000">
        <f t="shared" si="34"/>
        <v>0</v>
      </c>
      <c r="D37" s="1001">
        <f>SUM(F37+H37+J37+L37+N37+P37+R37+T37+V37+X37+Z37+AB37+AD37+AF37+AH37+AJ37+AL37)</f>
        <v>0</v>
      </c>
      <c r="E37" s="1002">
        <f t="shared" si="45"/>
        <v>0</v>
      </c>
      <c r="F37" s="735"/>
      <c r="G37" s="736"/>
      <c r="H37" s="735"/>
      <c r="I37" s="736"/>
      <c r="J37" s="735"/>
      <c r="K37" s="736"/>
      <c r="L37" s="735"/>
      <c r="M37" s="736"/>
      <c r="N37" s="735"/>
      <c r="O37" s="813"/>
      <c r="P37" s="735"/>
      <c r="Q37" s="813"/>
      <c r="R37" s="735"/>
      <c r="S37" s="813"/>
      <c r="T37" s="735"/>
      <c r="U37" s="813"/>
      <c r="V37" s="735"/>
      <c r="W37" s="813"/>
      <c r="X37" s="735"/>
      <c r="Y37" s="813"/>
      <c r="Z37" s="735"/>
      <c r="AA37" s="813"/>
      <c r="AB37" s="735"/>
      <c r="AC37" s="813"/>
      <c r="AD37" s="735"/>
      <c r="AE37" s="813"/>
      <c r="AF37" s="735"/>
      <c r="AG37" s="813"/>
      <c r="AH37" s="735"/>
      <c r="AI37" s="813"/>
      <c r="AJ37" s="735"/>
      <c r="AK37" s="813"/>
      <c r="AL37" s="735"/>
      <c r="AM37" s="744"/>
      <c r="AN37" s="935"/>
      <c r="AO37" s="1153"/>
      <c r="AP37" s="813"/>
      <c r="AQ37" s="915"/>
      <c r="AR37" s="813"/>
      <c r="AS37" s="736"/>
      <c r="AT37" s="915"/>
      <c r="AU37" s="915"/>
      <c r="AV37" s="736"/>
      <c r="AW37" s="736"/>
      <c r="AX37" s="736"/>
      <c r="AY37" s="1688" t="str">
        <f t="shared" si="3"/>
        <v/>
      </c>
      <c r="AZ37" s="186"/>
      <c r="BA37" s="186"/>
      <c r="CB37" s="381" t="str">
        <f t="shared" si="46"/>
        <v/>
      </c>
      <c r="CC37" s="381" t="str">
        <f t="shared" si="47"/>
        <v/>
      </c>
      <c r="CD37" s="381" t="str">
        <f t="shared" si="36"/>
        <v/>
      </c>
      <c r="CE37" s="381" t="str">
        <f t="shared" si="7"/>
        <v/>
      </c>
      <c r="CF37" s="381" t="str">
        <f t="shared" si="37"/>
        <v/>
      </c>
      <c r="CG37" s="381" t="str">
        <f t="shared" si="9"/>
        <v/>
      </c>
      <c r="CH37" s="381" t="str">
        <f t="shared" si="10"/>
        <v/>
      </c>
      <c r="CI37" s="381" t="str">
        <f t="shared" si="11"/>
        <v/>
      </c>
      <c r="CJ37" s="387"/>
      <c r="CK37" s="381" t="str">
        <f t="shared" si="12"/>
        <v/>
      </c>
      <c r="CL37" s="387"/>
      <c r="CM37" s="387"/>
      <c r="CN37" s="381" t="str">
        <f t="shared" si="48"/>
        <v/>
      </c>
      <c r="CO37" s="381" t="str">
        <f t="shared" si="49"/>
        <v/>
      </c>
      <c r="CP37" s="381" t="str">
        <f t="shared" si="38"/>
        <v/>
      </c>
      <c r="CQ37" s="381" t="str">
        <f t="shared" si="39"/>
        <v/>
      </c>
      <c r="CR37" s="381" t="str">
        <f t="shared" si="40"/>
        <v/>
      </c>
      <c r="CS37" s="381" t="str">
        <f t="shared" si="18"/>
        <v/>
      </c>
      <c r="CT37" s="491"/>
      <c r="CU37" s="491"/>
      <c r="CV37" s="387"/>
      <c r="CW37" s="387"/>
      <c r="CX37" s="387"/>
      <c r="CY37" s="492"/>
      <c r="CZ37" s="492"/>
      <c r="DA37" s="391">
        <f t="shared" si="50"/>
        <v>0</v>
      </c>
      <c r="DB37" s="391">
        <f t="shared" si="51"/>
        <v>0</v>
      </c>
      <c r="DC37" s="391">
        <f t="shared" si="41"/>
        <v>0</v>
      </c>
      <c r="DD37" s="391">
        <f t="shared" si="22"/>
        <v>0</v>
      </c>
      <c r="DE37" s="391">
        <f t="shared" si="42"/>
        <v>0</v>
      </c>
      <c r="DF37" s="391">
        <f t="shared" si="24"/>
        <v>0</v>
      </c>
      <c r="DG37" s="391">
        <f t="shared" si="25"/>
        <v>0</v>
      </c>
      <c r="DH37" s="391">
        <f t="shared" si="26"/>
        <v>0</v>
      </c>
      <c r="DI37" s="385"/>
      <c r="DJ37" s="391">
        <f t="shared" si="27"/>
        <v>0</v>
      </c>
      <c r="DK37" s="385"/>
      <c r="DL37" s="391">
        <f t="shared" si="52"/>
        <v>0</v>
      </c>
      <c r="DM37" s="391">
        <f t="shared" si="53"/>
        <v>0</v>
      </c>
      <c r="DN37" s="391">
        <f t="shared" si="30"/>
        <v>0</v>
      </c>
      <c r="DO37" s="391">
        <f t="shared" si="43"/>
        <v>0</v>
      </c>
      <c r="DP37" s="391">
        <f t="shared" si="44"/>
        <v>0</v>
      </c>
      <c r="DQ37" s="391">
        <f t="shared" si="33"/>
        <v>0</v>
      </c>
      <c r="DR37" s="492"/>
      <c r="DS37" s="492"/>
      <c r="DT37" s="1423"/>
    </row>
    <row r="38" spans="1:124" s="146" customFormat="1" ht="15.75" customHeight="1" x14ac:dyDescent="0.25">
      <c r="A38" s="1982"/>
      <c r="B38" s="403" t="s">
        <v>555</v>
      </c>
      <c r="C38" s="997">
        <f t="shared" si="34"/>
        <v>0</v>
      </c>
      <c r="D38" s="998">
        <f t="shared" si="45"/>
        <v>0</v>
      </c>
      <c r="E38" s="999">
        <f t="shared" si="45"/>
        <v>0</v>
      </c>
      <c r="F38" s="735"/>
      <c r="G38" s="736"/>
      <c r="H38" s="735"/>
      <c r="I38" s="736"/>
      <c r="J38" s="735"/>
      <c r="K38" s="736"/>
      <c r="L38" s="735"/>
      <c r="M38" s="736"/>
      <c r="N38" s="735"/>
      <c r="O38" s="813"/>
      <c r="P38" s="735"/>
      <c r="Q38" s="813"/>
      <c r="R38" s="735"/>
      <c r="S38" s="813"/>
      <c r="T38" s="735"/>
      <c r="U38" s="813"/>
      <c r="V38" s="735"/>
      <c r="W38" s="813"/>
      <c r="X38" s="735"/>
      <c r="Y38" s="813"/>
      <c r="Z38" s="735"/>
      <c r="AA38" s="813"/>
      <c r="AB38" s="735"/>
      <c r="AC38" s="813"/>
      <c r="AD38" s="735"/>
      <c r="AE38" s="813"/>
      <c r="AF38" s="735"/>
      <c r="AG38" s="813"/>
      <c r="AH38" s="735"/>
      <c r="AI38" s="813"/>
      <c r="AJ38" s="735"/>
      <c r="AK38" s="813"/>
      <c r="AL38" s="735"/>
      <c r="AM38" s="744"/>
      <c r="AN38" s="935"/>
      <c r="AO38" s="1153"/>
      <c r="AP38" s="813"/>
      <c r="AQ38" s="915"/>
      <c r="AR38" s="813"/>
      <c r="AS38" s="736"/>
      <c r="AT38" s="915"/>
      <c r="AU38" s="915"/>
      <c r="AV38" s="736"/>
      <c r="AW38" s="736"/>
      <c r="AX38" s="736"/>
      <c r="AY38" s="1688" t="str">
        <f t="shared" si="3"/>
        <v/>
      </c>
      <c r="AZ38" s="186"/>
      <c r="BA38" s="186"/>
      <c r="CB38" s="381" t="str">
        <f t="shared" si="46"/>
        <v/>
      </c>
      <c r="CC38" s="381" t="str">
        <f t="shared" si="47"/>
        <v/>
      </c>
      <c r="CD38" s="381" t="str">
        <f t="shared" si="36"/>
        <v/>
      </c>
      <c r="CE38" s="381" t="str">
        <f t="shared" si="7"/>
        <v/>
      </c>
      <c r="CF38" s="381" t="str">
        <f t="shared" si="37"/>
        <v/>
      </c>
      <c r="CG38" s="381" t="str">
        <f t="shared" si="9"/>
        <v/>
      </c>
      <c r="CH38" s="381" t="str">
        <f t="shared" si="10"/>
        <v/>
      </c>
      <c r="CI38" s="381" t="str">
        <f t="shared" si="11"/>
        <v/>
      </c>
      <c r="CJ38" s="387"/>
      <c r="CK38" s="381" t="str">
        <f t="shared" si="12"/>
        <v/>
      </c>
      <c r="CL38" s="387"/>
      <c r="CM38" s="387"/>
      <c r="CN38" s="381" t="str">
        <f t="shared" si="48"/>
        <v/>
      </c>
      <c r="CO38" s="381" t="str">
        <f t="shared" si="49"/>
        <v/>
      </c>
      <c r="CP38" s="381" t="str">
        <f t="shared" si="38"/>
        <v/>
      </c>
      <c r="CQ38" s="381" t="str">
        <f t="shared" si="39"/>
        <v/>
      </c>
      <c r="CR38" s="381" t="str">
        <f t="shared" si="40"/>
        <v/>
      </c>
      <c r="CS38" s="381" t="str">
        <f t="shared" si="18"/>
        <v/>
      </c>
      <c r="CT38" s="491"/>
      <c r="CU38" s="491"/>
      <c r="CV38" s="387"/>
      <c r="CW38" s="387"/>
      <c r="CX38" s="387"/>
      <c r="CY38" s="492"/>
      <c r="CZ38" s="492"/>
      <c r="DA38" s="391">
        <f t="shared" si="50"/>
        <v>0</v>
      </c>
      <c r="DB38" s="391">
        <f t="shared" si="51"/>
        <v>0</v>
      </c>
      <c r="DC38" s="391">
        <f t="shared" si="41"/>
        <v>0</v>
      </c>
      <c r="DD38" s="391">
        <f t="shared" si="22"/>
        <v>0</v>
      </c>
      <c r="DE38" s="391">
        <f t="shared" si="42"/>
        <v>0</v>
      </c>
      <c r="DF38" s="391">
        <f t="shared" si="24"/>
        <v>0</v>
      </c>
      <c r="DG38" s="391">
        <f t="shared" si="25"/>
        <v>0</v>
      </c>
      <c r="DH38" s="391">
        <f t="shared" si="26"/>
        <v>0</v>
      </c>
      <c r="DI38" s="385"/>
      <c r="DJ38" s="391">
        <f t="shared" si="27"/>
        <v>0</v>
      </c>
      <c r="DK38" s="385"/>
      <c r="DL38" s="391">
        <f t="shared" si="52"/>
        <v>0</v>
      </c>
      <c r="DM38" s="391">
        <f t="shared" si="53"/>
        <v>0</v>
      </c>
      <c r="DN38" s="391">
        <f t="shared" si="30"/>
        <v>0</v>
      </c>
      <c r="DO38" s="391">
        <f t="shared" si="43"/>
        <v>0</v>
      </c>
      <c r="DP38" s="391">
        <f t="shared" si="44"/>
        <v>0</v>
      </c>
      <c r="DQ38" s="391">
        <f t="shared" si="33"/>
        <v>0</v>
      </c>
      <c r="DR38" s="492"/>
      <c r="DS38" s="492"/>
      <c r="DT38" s="1423"/>
    </row>
    <row r="39" spans="1:124" s="146" customFormat="1" ht="15.75" customHeight="1" x14ac:dyDescent="0.25">
      <c r="A39" s="1737"/>
      <c r="B39" s="1006" t="s">
        <v>556</v>
      </c>
      <c r="C39" s="1003">
        <f t="shared" si="34"/>
        <v>0</v>
      </c>
      <c r="D39" s="1004">
        <f t="shared" si="45"/>
        <v>0</v>
      </c>
      <c r="E39" s="1005">
        <f t="shared" si="45"/>
        <v>0</v>
      </c>
      <c r="F39" s="735"/>
      <c r="G39" s="736"/>
      <c r="H39" s="735"/>
      <c r="I39" s="736"/>
      <c r="J39" s="735"/>
      <c r="K39" s="736"/>
      <c r="L39" s="735"/>
      <c r="M39" s="736"/>
      <c r="N39" s="740"/>
      <c r="O39" s="813"/>
      <c r="P39" s="735"/>
      <c r="Q39" s="813"/>
      <c r="R39" s="735"/>
      <c r="S39" s="813"/>
      <c r="T39" s="735"/>
      <c r="U39" s="813"/>
      <c r="V39" s="735"/>
      <c r="W39" s="813"/>
      <c r="X39" s="735"/>
      <c r="Y39" s="813"/>
      <c r="Z39" s="735"/>
      <c r="AA39" s="813"/>
      <c r="AB39" s="735"/>
      <c r="AC39" s="813"/>
      <c r="AD39" s="735"/>
      <c r="AE39" s="813"/>
      <c r="AF39" s="735"/>
      <c r="AG39" s="813"/>
      <c r="AH39" s="735"/>
      <c r="AI39" s="813"/>
      <c r="AJ39" s="735"/>
      <c r="AK39" s="813"/>
      <c r="AL39" s="735"/>
      <c r="AM39" s="771"/>
      <c r="AN39" s="1169"/>
      <c r="AO39" s="1155"/>
      <c r="AP39" s="813"/>
      <c r="AQ39" s="915"/>
      <c r="AR39" s="812"/>
      <c r="AS39" s="741"/>
      <c r="AT39" s="785"/>
      <c r="AU39" s="785"/>
      <c r="AV39" s="741"/>
      <c r="AW39" s="741"/>
      <c r="AX39" s="741"/>
      <c r="AY39" s="1688" t="str">
        <f t="shared" si="3"/>
        <v/>
      </c>
      <c r="AZ39" s="186"/>
      <c r="BA39" s="186"/>
      <c r="CB39" s="381" t="str">
        <f t="shared" si="46"/>
        <v/>
      </c>
      <c r="CC39" s="381" t="str">
        <f t="shared" si="47"/>
        <v/>
      </c>
      <c r="CD39" s="381" t="str">
        <f t="shared" si="36"/>
        <v/>
      </c>
      <c r="CE39" s="381" t="str">
        <f t="shared" si="7"/>
        <v/>
      </c>
      <c r="CF39" s="381" t="str">
        <f t="shared" si="37"/>
        <v/>
      </c>
      <c r="CG39" s="381" t="str">
        <f t="shared" si="9"/>
        <v/>
      </c>
      <c r="CH39" s="381" t="str">
        <f t="shared" si="10"/>
        <v/>
      </c>
      <c r="CI39" s="381" t="str">
        <f t="shared" si="11"/>
        <v/>
      </c>
      <c r="CJ39" s="387"/>
      <c r="CK39" s="381" t="str">
        <f t="shared" si="12"/>
        <v/>
      </c>
      <c r="CL39" s="387"/>
      <c r="CM39" s="387"/>
      <c r="CN39" s="381" t="str">
        <f t="shared" si="48"/>
        <v/>
      </c>
      <c r="CO39" s="381" t="str">
        <f t="shared" si="49"/>
        <v/>
      </c>
      <c r="CP39" s="381" t="str">
        <f t="shared" si="38"/>
        <v/>
      </c>
      <c r="CQ39" s="381" t="str">
        <f t="shared" si="39"/>
        <v/>
      </c>
      <c r="CR39" s="381" t="str">
        <f t="shared" si="40"/>
        <v/>
      </c>
      <c r="CS39" s="381" t="str">
        <f t="shared" si="18"/>
        <v/>
      </c>
      <c r="CT39" s="491"/>
      <c r="CU39" s="491"/>
      <c r="CV39" s="387"/>
      <c r="CW39" s="387"/>
      <c r="CX39" s="387"/>
      <c r="CY39" s="492"/>
      <c r="CZ39" s="492"/>
      <c r="DA39" s="391">
        <f t="shared" si="50"/>
        <v>0</v>
      </c>
      <c r="DB39" s="391">
        <f t="shared" si="51"/>
        <v>0</v>
      </c>
      <c r="DC39" s="391">
        <f t="shared" si="41"/>
        <v>0</v>
      </c>
      <c r="DD39" s="391">
        <f t="shared" si="22"/>
        <v>0</v>
      </c>
      <c r="DE39" s="391">
        <f t="shared" si="42"/>
        <v>0</v>
      </c>
      <c r="DF39" s="391">
        <f t="shared" si="24"/>
        <v>0</v>
      </c>
      <c r="DG39" s="391">
        <f t="shared" si="25"/>
        <v>0</v>
      </c>
      <c r="DH39" s="391">
        <f t="shared" si="26"/>
        <v>0</v>
      </c>
      <c r="DI39" s="385"/>
      <c r="DJ39" s="391">
        <f t="shared" si="27"/>
        <v>0</v>
      </c>
      <c r="DK39" s="385"/>
      <c r="DL39" s="391">
        <f t="shared" si="52"/>
        <v>0</v>
      </c>
      <c r="DM39" s="391">
        <f t="shared" si="53"/>
        <v>0</v>
      </c>
      <c r="DN39" s="391">
        <f t="shared" si="30"/>
        <v>0</v>
      </c>
      <c r="DO39" s="391">
        <f t="shared" si="43"/>
        <v>0</v>
      </c>
      <c r="DP39" s="391">
        <f t="shared" si="44"/>
        <v>0</v>
      </c>
      <c r="DQ39" s="391">
        <f t="shared" si="33"/>
        <v>0</v>
      </c>
      <c r="DR39" s="492"/>
      <c r="DS39" s="492"/>
      <c r="DT39" s="1423"/>
    </row>
    <row r="40" spans="1:124" s="146" customFormat="1" ht="15.75" customHeight="1" x14ac:dyDescent="0.25">
      <c r="A40" s="2108" t="s">
        <v>561</v>
      </c>
      <c r="B40" s="187" t="s">
        <v>112</v>
      </c>
      <c r="C40" s="714">
        <f t="shared" si="34"/>
        <v>0</v>
      </c>
      <c r="D40" s="729">
        <f t="shared" ref="D40:D54" si="54">+F40+H40+J40+L40+N40+P40+R40+T40+V40+X40+Z40+AB40+AD40+AF40+AH40+AJ40+AL40</f>
        <v>0</v>
      </c>
      <c r="E40" s="922">
        <f t="shared" ref="E40:E54" si="55">+G40+I40+K40+M40+O40+Q40+S40+U40+W40+Y40+AA40+AC40+AE40+AG40+AI40+AK40+AM40</f>
        <v>0</v>
      </c>
      <c r="F40" s="731"/>
      <c r="G40" s="732"/>
      <c r="H40" s="731"/>
      <c r="I40" s="732"/>
      <c r="J40" s="731"/>
      <c r="K40" s="732"/>
      <c r="L40" s="731"/>
      <c r="M40" s="732"/>
      <c r="N40" s="731"/>
      <c r="O40" s="732"/>
      <c r="P40" s="731"/>
      <c r="Q40" s="732"/>
      <c r="R40" s="731"/>
      <c r="S40" s="732"/>
      <c r="T40" s="731"/>
      <c r="U40" s="732"/>
      <c r="V40" s="731"/>
      <c r="W40" s="732"/>
      <c r="X40" s="731"/>
      <c r="Y40" s="732"/>
      <c r="Z40" s="731"/>
      <c r="AA40" s="732"/>
      <c r="AB40" s="731"/>
      <c r="AC40" s="732"/>
      <c r="AD40" s="731"/>
      <c r="AE40" s="732"/>
      <c r="AF40" s="731"/>
      <c r="AG40" s="732"/>
      <c r="AH40" s="731"/>
      <c r="AI40" s="732"/>
      <c r="AJ40" s="731"/>
      <c r="AK40" s="732"/>
      <c r="AL40" s="731"/>
      <c r="AM40" s="743"/>
      <c r="AN40" s="1545"/>
      <c r="AO40" s="1546"/>
      <c r="AP40" s="810"/>
      <c r="AQ40" s="732"/>
      <c r="AR40" s="810"/>
      <c r="AS40" s="732"/>
      <c r="AT40" s="809"/>
      <c r="AU40" s="809"/>
      <c r="AV40" s="809"/>
      <c r="AW40" s="809"/>
      <c r="AX40" s="809"/>
      <c r="AY40" s="1688" t="str">
        <f t="shared" si="3"/>
        <v/>
      </c>
      <c r="AZ40" s="186"/>
      <c r="BA40" s="186"/>
      <c r="CB40" s="381" t="str">
        <f t="shared" si="46"/>
        <v/>
      </c>
      <c r="CC40" s="381" t="str">
        <f t="shared" si="47"/>
        <v/>
      </c>
      <c r="CD40" s="381" t="str">
        <f t="shared" si="36"/>
        <v/>
      </c>
      <c r="CE40" s="381" t="str">
        <f t="shared" si="7"/>
        <v/>
      </c>
      <c r="CF40" s="381" t="str">
        <f t="shared" si="37"/>
        <v/>
      </c>
      <c r="CG40" s="381" t="str">
        <f t="shared" si="9"/>
        <v/>
      </c>
      <c r="CH40" s="381" t="str">
        <f t="shared" si="10"/>
        <v/>
      </c>
      <c r="CI40" s="381" t="str">
        <f t="shared" si="11"/>
        <v/>
      </c>
      <c r="CJ40" s="387"/>
      <c r="CK40" s="381" t="str">
        <f t="shared" si="12"/>
        <v/>
      </c>
      <c r="CL40" s="387"/>
      <c r="CM40" s="387"/>
      <c r="CN40" s="381"/>
      <c r="CO40" s="381"/>
      <c r="CP40" s="381" t="str">
        <f t="shared" si="38"/>
        <v/>
      </c>
      <c r="CQ40" s="381" t="str">
        <f t="shared" si="39"/>
        <v/>
      </c>
      <c r="CR40" s="381" t="str">
        <f t="shared" si="40"/>
        <v/>
      </c>
      <c r="CS40" s="381" t="str">
        <f t="shared" si="18"/>
        <v/>
      </c>
      <c r="CT40" s="491"/>
      <c r="CU40" s="491"/>
      <c r="CV40" s="387"/>
      <c r="CW40" s="387"/>
      <c r="CX40" s="387"/>
      <c r="CY40" s="492"/>
      <c r="CZ40" s="492"/>
      <c r="DA40" s="391">
        <f t="shared" si="50"/>
        <v>0</v>
      </c>
      <c r="DB40" s="391">
        <f t="shared" si="51"/>
        <v>0</v>
      </c>
      <c r="DC40" s="391">
        <f t="shared" si="41"/>
        <v>0</v>
      </c>
      <c r="DD40" s="391">
        <f t="shared" si="22"/>
        <v>0</v>
      </c>
      <c r="DE40" s="391">
        <f t="shared" si="42"/>
        <v>0</v>
      </c>
      <c r="DF40" s="391">
        <f t="shared" si="24"/>
        <v>0</v>
      </c>
      <c r="DG40" s="391">
        <f t="shared" si="25"/>
        <v>0</v>
      </c>
      <c r="DH40" s="391">
        <f t="shared" si="26"/>
        <v>0</v>
      </c>
      <c r="DI40" s="385"/>
      <c r="DJ40" s="391">
        <f t="shared" si="27"/>
        <v>0</v>
      </c>
      <c r="DK40" s="385"/>
      <c r="DL40" s="391"/>
      <c r="DM40" s="391"/>
      <c r="DN40" s="391">
        <f t="shared" si="30"/>
        <v>0</v>
      </c>
      <c r="DO40" s="391">
        <f t="shared" si="43"/>
        <v>0</v>
      </c>
      <c r="DP40" s="391">
        <f t="shared" si="44"/>
        <v>0</v>
      </c>
      <c r="DQ40" s="391">
        <f t="shared" si="33"/>
        <v>0</v>
      </c>
      <c r="DR40" s="492"/>
      <c r="DS40" s="492"/>
      <c r="DT40" s="1423"/>
    </row>
    <row r="41" spans="1:124" s="146" customFormat="1" ht="15.75" customHeight="1" x14ac:dyDescent="0.25">
      <c r="A41" s="1982"/>
      <c r="B41" s="188" t="s">
        <v>113</v>
      </c>
      <c r="C41" s="722">
        <f t="shared" si="34"/>
        <v>0</v>
      </c>
      <c r="D41" s="723">
        <f t="shared" si="54"/>
        <v>0</v>
      </c>
      <c r="E41" s="913">
        <f t="shared" si="55"/>
        <v>0</v>
      </c>
      <c r="F41" s="755"/>
      <c r="G41" s="756"/>
      <c r="H41" s="755"/>
      <c r="I41" s="756"/>
      <c r="J41" s="755"/>
      <c r="K41" s="756"/>
      <c r="L41" s="755"/>
      <c r="M41" s="756"/>
      <c r="N41" s="755"/>
      <c r="O41" s="756"/>
      <c r="P41" s="755"/>
      <c r="Q41" s="756"/>
      <c r="R41" s="755"/>
      <c r="S41" s="756"/>
      <c r="T41" s="755"/>
      <c r="U41" s="756"/>
      <c r="V41" s="755"/>
      <c r="W41" s="756"/>
      <c r="X41" s="755"/>
      <c r="Y41" s="756"/>
      <c r="Z41" s="755"/>
      <c r="AA41" s="756"/>
      <c r="AB41" s="755"/>
      <c r="AC41" s="756"/>
      <c r="AD41" s="755"/>
      <c r="AE41" s="756"/>
      <c r="AF41" s="755"/>
      <c r="AG41" s="756"/>
      <c r="AH41" s="755"/>
      <c r="AI41" s="756"/>
      <c r="AJ41" s="755"/>
      <c r="AK41" s="756"/>
      <c r="AL41" s="755"/>
      <c r="AM41" s="757"/>
      <c r="AN41" s="1547"/>
      <c r="AO41" s="1537"/>
      <c r="AP41" s="816"/>
      <c r="AQ41" s="756"/>
      <c r="AR41" s="816"/>
      <c r="AS41" s="756"/>
      <c r="AT41" s="775"/>
      <c r="AU41" s="775"/>
      <c r="AV41" s="775"/>
      <c r="AW41" s="775"/>
      <c r="AX41" s="775"/>
      <c r="AY41" s="1688" t="str">
        <f t="shared" si="3"/>
        <v/>
      </c>
      <c r="AZ41" s="186"/>
      <c r="BA41" s="186"/>
      <c r="CB41" s="381" t="str">
        <f t="shared" si="46"/>
        <v/>
      </c>
      <c r="CC41" s="381" t="str">
        <f t="shared" si="47"/>
        <v/>
      </c>
      <c r="CD41" s="381" t="str">
        <f t="shared" si="36"/>
        <v/>
      </c>
      <c r="CE41" s="381" t="str">
        <f t="shared" si="7"/>
        <v/>
      </c>
      <c r="CF41" s="381" t="str">
        <f t="shared" si="37"/>
        <v/>
      </c>
      <c r="CG41" s="381" t="str">
        <f t="shared" si="9"/>
        <v/>
      </c>
      <c r="CH41" s="381" t="str">
        <f t="shared" si="10"/>
        <v/>
      </c>
      <c r="CI41" s="381" t="str">
        <f t="shared" si="11"/>
        <v/>
      </c>
      <c r="CJ41" s="387"/>
      <c r="CK41" s="381" t="str">
        <f t="shared" si="12"/>
        <v/>
      </c>
      <c r="CL41" s="387"/>
      <c r="CM41" s="387"/>
      <c r="CN41" s="381"/>
      <c r="CO41" s="381"/>
      <c r="CP41" s="381" t="str">
        <f t="shared" si="38"/>
        <v/>
      </c>
      <c r="CQ41" s="381" t="str">
        <f t="shared" si="39"/>
        <v/>
      </c>
      <c r="CR41" s="381" t="str">
        <f t="shared" si="40"/>
        <v/>
      </c>
      <c r="CS41" s="381" t="str">
        <f t="shared" si="18"/>
        <v/>
      </c>
      <c r="CT41" s="491"/>
      <c r="CU41" s="491"/>
      <c r="CV41" s="387"/>
      <c r="CW41" s="387"/>
      <c r="CX41" s="387"/>
      <c r="CY41" s="492"/>
      <c r="CZ41" s="492"/>
      <c r="DA41" s="391">
        <f t="shared" si="50"/>
        <v>0</v>
      </c>
      <c r="DB41" s="391">
        <f t="shared" si="51"/>
        <v>0</v>
      </c>
      <c r="DC41" s="391">
        <f t="shared" si="41"/>
        <v>0</v>
      </c>
      <c r="DD41" s="391">
        <f t="shared" si="22"/>
        <v>0</v>
      </c>
      <c r="DE41" s="391">
        <f t="shared" si="42"/>
        <v>0</v>
      </c>
      <c r="DF41" s="391">
        <f t="shared" si="24"/>
        <v>0</v>
      </c>
      <c r="DG41" s="391">
        <f t="shared" si="25"/>
        <v>0</v>
      </c>
      <c r="DH41" s="391">
        <f t="shared" si="26"/>
        <v>0</v>
      </c>
      <c r="DI41" s="385"/>
      <c r="DJ41" s="391">
        <f t="shared" si="27"/>
        <v>0</v>
      </c>
      <c r="DK41" s="385"/>
      <c r="DL41" s="391"/>
      <c r="DM41" s="391"/>
      <c r="DN41" s="391">
        <f t="shared" si="30"/>
        <v>0</v>
      </c>
      <c r="DO41" s="391">
        <f t="shared" si="43"/>
        <v>0</v>
      </c>
      <c r="DP41" s="391">
        <f t="shared" si="44"/>
        <v>0</v>
      </c>
      <c r="DQ41" s="391">
        <f t="shared" si="33"/>
        <v>0</v>
      </c>
      <c r="DR41" s="492"/>
      <c r="DS41" s="492"/>
      <c r="DT41" s="1423"/>
    </row>
    <row r="42" spans="1:124" s="146" customFormat="1" ht="15.75" customHeight="1" x14ac:dyDescent="0.25">
      <c r="A42" s="1737"/>
      <c r="B42" s="189" t="s">
        <v>399</v>
      </c>
      <c r="C42" s="745">
        <f t="shared" si="34"/>
        <v>0</v>
      </c>
      <c r="D42" s="923">
        <f t="shared" si="54"/>
        <v>0</v>
      </c>
      <c r="E42" s="924">
        <f t="shared" si="55"/>
        <v>0</v>
      </c>
      <c r="F42" s="751"/>
      <c r="G42" s="752"/>
      <c r="H42" s="751"/>
      <c r="I42" s="752"/>
      <c r="J42" s="751"/>
      <c r="K42" s="752"/>
      <c r="L42" s="751"/>
      <c r="M42" s="752"/>
      <c r="N42" s="751"/>
      <c r="O42" s="752"/>
      <c r="P42" s="751"/>
      <c r="Q42" s="752"/>
      <c r="R42" s="751"/>
      <c r="S42" s="752"/>
      <c r="T42" s="751"/>
      <c r="U42" s="752"/>
      <c r="V42" s="751"/>
      <c r="W42" s="752"/>
      <c r="X42" s="751"/>
      <c r="Y42" s="752"/>
      <c r="Z42" s="751"/>
      <c r="AA42" s="752"/>
      <c r="AB42" s="751"/>
      <c r="AC42" s="752"/>
      <c r="AD42" s="751"/>
      <c r="AE42" s="752"/>
      <c r="AF42" s="751"/>
      <c r="AG42" s="752"/>
      <c r="AH42" s="751"/>
      <c r="AI42" s="752"/>
      <c r="AJ42" s="751"/>
      <c r="AK42" s="752"/>
      <c r="AL42" s="751"/>
      <c r="AM42" s="753"/>
      <c r="AN42" s="1548"/>
      <c r="AO42" s="1549"/>
      <c r="AP42" s="811"/>
      <c r="AQ42" s="752"/>
      <c r="AR42" s="811"/>
      <c r="AS42" s="752"/>
      <c r="AT42" s="925"/>
      <c r="AU42" s="925"/>
      <c r="AV42" s="925"/>
      <c r="AW42" s="925"/>
      <c r="AX42" s="925"/>
      <c r="AY42" s="1688" t="str">
        <f t="shared" si="3"/>
        <v/>
      </c>
      <c r="AZ42" s="186"/>
      <c r="BA42" s="186"/>
      <c r="CB42" s="381" t="str">
        <f t="shared" si="46"/>
        <v/>
      </c>
      <c r="CC42" s="381" t="str">
        <f t="shared" si="47"/>
        <v/>
      </c>
      <c r="CD42" s="381" t="str">
        <f t="shared" si="36"/>
        <v/>
      </c>
      <c r="CE42" s="381" t="str">
        <f t="shared" si="7"/>
        <v/>
      </c>
      <c r="CF42" s="381" t="str">
        <f t="shared" si="37"/>
        <v/>
      </c>
      <c r="CG42" s="381" t="str">
        <f t="shared" si="9"/>
        <v/>
      </c>
      <c r="CH42" s="381" t="str">
        <f t="shared" si="10"/>
        <v/>
      </c>
      <c r="CI42" s="381" t="str">
        <f t="shared" si="11"/>
        <v/>
      </c>
      <c r="CJ42" s="387"/>
      <c r="CK42" s="381" t="str">
        <f t="shared" si="12"/>
        <v/>
      </c>
      <c r="CL42" s="387"/>
      <c r="CM42" s="387"/>
      <c r="CN42" s="381"/>
      <c r="CO42" s="381"/>
      <c r="CP42" s="381" t="str">
        <f t="shared" si="38"/>
        <v/>
      </c>
      <c r="CQ42" s="381" t="str">
        <f t="shared" si="39"/>
        <v/>
      </c>
      <c r="CR42" s="381" t="str">
        <f t="shared" si="40"/>
        <v/>
      </c>
      <c r="CS42" s="381" t="str">
        <f t="shared" si="18"/>
        <v/>
      </c>
      <c r="CT42" s="491"/>
      <c r="CU42" s="491"/>
      <c r="CV42" s="387"/>
      <c r="CW42" s="387"/>
      <c r="CX42" s="387"/>
      <c r="CY42" s="492"/>
      <c r="CZ42" s="492"/>
      <c r="DA42" s="391">
        <f t="shared" si="50"/>
        <v>0</v>
      </c>
      <c r="DB42" s="391">
        <f t="shared" si="51"/>
        <v>0</v>
      </c>
      <c r="DC42" s="391">
        <f t="shared" si="41"/>
        <v>0</v>
      </c>
      <c r="DD42" s="391">
        <f t="shared" si="22"/>
        <v>0</v>
      </c>
      <c r="DE42" s="391">
        <f t="shared" si="42"/>
        <v>0</v>
      </c>
      <c r="DF42" s="391">
        <f t="shared" si="24"/>
        <v>0</v>
      </c>
      <c r="DG42" s="391">
        <f t="shared" si="25"/>
        <v>0</v>
      </c>
      <c r="DH42" s="391">
        <f t="shared" si="26"/>
        <v>0</v>
      </c>
      <c r="DI42" s="385"/>
      <c r="DJ42" s="391">
        <f t="shared" si="27"/>
        <v>0</v>
      </c>
      <c r="DK42" s="385"/>
      <c r="DL42" s="391"/>
      <c r="DM42" s="391"/>
      <c r="DN42" s="391">
        <f t="shared" si="30"/>
        <v>0</v>
      </c>
      <c r="DO42" s="391">
        <f t="shared" si="43"/>
        <v>0</v>
      </c>
      <c r="DP42" s="391">
        <f t="shared" si="44"/>
        <v>0</v>
      </c>
      <c r="DQ42" s="391">
        <f t="shared" si="33"/>
        <v>0</v>
      </c>
      <c r="DR42" s="492"/>
      <c r="DS42" s="492"/>
      <c r="DT42" s="1423"/>
    </row>
    <row r="43" spans="1:124" s="146" customFormat="1" ht="18.600000000000001" customHeight="1" x14ac:dyDescent="0.25">
      <c r="A43" s="2194" t="s">
        <v>850</v>
      </c>
      <c r="B43" s="2195"/>
      <c r="C43" s="722">
        <f t="shared" si="34"/>
        <v>0</v>
      </c>
      <c r="D43" s="723">
        <f t="shared" si="54"/>
        <v>0</v>
      </c>
      <c r="E43" s="913">
        <f t="shared" si="55"/>
        <v>0</v>
      </c>
      <c r="F43" s="755"/>
      <c r="G43" s="756"/>
      <c r="H43" s="755"/>
      <c r="I43" s="756"/>
      <c r="J43" s="755"/>
      <c r="K43" s="756"/>
      <c r="L43" s="755"/>
      <c r="M43" s="756"/>
      <c r="N43" s="755"/>
      <c r="O43" s="756"/>
      <c r="P43" s="755"/>
      <c r="Q43" s="756"/>
      <c r="R43" s="755"/>
      <c r="S43" s="756"/>
      <c r="T43" s="755"/>
      <c r="U43" s="756"/>
      <c r="V43" s="755"/>
      <c r="W43" s="756"/>
      <c r="X43" s="755"/>
      <c r="Y43" s="756"/>
      <c r="Z43" s="755"/>
      <c r="AA43" s="756"/>
      <c r="AB43" s="755"/>
      <c r="AC43" s="756"/>
      <c r="AD43" s="755"/>
      <c r="AE43" s="756"/>
      <c r="AF43" s="755"/>
      <c r="AG43" s="756"/>
      <c r="AH43" s="755"/>
      <c r="AI43" s="756"/>
      <c r="AJ43" s="755"/>
      <c r="AK43" s="756"/>
      <c r="AL43" s="755"/>
      <c r="AM43" s="757"/>
      <c r="AN43" s="934"/>
      <c r="AO43" s="1159"/>
      <c r="AP43" s="816"/>
      <c r="AQ43" s="756"/>
      <c r="AR43" s="816"/>
      <c r="AS43" s="756"/>
      <c r="AT43" s="775"/>
      <c r="AU43" s="775"/>
      <c r="AV43" s="775"/>
      <c r="AW43" s="775"/>
      <c r="AX43" s="775"/>
      <c r="AY43" s="1688" t="str">
        <f t="shared" si="3"/>
        <v/>
      </c>
      <c r="AZ43" s="186"/>
      <c r="BA43" s="186"/>
      <c r="CB43" s="381" t="str">
        <f t="shared" si="46"/>
        <v/>
      </c>
      <c r="CC43" s="381" t="str">
        <f t="shared" si="47"/>
        <v/>
      </c>
      <c r="CD43" s="381" t="str">
        <f t="shared" si="36"/>
        <v/>
      </c>
      <c r="CE43" s="381" t="str">
        <f t="shared" si="7"/>
        <v/>
      </c>
      <c r="CF43" s="381" t="str">
        <f t="shared" si="37"/>
        <v/>
      </c>
      <c r="CG43" s="381" t="str">
        <f t="shared" si="9"/>
        <v/>
      </c>
      <c r="CH43" s="381" t="str">
        <f t="shared" si="10"/>
        <v/>
      </c>
      <c r="CI43" s="381" t="str">
        <f t="shared" si="11"/>
        <v/>
      </c>
      <c r="CJ43" s="387"/>
      <c r="CK43" s="381" t="str">
        <f t="shared" si="12"/>
        <v/>
      </c>
      <c r="CL43" s="387"/>
      <c r="CM43" s="387"/>
      <c r="CN43" s="381" t="str">
        <f t="shared" si="48"/>
        <v/>
      </c>
      <c r="CO43" s="381" t="str">
        <f t="shared" si="49"/>
        <v/>
      </c>
      <c r="CP43" s="381" t="str">
        <f t="shared" si="38"/>
        <v/>
      </c>
      <c r="CQ43" s="381" t="str">
        <f t="shared" si="39"/>
        <v/>
      </c>
      <c r="CR43" s="381" t="str">
        <f t="shared" si="40"/>
        <v/>
      </c>
      <c r="CS43" s="381" t="str">
        <f t="shared" si="18"/>
        <v/>
      </c>
      <c r="CT43" s="491"/>
      <c r="CU43" s="491"/>
      <c r="CV43" s="387"/>
      <c r="CW43" s="387"/>
      <c r="CX43" s="387"/>
      <c r="CY43" s="492"/>
      <c r="CZ43" s="492"/>
      <c r="DA43" s="391">
        <f t="shared" si="50"/>
        <v>0</v>
      </c>
      <c r="DB43" s="391">
        <f t="shared" si="51"/>
        <v>0</v>
      </c>
      <c r="DC43" s="391">
        <f t="shared" si="41"/>
        <v>0</v>
      </c>
      <c r="DD43" s="391">
        <f t="shared" si="22"/>
        <v>0</v>
      </c>
      <c r="DE43" s="391">
        <f t="shared" si="42"/>
        <v>0</v>
      </c>
      <c r="DF43" s="391">
        <f t="shared" si="24"/>
        <v>0</v>
      </c>
      <c r="DG43" s="391">
        <f t="shared" si="25"/>
        <v>0</v>
      </c>
      <c r="DH43" s="391">
        <f t="shared" si="26"/>
        <v>0</v>
      </c>
      <c r="DI43" s="385"/>
      <c r="DJ43" s="391">
        <f t="shared" si="27"/>
        <v>0</v>
      </c>
      <c r="DK43" s="385"/>
      <c r="DL43" s="391">
        <f t="shared" si="52"/>
        <v>0</v>
      </c>
      <c r="DM43" s="391">
        <f t="shared" si="53"/>
        <v>0</v>
      </c>
      <c r="DN43" s="391">
        <f t="shared" si="30"/>
        <v>0</v>
      </c>
      <c r="DO43" s="391">
        <f t="shared" si="43"/>
        <v>0</v>
      </c>
      <c r="DP43" s="391">
        <f t="shared" si="44"/>
        <v>0</v>
      </c>
      <c r="DQ43" s="391">
        <f t="shared" si="33"/>
        <v>0</v>
      </c>
      <c r="DR43" s="492"/>
      <c r="DS43" s="492"/>
      <c r="DT43" s="1423"/>
    </row>
    <row r="44" spans="1:124" s="146" customFormat="1" ht="18.600000000000001" customHeight="1" x14ac:dyDescent="0.25">
      <c r="A44" s="1427" t="s">
        <v>703</v>
      </c>
      <c r="B44" s="999"/>
      <c r="C44" s="722">
        <f t="shared" si="34"/>
        <v>0</v>
      </c>
      <c r="D44" s="723">
        <f t="shared" si="54"/>
        <v>0</v>
      </c>
      <c r="E44" s="913">
        <f t="shared" si="55"/>
        <v>0</v>
      </c>
      <c r="F44" s="755"/>
      <c r="G44" s="756"/>
      <c r="H44" s="755"/>
      <c r="I44" s="756"/>
      <c r="J44" s="755"/>
      <c r="K44" s="756"/>
      <c r="L44" s="755"/>
      <c r="M44" s="756"/>
      <c r="N44" s="755"/>
      <c r="O44" s="756"/>
      <c r="P44" s="755"/>
      <c r="Q44" s="756"/>
      <c r="R44" s="755"/>
      <c r="S44" s="756"/>
      <c r="T44" s="755"/>
      <c r="U44" s="756"/>
      <c r="V44" s="755"/>
      <c r="W44" s="756"/>
      <c r="X44" s="755"/>
      <c r="Y44" s="756"/>
      <c r="Z44" s="755"/>
      <c r="AA44" s="756"/>
      <c r="AB44" s="755"/>
      <c r="AC44" s="756"/>
      <c r="AD44" s="755"/>
      <c r="AE44" s="756"/>
      <c r="AF44" s="755"/>
      <c r="AG44" s="756"/>
      <c r="AH44" s="755"/>
      <c r="AI44" s="756"/>
      <c r="AJ44" s="755"/>
      <c r="AK44" s="756"/>
      <c r="AL44" s="755"/>
      <c r="AM44" s="757"/>
      <c r="AN44" s="934"/>
      <c r="AO44" s="1159"/>
      <c r="AP44" s="816"/>
      <c r="AQ44" s="756"/>
      <c r="AR44" s="816"/>
      <c r="AS44" s="756"/>
      <c r="AT44" s="775"/>
      <c r="AU44" s="775"/>
      <c r="AV44" s="775"/>
      <c r="AW44" s="775"/>
      <c r="AX44" s="775"/>
      <c r="AY44" s="1688" t="str">
        <f t="shared" si="3"/>
        <v/>
      </c>
      <c r="AZ44" s="186"/>
      <c r="BA44" s="186"/>
      <c r="CB44" s="381"/>
      <c r="CC44" s="381"/>
      <c r="CD44" s="381"/>
      <c r="CE44" s="381"/>
      <c r="CF44" s="381"/>
      <c r="CG44" s="381"/>
      <c r="CH44" s="381"/>
      <c r="CI44" s="381" t="str">
        <f t="shared" si="11"/>
        <v/>
      </c>
      <c r="CJ44" s="387"/>
      <c r="CK44" s="381" t="str">
        <f t="shared" si="12"/>
        <v/>
      </c>
      <c r="CL44" s="387"/>
      <c r="CM44" s="387"/>
      <c r="CN44" s="381"/>
      <c r="CO44" s="381"/>
      <c r="CP44" s="381"/>
      <c r="CQ44" s="381"/>
      <c r="CR44" s="381"/>
      <c r="CS44" s="381" t="str">
        <f t="shared" si="18"/>
        <v/>
      </c>
      <c r="CT44" s="491"/>
      <c r="CU44" s="491"/>
      <c r="CV44" s="387"/>
      <c r="CW44" s="387"/>
      <c r="CX44" s="387"/>
      <c r="CY44" s="492"/>
      <c r="CZ44" s="492"/>
      <c r="DA44" s="391"/>
      <c r="DB44" s="391"/>
      <c r="DC44" s="391"/>
      <c r="DD44" s="391"/>
      <c r="DE44" s="391"/>
      <c r="DF44" s="391"/>
      <c r="DG44" s="391"/>
      <c r="DH44" s="391">
        <f t="shared" si="26"/>
        <v>0</v>
      </c>
      <c r="DI44" s="385"/>
      <c r="DJ44" s="391">
        <f t="shared" si="27"/>
        <v>0</v>
      </c>
      <c r="DK44" s="385"/>
      <c r="DL44" s="391"/>
      <c r="DM44" s="391"/>
      <c r="DN44" s="391"/>
      <c r="DO44" s="391"/>
      <c r="DP44" s="391"/>
      <c r="DQ44" s="391">
        <f t="shared" si="33"/>
        <v>0</v>
      </c>
      <c r="DR44" s="492"/>
      <c r="DS44" s="492"/>
      <c r="DT44" s="1423"/>
    </row>
    <row r="45" spans="1:124" ht="18.600000000000001" customHeight="1" x14ac:dyDescent="0.25">
      <c r="A45" s="2197" t="s">
        <v>227</v>
      </c>
      <c r="B45" s="2197"/>
      <c r="C45" s="716">
        <f t="shared" si="34"/>
        <v>0</v>
      </c>
      <c r="D45" s="734">
        <f t="shared" si="54"/>
        <v>0</v>
      </c>
      <c r="E45" s="917">
        <f t="shared" si="55"/>
        <v>0</v>
      </c>
      <c r="F45" s="735"/>
      <c r="G45" s="736"/>
      <c r="H45" s="735"/>
      <c r="I45" s="736"/>
      <c r="J45" s="735"/>
      <c r="K45" s="736"/>
      <c r="L45" s="735"/>
      <c r="M45" s="736"/>
      <c r="N45" s="735"/>
      <c r="O45" s="736"/>
      <c r="P45" s="735"/>
      <c r="Q45" s="736"/>
      <c r="R45" s="735"/>
      <c r="S45" s="736"/>
      <c r="T45" s="735"/>
      <c r="U45" s="736"/>
      <c r="V45" s="735"/>
      <c r="W45" s="736"/>
      <c r="X45" s="735"/>
      <c r="Y45" s="736"/>
      <c r="Z45" s="735"/>
      <c r="AA45" s="736"/>
      <c r="AB45" s="735"/>
      <c r="AC45" s="736"/>
      <c r="AD45" s="735"/>
      <c r="AE45" s="736"/>
      <c r="AF45" s="735"/>
      <c r="AG45" s="736"/>
      <c r="AH45" s="735"/>
      <c r="AI45" s="736"/>
      <c r="AJ45" s="735"/>
      <c r="AK45" s="736"/>
      <c r="AL45" s="735"/>
      <c r="AM45" s="744"/>
      <c r="AN45" s="935"/>
      <c r="AO45" s="1153"/>
      <c r="AP45" s="813"/>
      <c r="AQ45" s="736"/>
      <c r="AR45" s="813"/>
      <c r="AS45" s="736"/>
      <c r="AT45" s="915"/>
      <c r="AU45" s="915"/>
      <c r="AV45" s="915"/>
      <c r="AW45" s="915"/>
      <c r="AX45" s="915"/>
      <c r="AY45" s="1688" t="str">
        <f t="shared" si="3"/>
        <v/>
      </c>
      <c r="CB45" s="381" t="str">
        <f t="shared" si="46"/>
        <v/>
      </c>
      <c r="CC45" s="381" t="str">
        <f t="shared" si="47"/>
        <v/>
      </c>
      <c r="CD45" s="381" t="str">
        <f t="shared" si="36"/>
        <v/>
      </c>
      <c r="CE45" s="381" t="str">
        <f t="shared" si="7"/>
        <v/>
      </c>
      <c r="CF45" s="381" t="str">
        <f t="shared" si="37"/>
        <v/>
      </c>
      <c r="CG45" s="381" t="str">
        <f t="shared" si="9"/>
        <v/>
      </c>
      <c r="CH45" s="381" t="str">
        <f t="shared" si="10"/>
        <v/>
      </c>
      <c r="CI45" s="381" t="str">
        <f t="shared" si="11"/>
        <v/>
      </c>
      <c r="CK45" s="381" t="str">
        <f t="shared" si="12"/>
        <v/>
      </c>
      <c r="CN45" s="381" t="str">
        <f t="shared" si="48"/>
        <v/>
      </c>
      <c r="CO45" s="381" t="str">
        <f t="shared" si="49"/>
        <v/>
      </c>
      <c r="CP45" s="381" t="str">
        <f t="shared" si="38"/>
        <v/>
      </c>
      <c r="CQ45" s="381" t="str">
        <f t="shared" si="39"/>
        <v/>
      </c>
      <c r="CR45" s="381" t="str">
        <f t="shared" si="40"/>
        <v/>
      </c>
      <c r="CS45" s="381" t="str">
        <f t="shared" si="18"/>
        <v/>
      </c>
      <c r="CY45" s="385"/>
      <c r="CZ45" s="385"/>
      <c r="DA45" s="391">
        <f t="shared" si="50"/>
        <v>0</v>
      </c>
      <c r="DB45" s="391">
        <f t="shared" si="51"/>
        <v>0</v>
      </c>
      <c r="DC45" s="391">
        <f t="shared" si="41"/>
        <v>0</v>
      </c>
      <c r="DD45" s="391">
        <f t="shared" si="22"/>
        <v>0</v>
      </c>
      <c r="DE45" s="391">
        <f t="shared" si="42"/>
        <v>0</v>
      </c>
      <c r="DF45" s="391">
        <f t="shared" si="24"/>
        <v>0</v>
      </c>
      <c r="DG45" s="391">
        <f t="shared" si="25"/>
        <v>0</v>
      </c>
      <c r="DH45" s="391">
        <f t="shared" si="26"/>
        <v>0</v>
      </c>
      <c r="DI45" s="385"/>
      <c r="DJ45" s="391">
        <f t="shared" si="27"/>
        <v>0</v>
      </c>
      <c r="DK45" s="385"/>
      <c r="DL45" s="391">
        <f t="shared" si="52"/>
        <v>0</v>
      </c>
      <c r="DM45" s="391">
        <f t="shared" si="53"/>
        <v>0</v>
      </c>
      <c r="DN45" s="391">
        <f t="shared" si="30"/>
        <v>0</v>
      </c>
      <c r="DO45" s="391">
        <f t="shared" si="43"/>
        <v>0</v>
      </c>
      <c r="DP45" s="391">
        <f t="shared" si="44"/>
        <v>0</v>
      </c>
      <c r="DQ45" s="391">
        <f t="shared" si="33"/>
        <v>0</v>
      </c>
      <c r="DR45" s="1423"/>
      <c r="DS45" s="1423"/>
      <c r="DT45" s="1423"/>
    </row>
    <row r="46" spans="1:124" ht="18.600000000000001" customHeight="1" x14ac:dyDescent="0.25">
      <c r="A46" s="2197" t="s">
        <v>228</v>
      </c>
      <c r="B46" s="2197"/>
      <c r="C46" s="716">
        <f t="shared" si="34"/>
        <v>0</v>
      </c>
      <c r="D46" s="734">
        <f t="shared" si="54"/>
        <v>0</v>
      </c>
      <c r="E46" s="917">
        <f t="shared" si="55"/>
        <v>0</v>
      </c>
      <c r="F46" s="735"/>
      <c r="G46" s="736"/>
      <c r="H46" s="735"/>
      <c r="I46" s="736"/>
      <c r="J46" s="735"/>
      <c r="K46" s="736"/>
      <c r="L46" s="735"/>
      <c r="M46" s="736"/>
      <c r="N46" s="735"/>
      <c r="O46" s="736"/>
      <c r="P46" s="735"/>
      <c r="Q46" s="736"/>
      <c r="R46" s="735"/>
      <c r="S46" s="736"/>
      <c r="T46" s="735"/>
      <c r="U46" s="736"/>
      <c r="V46" s="735"/>
      <c r="W46" s="736"/>
      <c r="X46" s="735"/>
      <c r="Y46" s="736"/>
      <c r="Z46" s="735"/>
      <c r="AA46" s="736"/>
      <c r="AB46" s="735"/>
      <c r="AC46" s="736"/>
      <c r="AD46" s="735"/>
      <c r="AE46" s="736"/>
      <c r="AF46" s="735"/>
      <c r="AG46" s="736"/>
      <c r="AH46" s="735"/>
      <c r="AI46" s="736"/>
      <c r="AJ46" s="735"/>
      <c r="AK46" s="736"/>
      <c r="AL46" s="735"/>
      <c r="AM46" s="744"/>
      <c r="AN46" s="935"/>
      <c r="AO46" s="1153"/>
      <c r="AP46" s="813"/>
      <c r="AQ46" s="736"/>
      <c r="AR46" s="813"/>
      <c r="AS46" s="736"/>
      <c r="AT46" s="915"/>
      <c r="AU46" s="915"/>
      <c r="AV46" s="915"/>
      <c r="AW46" s="915"/>
      <c r="AX46" s="915"/>
      <c r="AY46" s="1688" t="str">
        <f t="shared" si="3"/>
        <v/>
      </c>
      <c r="CB46" s="381" t="str">
        <f t="shared" si="46"/>
        <v/>
      </c>
      <c r="CC46" s="381" t="str">
        <f t="shared" si="47"/>
        <v/>
      </c>
      <c r="CD46" s="381" t="str">
        <f t="shared" si="36"/>
        <v/>
      </c>
      <c r="CE46" s="381" t="str">
        <f t="shared" si="7"/>
        <v/>
      </c>
      <c r="CF46" s="381" t="str">
        <f t="shared" si="37"/>
        <v/>
      </c>
      <c r="CG46" s="381" t="str">
        <f t="shared" si="9"/>
        <v/>
      </c>
      <c r="CH46" s="381" t="str">
        <f t="shared" si="10"/>
        <v/>
      </c>
      <c r="CI46" s="381" t="str">
        <f t="shared" si="11"/>
        <v/>
      </c>
      <c r="CK46" s="381" t="str">
        <f t="shared" si="12"/>
        <v/>
      </c>
      <c r="CN46" s="381" t="str">
        <f t="shared" si="48"/>
        <v/>
      </c>
      <c r="CO46" s="381" t="str">
        <f t="shared" si="49"/>
        <v/>
      </c>
      <c r="CP46" s="381" t="str">
        <f t="shared" si="38"/>
        <v/>
      </c>
      <c r="CQ46" s="381" t="str">
        <f t="shared" si="39"/>
        <v/>
      </c>
      <c r="CR46" s="381" t="str">
        <f t="shared" si="40"/>
        <v/>
      </c>
      <c r="CS46" s="381" t="str">
        <f t="shared" si="18"/>
        <v/>
      </c>
      <c r="CY46" s="385"/>
      <c r="CZ46" s="385"/>
      <c r="DA46" s="391">
        <f t="shared" si="50"/>
        <v>0</v>
      </c>
      <c r="DB46" s="391">
        <f t="shared" si="51"/>
        <v>0</v>
      </c>
      <c r="DC46" s="391">
        <f t="shared" si="41"/>
        <v>0</v>
      </c>
      <c r="DD46" s="391">
        <f t="shared" si="22"/>
        <v>0</v>
      </c>
      <c r="DE46" s="391">
        <f t="shared" si="42"/>
        <v>0</v>
      </c>
      <c r="DF46" s="391">
        <f t="shared" si="24"/>
        <v>0</v>
      </c>
      <c r="DG46" s="391">
        <f t="shared" si="25"/>
        <v>0</v>
      </c>
      <c r="DH46" s="391">
        <f t="shared" si="26"/>
        <v>0</v>
      </c>
      <c r="DI46" s="385"/>
      <c r="DJ46" s="391">
        <f t="shared" si="27"/>
        <v>0</v>
      </c>
      <c r="DK46" s="385"/>
      <c r="DL46" s="391">
        <f t="shared" si="52"/>
        <v>0</v>
      </c>
      <c r="DM46" s="391">
        <f t="shared" si="53"/>
        <v>0</v>
      </c>
      <c r="DN46" s="391">
        <f t="shared" si="30"/>
        <v>0</v>
      </c>
      <c r="DO46" s="391">
        <f t="shared" si="43"/>
        <v>0</v>
      </c>
      <c r="DP46" s="391">
        <f t="shared" si="44"/>
        <v>0</v>
      </c>
      <c r="DQ46" s="391">
        <f t="shared" si="33"/>
        <v>0</v>
      </c>
      <c r="DR46" s="1423"/>
      <c r="DS46" s="1423"/>
      <c r="DT46" s="1423"/>
    </row>
    <row r="47" spans="1:124" ht="18.600000000000001" customHeight="1" x14ac:dyDescent="0.25">
      <c r="A47" s="2198" t="s">
        <v>229</v>
      </c>
      <c r="B47" s="2198"/>
      <c r="C47" s="719">
        <f t="shared" si="34"/>
        <v>0</v>
      </c>
      <c r="D47" s="728">
        <f t="shared" si="54"/>
        <v>0</v>
      </c>
      <c r="E47" s="914">
        <f t="shared" si="55"/>
        <v>0</v>
      </c>
      <c r="F47" s="740"/>
      <c r="G47" s="741"/>
      <c r="H47" s="740"/>
      <c r="I47" s="741"/>
      <c r="J47" s="740"/>
      <c r="K47" s="741"/>
      <c r="L47" s="740"/>
      <c r="M47" s="741"/>
      <c r="N47" s="740"/>
      <c r="O47" s="741"/>
      <c r="P47" s="740"/>
      <c r="Q47" s="741"/>
      <c r="R47" s="740"/>
      <c r="S47" s="741"/>
      <c r="T47" s="740"/>
      <c r="U47" s="741"/>
      <c r="V47" s="740"/>
      <c r="W47" s="741"/>
      <c r="X47" s="740"/>
      <c r="Y47" s="741"/>
      <c r="Z47" s="740"/>
      <c r="AA47" s="741"/>
      <c r="AB47" s="740"/>
      <c r="AC47" s="741"/>
      <c r="AD47" s="740"/>
      <c r="AE47" s="741"/>
      <c r="AF47" s="740"/>
      <c r="AG47" s="741"/>
      <c r="AH47" s="740"/>
      <c r="AI47" s="741"/>
      <c r="AJ47" s="740"/>
      <c r="AK47" s="741"/>
      <c r="AL47" s="740"/>
      <c r="AM47" s="771"/>
      <c r="AN47" s="1169"/>
      <c r="AO47" s="1155"/>
      <c r="AP47" s="812"/>
      <c r="AQ47" s="741"/>
      <c r="AR47" s="812"/>
      <c r="AS47" s="741"/>
      <c r="AT47" s="785"/>
      <c r="AU47" s="785"/>
      <c r="AV47" s="785"/>
      <c r="AW47" s="785"/>
      <c r="AX47" s="785"/>
      <c r="AY47" s="1688" t="str">
        <f t="shared" si="3"/>
        <v/>
      </c>
      <c r="CB47" s="381" t="str">
        <f t="shared" si="46"/>
        <v/>
      </c>
      <c r="CC47" s="381" t="str">
        <f t="shared" si="47"/>
        <v/>
      </c>
      <c r="CD47" s="381" t="str">
        <f t="shared" si="36"/>
        <v/>
      </c>
      <c r="CE47" s="381" t="str">
        <f t="shared" si="7"/>
        <v/>
      </c>
      <c r="CF47" s="381" t="str">
        <f t="shared" si="37"/>
        <v/>
      </c>
      <c r="CG47" s="381" t="str">
        <f t="shared" si="9"/>
        <v/>
      </c>
      <c r="CH47" s="381" t="str">
        <f t="shared" si="10"/>
        <v/>
      </c>
      <c r="CI47" s="381" t="str">
        <f t="shared" si="11"/>
        <v/>
      </c>
      <c r="CK47" s="381" t="str">
        <f t="shared" si="12"/>
        <v/>
      </c>
      <c r="CN47" s="381" t="str">
        <f t="shared" si="48"/>
        <v/>
      </c>
      <c r="CO47" s="381" t="str">
        <f t="shared" si="49"/>
        <v/>
      </c>
      <c r="CP47" s="381" t="str">
        <f t="shared" si="38"/>
        <v/>
      </c>
      <c r="CQ47" s="381" t="str">
        <f t="shared" si="39"/>
        <v/>
      </c>
      <c r="CR47" s="381" t="str">
        <f t="shared" si="40"/>
        <v/>
      </c>
      <c r="CS47" s="381" t="str">
        <f t="shared" si="18"/>
        <v/>
      </c>
      <c r="CY47" s="385"/>
      <c r="CZ47" s="385"/>
      <c r="DA47" s="391">
        <f t="shared" si="50"/>
        <v>0</v>
      </c>
      <c r="DB47" s="391">
        <f t="shared" si="51"/>
        <v>0</v>
      </c>
      <c r="DC47" s="391">
        <f t="shared" si="41"/>
        <v>0</v>
      </c>
      <c r="DD47" s="391">
        <f t="shared" si="22"/>
        <v>0</v>
      </c>
      <c r="DE47" s="391">
        <f t="shared" si="42"/>
        <v>0</v>
      </c>
      <c r="DF47" s="391">
        <f t="shared" si="24"/>
        <v>0</v>
      </c>
      <c r="DG47" s="391">
        <f t="shared" si="25"/>
        <v>0</v>
      </c>
      <c r="DH47" s="391">
        <f t="shared" si="26"/>
        <v>0</v>
      </c>
      <c r="DI47" s="385"/>
      <c r="DJ47" s="391">
        <f t="shared" si="27"/>
        <v>0</v>
      </c>
      <c r="DK47" s="385"/>
      <c r="DL47" s="391">
        <f t="shared" si="52"/>
        <v>0</v>
      </c>
      <c r="DM47" s="391">
        <f t="shared" si="53"/>
        <v>0</v>
      </c>
      <c r="DN47" s="391">
        <f t="shared" si="30"/>
        <v>0</v>
      </c>
      <c r="DO47" s="391">
        <f t="shared" si="43"/>
        <v>0</v>
      </c>
      <c r="DP47" s="391">
        <f t="shared" si="44"/>
        <v>0</v>
      </c>
      <c r="DQ47" s="391">
        <f t="shared" si="33"/>
        <v>0</v>
      </c>
      <c r="DR47" s="1423"/>
      <c r="DS47" s="1423"/>
      <c r="DT47" s="1423"/>
    </row>
    <row r="48" spans="1:124" ht="18.600000000000001" customHeight="1" x14ac:dyDescent="0.25">
      <c r="A48" s="2199" t="s">
        <v>230</v>
      </c>
      <c r="B48" s="1248" t="s">
        <v>607</v>
      </c>
      <c r="C48" s="726">
        <f t="shared" ref="C48:C51" si="56">SUM(D48:E48)</f>
        <v>0</v>
      </c>
      <c r="D48" s="726">
        <f>+F48+H48+J48+L48+N48+P48+R48+T48+V48+X48+Z48+AB48+AD48+AF48+AH48+AJ48+AL48</f>
        <v>0</v>
      </c>
      <c r="E48" s="996">
        <f>+G48+I48+K48+M48+O48+Q48+S48+U48+W48+Y48+AA48+AC48+AE48+AG48+AI48+AK48+AM48</f>
        <v>0</v>
      </c>
      <c r="F48" s="797"/>
      <c r="G48" s="798"/>
      <c r="H48" s="797"/>
      <c r="I48" s="798"/>
      <c r="J48" s="797"/>
      <c r="K48" s="798"/>
      <c r="L48" s="797"/>
      <c r="M48" s="798"/>
      <c r="N48" s="797"/>
      <c r="O48" s="798"/>
      <c r="P48" s="797"/>
      <c r="Q48" s="798"/>
      <c r="R48" s="797"/>
      <c r="S48" s="798"/>
      <c r="T48" s="797"/>
      <c r="U48" s="798"/>
      <c r="V48" s="797"/>
      <c r="W48" s="798"/>
      <c r="X48" s="797"/>
      <c r="Y48" s="798"/>
      <c r="Z48" s="797"/>
      <c r="AA48" s="798"/>
      <c r="AB48" s="797"/>
      <c r="AC48" s="798"/>
      <c r="AD48" s="797"/>
      <c r="AE48" s="798"/>
      <c r="AF48" s="797"/>
      <c r="AG48" s="798"/>
      <c r="AH48" s="797"/>
      <c r="AI48" s="798"/>
      <c r="AJ48" s="797"/>
      <c r="AK48" s="798"/>
      <c r="AL48" s="797"/>
      <c r="AM48" s="799"/>
      <c r="AN48" s="934"/>
      <c r="AO48" s="1159"/>
      <c r="AP48" s="816"/>
      <c r="AQ48" s="756"/>
      <c r="AR48" s="1175"/>
      <c r="AS48" s="798"/>
      <c r="AT48" s="1183"/>
      <c r="AU48" s="1183"/>
      <c r="AV48" s="1183"/>
      <c r="AW48" s="1183"/>
      <c r="AX48" s="1183"/>
      <c r="AY48" s="1688" t="str">
        <f t="shared" si="3"/>
        <v/>
      </c>
      <c r="CB48" s="381"/>
      <c r="CC48" s="381"/>
      <c r="CD48" s="381"/>
      <c r="CE48" s="381"/>
      <c r="CF48" s="381"/>
      <c r="CG48" s="381"/>
      <c r="CH48" s="381"/>
      <c r="CI48" s="381" t="str">
        <f t="shared" si="11"/>
        <v/>
      </c>
      <c r="CK48" s="381" t="str">
        <f t="shared" si="12"/>
        <v/>
      </c>
      <c r="CN48" s="381"/>
      <c r="CO48" s="381"/>
      <c r="CP48" s="381"/>
      <c r="CQ48" s="381"/>
      <c r="CR48" s="381"/>
      <c r="CS48" s="381" t="str">
        <f t="shared" si="18"/>
        <v/>
      </c>
      <c r="CY48" s="385"/>
      <c r="CZ48" s="385"/>
      <c r="DA48" s="391"/>
      <c r="DB48" s="391"/>
      <c r="DC48" s="391"/>
      <c r="DD48" s="391"/>
      <c r="DE48" s="391"/>
      <c r="DF48" s="391"/>
      <c r="DG48" s="391"/>
      <c r="DH48" s="391">
        <f t="shared" si="26"/>
        <v>0</v>
      </c>
      <c r="DI48" s="385"/>
      <c r="DJ48" s="391">
        <f t="shared" si="27"/>
        <v>0</v>
      </c>
      <c r="DK48" s="385"/>
      <c r="DL48" s="391"/>
      <c r="DM48" s="391"/>
      <c r="DN48" s="391"/>
      <c r="DO48" s="391"/>
      <c r="DP48" s="391"/>
      <c r="DQ48" s="391">
        <f t="shared" si="33"/>
        <v>0</v>
      </c>
      <c r="DR48" s="1423"/>
      <c r="DS48" s="1423"/>
      <c r="DT48" s="1423"/>
    </row>
    <row r="49" spans="1:124" ht="18.600000000000001" customHeight="1" x14ac:dyDescent="0.25">
      <c r="A49" s="2200"/>
      <c r="B49" s="1249" t="s">
        <v>608</v>
      </c>
      <c r="C49" s="738">
        <f t="shared" si="56"/>
        <v>0</v>
      </c>
      <c r="D49" s="738">
        <f t="shared" ref="D49:D51" si="57">+F49+H49+J49+L49+N49+P49+R49+T49+V49+X49+Z49+AB49+AD49+AF49+AH49+AJ49+AL49</f>
        <v>0</v>
      </c>
      <c r="E49" s="920">
        <f t="shared" ref="E49:E51" si="58">+G49+I49+K49+M49+O49+Q49+S49+U49+W49+Y49+AA49+AC49+AE49+AG49+AI49+AK49+AM49</f>
        <v>0</v>
      </c>
      <c r="F49" s="746"/>
      <c r="G49" s="747"/>
      <c r="H49" s="746"/>
      <c r="I49" s="747"/>
      <c r="J49" s="746"/>
      <c r="K49" s="747"/>
      <c r="L49" s="746"/>
      <c r="M49" s="747"/>
      <c r="N49" s="746"/>
      <c r="O49" s="747"/>
      <c r="P49" s="746"/>
      <c r="Q49" s="747"/>
      <c r="R49" s="746"/>
      <c r="S49" s="747"/>
      <c r="T49" s="746"/>
      <c r="U49" s="747"/>
      <c r="V49" s="746"/>
      <c r="W49" s="747"/>
      <c r="X49" s="746"/>
      <c r="Y49" s="747"/>
      <c r="Z49" s="746"/>
      <c r="AA49" s="747"/>
      <c r="AB49" s="746"/>
      <c r="AC49" s="747"/>
      <c r="AD49" s="746"/>
      <c r="AE49" s="747"/>
      <c r="AF49" s="746"/>
      <c r="AG49" s="747"/>
      <c r="AH49" s="746"/>
      <c r="AI49" s="747"/>
      <c r="AJ49" s="746"/>
      <c r="AK49" s="747"/>
      <c r="AL49" s="746"/>
      <c r="AM49" s="748"/>
      <c r="AN49" s="935"/>
      <c r="AO49" s="1153"/>
      <c r="AP49" s="813"/>
      <c r="AQ49" s="736"/>
      <c r="AR49" s="1166"/>
      <c r="AS49" s="747"/>
      <c r="AT49" s="921"/>
      <c r="AU49" s="921"/>
      <c r="AV49" s="921"/>
      <c r="AW49" s="921"/>
      <c r="AX49" s="921"/>
      <c r="AY49" s="1688" t="str">
        <f t="shared" si="3"/>
        <v/>
      </c>
      <c r="CB49" s="381"/>
      <c r="CC49" s="381"/>
      <c r="CD49" s="381"/>
      <c r="CE49" s="381"/>
      <c r="CF49" s="381"/>
      <c r="CG49" s="381"/>
      <c r="CH49" s="381"/>
      <c r="CI49" s="381" t="str">
        <f t="shared" si="11"/>
        <v/>
      </c>
      <c r="CK49" s="381" t="str">
        <f t="shared" si="12"/>
        <v/>
      </c>
      <c r="CN49" s="381"/>
      <c r="CO49" s="381"/>
      <c r="CP49" s="381"/>
      <c r="CQ49" s="381"/>
      <c r="CR49" s="381"/>
      <c r="CS49" s="381" t="str">
        <f t="shared" si="18"/>
        <v/>
      </c>
      <c r="CY49" s="385"/>
      <c r="CZ49" s="385"/>
      <c r="DA49" s="391"/>
      <c r="DB49" s="391"/>
      <c r="DC49" s="391"/>
      <c r="DD49" s="391"/>
      <c r="DE49" s="391"/>
      <c r="DF49" s="391"/>
      <c r="DG49" s="391"/>
      <c r="DH49" s="391">
        <f t="shared" si="26"/>
        <v>0</v>
      </c>
      <c r="DI49" s="385"/>
      <c r="DJ49" s="391">
        <f t="shared" si="27"/>
        <v>0</v>
      </c>
      <c r="DK49" s="385"/>
      <c r="DL49" s="391"/>
      <c r="DM49" s="391"/>
      <c r="DN49" s="391"/>
      <c r="DO49" s="391"/>
      <c r="DP49" s="391"/>
      <c r="DQ49" s="391">
        <f t="shared" si="33"/>
        <v>0</v>
      </c>
      <c r="DR49" s="1423"/>
      <c r="DS49" s="1423"/>
      <c r="DT49" s="1423"/>
    </row>
    <row r="50" spans="1:124" ht="18.600000000000001" customHeight="1" x14ac:dyDescent="0.25">
      <c r="A50" s="2200"/>
      <c r="B50" s="1249" t="s">
        <v>609</v>
      </c>
      <c r="C50" s="738">
        <f t="shared" si="56"/>
        <v>0</v>
      </c>
      <c r="D50" s="738">
        <f t="shared" si="57"/>
        <v>0</v>
      </c>
      <c r="E50" s="920">
        <f t="shared" si="58"/>
        <v>0</v>
      </c>
      <c r="F50" s="746"/>
      <c r="G50" s="747"/>
      <c r="H50" s="746"/>
      <c r="I50" s="747"/>
      <c r="J50" s="746"/>
      <c r="K50" s="747"/>
      <c r="L50" s="746"/>
      <c r="M50" s="747"/>
      <c r="N50" s="746"/>
      <c r="O50" s="747"/>
      <c r="P50" s="746"/>
      <c r="Q50" s="747"/>
      <c r="R50" s="746"/>
      <c r="S50" s="747"/>
      <c r="T50" s="746"/>
      <c r="U50" s="747"/>
      <c r="V50" s="746"/>
      <c r="W50" s="747"/>
      <c r="X50" s="746"/>
      <c r="Y50" s="747"/>
      <c r="Z50" s="746"/>
      <c r="AA50" s="747"/>
      <c r="AB50" s="746"/>
      <c r="AC50" s="747"/>
      <c r="AD50" s="746"/>
      <c r="AE50" s="747"/>
      <c r="AF50" s="746"/>
      <c r="AG50" s="747"/>
      <c r="AH50" s="746"/>
      <c r="AI50" s="747"/>
      <c r="AJ50" s="746"/>
      <c r="AK50" s="747"/>
      <c r="AL50" s="746"/>
      <c r="AM50" s="748"/>
      <c r="AN50" s="935"/>
      <c r="AO50" s="1153"/>
      <c r="AP50" s="813"/>
      <c r="AQ50" s="736"/>
      <c r="AR50" s="1166"/>
      <c r="AS50" s="747"/>
      <c r="AT50" s="921"/>
      <c r="AU50" s="921"/>
      <c r="AV50" s="921"/>
      <c r="AW50" s="921"/>
      <c r="AX50" s="921"/>
      <c r="AY50" s="1688" t="str">
        <f t="shared" si="3"/>
        <v/>
      </c>
      <c r="CB50" s="381"/>
      <c r="CC50" s="381"/>
      <c r="CD50" s="381"/>
      <c r="CE50" s="381"/>
      <c r="CF50" s="381"/>
      <c r="CG50" s="381"/>
      <c r="CH50" s="381"/>
      <c r="CI50" s="381" t="str">
        <f t="shared" si="11"/>
        <v/>
      </c>
      <c r="CK50" s="381" t="str">
        <f t="shared" si="12"/>
        <v/>
      </c>
      <c r="CN50" s="381"/>
      <c r="CO50" s="381"/>
      <c r="CP50" s="381"/>
      <c r="CQ50" s="381"/>
      <c r="CR50" s="381"/>
      <c r="CS50" s="381" t="str">
        <f t="shared" si="18"/>
        <v/>
      </c>
      <c r="CY50" s="385"/>
      <c r="CZ50" s="385"/>
      <c r="DA50" s="391"/>
      <c r="DB50" s="391"/>
      <c r="DC50" s="391"/>
      <c r="DD50" s="391"/>
      <c r="DE50" s="391"/>
      <c r="DF50" s="391"/>
      <c r="DG50" s="391"/>
      <c r="DH50" s="391">
        <f t="shared" si="26"/>
        <v>0</v>
      </c>
      <c r="DI50" s="385"/>
      <c r="DJ50" s="391">
        <f t="shared" si="27"/>
        <v>0</v>
      </c>
      <c r="DK50" s="385"/>
      <c r="DL50" s="391"/>
      <c r="DM50" s="391"/>
      <c r="DN50" s="391"/>
      <c r="DO50" s="391"/>
      <c r="DP50" s="391"/>
      <c r="DQ50" s="391">
        <f t="shared" si="33"/>
        <v>0</v>
      </c>
      <c r="DR50" s="1423"/>
      <c r="DS50" s="1423"/>
      <c r="DT50" s="1423"/>
    </row>
    <row r="51" spans="1:124" ht="18.600000000000001" customHeight="1" x14ac:dyDescent="0.25">
      <c r="A51" s="2200"/>
      <c r="B51" s="1249" t="s">
        <v>610</v>
      </c>
      <c r="C51" s="738">
        <f t="shared" si="56"/>
        <v>0</v>
      </c>
      <c r="D51" s="738">
        <f t="shared" si="57"/>
        <v>0</v>
      </c>
      <c r="E51" s="920">
        <f t="shared" si="58"/>
        <v>0</v>
      </c>
      <c r="F51" s="746"/>
      <c r="G51" s="747"/>
      <c r="H51" s="746"/>
      <c r="I51" s="747"/>
      <c r="J51" s="746"/>
      <c r="K51" s="747"/>
      <c r="L51" s="746"/>
      <c r="M51" s="747"/>
      <c r="N51" s="746"/>
      <c r="O51" s="747"/>
      <c r="P51" s="746"/>
      <c r="Q51" s="747"/>
      <c r="R51" s="746"/>
      <c r="S51" s="747"/>
      <c r="T51" s="746"/>
      <c r="U51" s="747"/>
      <c r="V51" s="746"/>
      <c r="W51" s="747"/>
      <c r="X51" s="746"/>
      <c r="Y51" s="747"/>
      <c r="Z51" s="746"/>
      <c r="AA51" s="747"/>
      <c r="AB51" s="746"/>
      <c r="AC51" s="747"/>
      <c r="AD51" s="746"/>
      <c r="AE51" s="747"/>
      <c r="AF51" s="746"/>
      <c r="AG51" s="747"/>
      <c r="AH51" s="746"/>
      <c r="AI51" s="747"/>
      <c r="AJ51" s="746"/>
      <c r="AK51" s="747"/>
      <c r="AL51" s="746"/>
      <c r="AM51" s="748"/>
      <c r="AN51" s="935"/>
      <c r="AO51" s="1153"/>
      <c r="AP51" s="813"/>
      <c r="AQ51" s="736"/>
      <c r="AR51" s="1166"/>
      <c r="AS51" s="747"/>
      <c r="AT51" s="921"/>
      <c r="AU51" s="921"/>
      <c r="AV51" s="921"/>
      <c r="AW51" s="921"/>
      <c r="AX51" s="921"/>
      <c r="AY51" s="1688" t="str">
        <f t="shared" si="3"/>
        <v/>
      </c>
      <c r="CB51" s="381"/>
      <c r="CC51" s="381"/>
      <c r="CD51" s="381"/>
      <c r="CE51" s="381"/>
      <c r="CF51" s="381"/>
      <c r="CG51" s="381"/>
      <c r="CH51" s="381"/>
      <c r="CI51" s="381" t="str">
        <f t="shared" si="11"/>
        <v/>
      </c>
      <c r="CK51" s="381" t="str">
        <f t="shared" si="12"/>
        <v/>
      </c>
      <c r="CN51" s="381"/>
      <c r="CO51" s="381"/>
      <c r="CP51" s="381"/>
      <c r="CQ51" s="381"/>
      <c r="CR51" s="381"/>
      <c r="CS51" s="381" t="str">
        <f t="shared" si="18"/>
        <v/>
      </c>
      <c r="CY51" s="385"/>
      <c r="CZ51" s="385"/>
      <c r="DA51" s="391"/>
      <c r="DB51" s="391"/>
      <c r="DC51" s="391"/>
      <c r="DD51" s="391"/>
      <c r="DE51" s="391"/>
      <c r="DF51" s="391"/>
      <c r="DG51" s="391"/>
      <c r="DH51" s="391">
        <f t="shared" si="26"/>
        <v>0</v>
      </c>
      <c r="DI51" s="385"/>
      <c r="DJ51" s="391">
        <f t="shared" si="27"/>
        <v>0</v>
      </c>
      <c r="DK51" s="385"/>
      <c r="DL51" s="391"/>
      <c r="DM51" s="391"/>
      <c r="DN51" s="391"/>
      <c r="DO51" s="391"/>
      <c r="DP51" s="391"/>
      <c r="DQ51" s="391">
        <f t="shared" si="33"/>
        <v>0</v>
      </c>
      <c r="DR51" s="1423"/>
      <c r="DS51" s="1423"/>
      <c r="DT51" s="1423"/>
    </row>
    <row r="52" spans="1:124" ht="18.600000000000001" customHeight="1" x14ac:dyDescent="0.25">
      <c r="A52" s="2201"/>
      <c r="B52" s="1250" t="s">
        <v>611</v>
      </c>
      <c r="C52" s="719">
        <f t="shared" si="34"/>
        <v>0</v>
      </c>
      <c r="D52" s="728">
        <f t="shared" si="54"/>
        <v>0</v>
      </c>
      <c r="E52" s="914">
        <f t="shared" si="55"/>
        <v>0</v>
      </c>
      <c r="F52" s="740"/>
      <c r="G52" s="741"/>
      <c r="H52" s="740"/>
      <c r="I52" s="741"/>
      <c r="J52" s="740"/>
      <c r="K52" s="741"/>
      <c r="L52" s="740"/>
      <c r="M52" s="741"/>
      <c r="N52" s="740"/>
      <c r="O52" s="741"/>
      <c r="P52" s="740"/>
      <c r="Q52" s="741"/>
      <c r="R52" s="740"/>
      <c r="S52" s="741"/>
      <c r="T52" s="740"/>
      <c r="U52" s="741"/>
      <c r="V52" s="740"/>
      <c r="W52" s="741"/>
      <c r="X52" s="740"/>
      <c r="Y52" s="741"/>
      <c r="Z52" s="740"/>
      <c r="AA52" s="741"/>
      <c r="AB52" s="740"/>
      <c r="AC52" s="741"/>
      <c r="AD52" s="740"/>
      <c r="AE52" s="741"/>
      <c r="AF52" s="740"/>
      <c r="AG52" s="741"/>
      <c r="AH52" s="740"/>
      <c r="AI52" s="741"/>
      <c r="AJ52" s="740"/>
      <c r="AK52" s="741"/>
      <c r="AL52" s="740"/>
      <c r="AM52" s="771"/>
      <c r="AN52" s="1169"/>
      <c r="AO52" s="1155"/>
      <c r="AP52" s="812"/>
      <c r="AQ52" s="741"/>
      <c r="AR52" s="812"/>
      <c r="AS52" s="741"/>
      <c r="AT52" s="785"/>
      <c r="AU52" s="785"/>
      <c r="AV52" s="785"/>
      <c r="AW52" s="785"/>
      <c r="AX52" s="785"/>
      <c r="AY52" s="1688" t="str">
        <f t="shared" si="3"/>
        <v/>
      </c>
      <c r="CB52" s="381" t="str">
        <f t="shared" si="46"/>
        <v/>
      </c>
      <c r="CC52" s="381" t="str">
        <f t="shared" si="47"/>
        <v/>
      </c>
      <c r="CD52" s="381" t="str">
        <f t="shared" si="36"/>
        <v/>
      </c>
      <c r="CE52" s="381" t="str">
        <f t="shared" si="7"/>
        <v/>
      </c>
      <c r="CF52" s="381" t="str">
        <f t="shared" si="37"/>
        <v/>
      </c>
      <c r="CG52" s="381" t="str">
        <f t="shared" si="9"/>
        <v/>
      </c>
      <c r="CH52" s="381" t="str">
        <f t="shared" si="10"/>
        <v/>
      </c>
      <c r="CI52" s="381" t="str">
        <f t="shared" si="11"/>
        <v/>
      </c>
      <c r="CK52" s="381" t="str">
        <f t="shared" si="12"/>
        <v/>
      </c>
      <c r="CN52" s="381" t="str">
        <f t="shared" si="48"/>
        <v/>
      </c>
      <c r="CO52" s="381" t="str">
        <f t="shared" si="49"/>
        <v/>
      </c>
      <c r="CP52" s="381" t="str">
        <f t="shared" si="38"/>
        <v/>
      </c>
      <c r="CQ52" s="381" t="str">
        <f t="shared" si="39"/>
        <v/>
      </c>
      <c r="CR52" s="381" t="str">
        <f t="shared" si="40"/>
        <v/>
      </c>
      <c r="CS52" s="381" t="str">
        <f t="shared" si="18"/>
        <v/>
      </c>
      <c r="CY52" s="385"/>
      <c r="CZ52" s="385"/>
      <c r="DA52" s="391">
        <f t="shared" si="50"/>
        <v>0</v>
      </c>
      <c r="DB52" s="391">
        <f t="shared" si="51"/>
        <v>0</v>
      </c>
      <c r="DC52" s="391">
        <f t="shared" si="41"/>
        <v>0</v>
      </c>
      <c r="DD52" s="391">
        <f t="shared" si="22"/>
        <v>0</v>
      </c>
      <c r="DE52" s="391">
        <f t="shared" si="42"/>
        <v>0</v>
      </c>
      <c r="DF52" s="391">
        <f t="shared" si="24"/>
        <v>0</v>
      </c>
      <c r="DG52" s="391">
        <f t="shared" si="25"/>
        <v>0</v>
      </c>
      <c r="DH52" s="391">
        <f t="shared" si="26"/>
        <v>0</v>
      </c>
      <c r="DI52" s="385"/>
      <c r="DJ52" s="391">
        <f t="shared" si="27"/>
        <v>0</v>
      </c>
      <c r="DK52" s="385"/>
      <c r="DL52" s="391">
        <f t="shared" si="52"/>
        <v>0</v>
      </c>
      <c r="DM52" s="391">
        <f t="shared" si="53"/>
        <v>0</v>
      </c>
      <c r="DN52" s="391">
        <f t="shared" si="30"/>
        <v>0</v>
      </c>
      <c r="DO52" s="391">
        <f t="shared" si="43"/>
        <v>0</v>
      </c>
      <c r="DP52" s="391">
        <f t="shared" si="44"/>
        <v>0</v>
      </c>
      <c r="DQ52" s="391">
        <f t="shared" si="33"/>
        <v>0</v>
      </c>
      <c r="DR52" s="1423"/>
      <c r="DS52" s="1423"/>
      <c r="DT52" s="1423"/>
    </row>
    <row r="53" spans="1:124" ht="19.149999999999999" customHeight="1" x14ac:dyDescent="0.25">
      <c r="A53" s="1107" t="s">
        <v>557</v>
      </c>
      <c r="B53" s="1108"/>
      <c r="C53" s="726">
        <f>SUM(D53:E53)</f>
        <v>0</v>
      </c>
      <c r="D53" s="726">
        <f t="shared" si="54"/>
        <v>0</v>
      </c>
      <c r="E53" s="996">
        <f t="shared" si="55"/>
        <v>0</v>
      </c>
      <c r="F53" s="797"/>
      <c r="G53" s="798"/>
      <c r="H53" s="797"/>
      <c r="I53" s="798"/>
      <c r="J53" s="797"/>
      <c r="K53" s="798"/>
      <c r="L53" s="797"/>
      <c r="M53" s="798"/>
      <c r="N53" s="797"/>
      <c r="O53" s="798"/>
      <c r="P53" s="797"/>
      <c r="Q53" s="798"/>
      <c r="R53" s="797"/>
      <c r="S53" s="798"/>
      <c r="T53" s="797"/>
      <c r="U53" s="798"/>
      <c r="V53" s="797"/>
      <c r="W53" s="798"/>
      <c r="X53" s="797"/>
      <c r="Y53" s="798"/>
      <c r="Z53" s="797"/>
      <c r="AA53" s="798"/>
      <c r="AB53" s="797"/>
      <c r="AC53" s="798"/>
      <c r="AD53" s="797"/>
      <c r="AE53" s="798"/>
      <c r="AF53" s="797"/>
      <c r="AG53" s="798"/>
      <c r="AH53" s="797"/>
      <c r="AI53" s="798"/>
      <c r="AJ53" s="797"/>
      <c r="AK53" s="798"/>
      <c r="AL53" s="797"/>
      <c r="AM53" s="799"/>
      <c r="AN53" s="934"/>
      <c r="AO53" s="1159"/>
      <c r="AP53" s="1175"/>
      <c r="AQ53" s="798"/>
      <c r="AR53" s="1175"/>
      <c r="AS53" s="798"/>
      <c r="AT53" s="1183"/>
      <c r="AU53" s="1183"/>
      <c r="AV53" s="1183"/>
      <c r="AW53" s="1183"/>
      <c r="AX53" s="1183"/>
      <c r="AY53" s="1688" t="str">
        <f t="shared" si="3"/>
        <v/>
      </c>
      <c r="CB53" s="381" t="str">
        <f t="shared" si="46"/>
        <v/>
      </c>
      <c r="CC53" s="381" t="str">
        <f t="shared" si="47"/>
        <v/>
      </c>
      <c r="CD53" s="381" t="str">
        <f t="shared" si="36"/>
        <v/>
      </c>
      <c r="CE53" s="381" t="str">
        <f t="shared" si="7"/>
        <v/>
      </c>
      <c r="CF53" s="381" t="str">
        <f t="shared" si="37"/>
        <v/>
      </c>
      <c r="CG53" s="381" t="str">
        <f t="shared" si="9"/>
        <v/>
      </c>
      <c r="CH53" s="381" t="str">
        <f t="shared" si="10"/>
        <v/>
      </c>
      <c r="CI53" s="381" t="str">
        <f t="shared" si="11"/>
        <v/>
      </c>
      <c r="CK53" s="381" t="str">
        <f t="shared" si="12"/>
        <v/>
      </c>
      <c r="CN53" s="381" t="str">
        <f t="shared" si="48"/>
        <v/>
      </c>
      <c r="CO53" s="381" t="str">
        <f t="shared" si="49"/>
        <v/>
      </c>
      <c r="CP53" s="381" t="str">
        <f t="shared" si="38"/>
        <v/>
      </c>
      <c r="CQ53" s="381" t="str">
        <f t="shared" si="39"/>
        <v/>
      </c>
      <c r="CR53" s="381" t="str">
        <f t="shared" si="40"/>
        <v/>
      </c>
      <c r="CS53" s="381" t="str">
        <f t="shared" si="18"/>
        <v/>
      </c>
      <c r="CY53" s="385"/>
      <c r="CZ53" s="385"/>
      <c r="DA53" s="391">
        <f t="shared" si="50"/>
        <v>0</v>
      </c>
      <c r="DB53" s="391">
        <f t="shared" si="51"/>
        <v>0</v>
      </c>
      <c r="DC53" s="391">
        <f t="shared" si="41"/>
        <v>0</v>
      </c>
      <c r="DD53" s="391">
        <f t="shared" si="22"/>
        <v>0</v>
      </c>
      <c r="DE53" s="391">
        <f t="shared" si="42"/>
        <v>0</v>
      </c>
      <c r="DF53" s="391">
        <f t="shared" si="24"/>
        <v>0</v>
      </c>
      <c r="DG53" s="391">
        <f t="shared" si="25"/>
        <v>0</v>
      </c>
      <c r="DH53" s="391">
        <f t="shared" si="26"/>
        <v>0</v>
      </c>
      <c r="DI53" s="385"/>
      <c r="DJ53" s="391">
        <f t="shared" si="27"/>
        <v>0</v>
      </c>
      <c r="DK53" s="385"/>
      <c r="DL53" s="391">
        <f t="shared" si="52"/>
        <v>0</v>
      </c>
      <c r="DM53" s="391">
        <f t="shared" si="53"/>
        <v>0</v>
      </c>
      <c r="DN53" s="391">
        <f t="shared" si="30"/>
        <v>0</v>
      </c>
      <c r="DO53" s="391">
        <f t="shared" si="43"/>
        <v>0</v>
      </c>
      <c r="DP53" s="391">
        <f t="shared" si="44"/>
        <v>0</v>
      </c>
      <c r="DQ53" s="391">
        <f t="shared" si="33"/>
        <v>0</v>
      </c>
      <c r="DR53" s="1423"/>
      <c r="DS53" s="1423"/>
      <c r="DT53" s="1423"/>
    </row>
    <row r="54" spans="1:124" ht="19.149999999999999" customHeight="1" x14ac:dyDescent="0.25">
      <c r="A54" s="2185" t="s">
        <v>358</v>
      </c>
      <c r="B54" s="2203"/>
      <c r="C54" s="719">
        <f>SUM(D54:E54)</f>
        <v>0</v>
      </c>
      <c r="D54" s="720">
        <f t="shared" si="54"/>
        <v>0</v>
      </c>
      <c r="E54" s="721">
        <f t="shared" si="55"/>
        <v>0</v>
      </c>
      <c r="F54" s="740"/>
      <c r="G54" s="741"/>
      <c r="H54" s="740"/>
      <c r="I54" s="741"/>
      <c r="J54" s="740"/>
      <c r="K54" s="741"/>
      <c r="L54" s="740"/>
      <c r="M54" s="741"/>
      <c r="N54" s="740"/>
      <c r="O54" s="741"/>
      <c r="P54" s="740"/>
      <c r="Q54" s="741"/>
      <c r="R54" s="740"/>
      <c r="S54" s="741"/>
      <c r="T54" s="740"/>
      <c r="U54" s="741"/>
      <c r="V54" s="740"/>
      <c r="W54" s="741"/>
      <c r="X54" s="740"/>
      <c r="Y54" s="741"/>
      <c r="Z54" s="740"/>
      <c r="AA54" s="741"/>
      <c r="AB54" s="740"/>
      <c r="AC54" s="741"/>
      <c r="AD54" s="740"/>
      <c r="AE54" s="741"/>
      <c r="AF54" s="740"/>
      <c r="AG54" s="741"/>
      <c r="AH54" s="740"/>
      <c r="AI54" s="741"/>
      <c r="AJ54" s="740"/>
      <c r="AK54" s="741"/>
      <c r="AL54" s="740"/>
      <c r="AM54" s="771"/>
      <c r="AN54" s="1169"/>
      <c r="AO54" s="1155"/>
      <c r="AP54" s="812"/>
      <c r="AQ54" s="741"/>
      <c r="AR54" s="812"/>
      <c r="AS54" s="741"/>
      <c r="AT54" s="785"/>
      <c r="AU54" s="785"/>
      <c r="AV54" s="785"/>
      <c r="AW54" s="785"/>
      <c r="AX54" s="785"/>
      <c r="AY54" s="1688" t="str">
        <f t="shared" si="3"/>
        <v/>
      </c>
      <c r="CD54" s="381" t="str">
        <f t="shared" si="36"/>
        <v/>
      </c>
      <c r="CE54" s="381" t="str">
        <f t="shared" si="7"/>
        <v/>
      </c>
      <c r="CF54" s="381" t="str">
        <f t="shared" si="37"/>
        <v/>
      </c>
      <c r="CG54" s="381" t="str">
        <f t="shared" si="9"/>
        <v/>
      </c>
      <c r="CH54" s="381" t="str">
        <f t="shared" si="10"/>
        <v/>
      </c>
      <c r="CI54" s="381" t="str">
        <f t="shared" si="11"/>
        <v/>
      </c>
      <c r="CK54" s="381" t="str">
        <f t="shared" si="12"/>
        <v/>
      </c>
      <c r="CP54" s="381" t="str">
        <f t="shared" si="38"/>
        <v/>
      </c>
      <c r="CQ54" s="381" t="str">
        <f t="shared" si="39"/>
        <v/>
      </c>
      <c r="CR54" s="381" t="str">
        <f t="shared" si="40"/>
        <v/>
      </c>
      <c r="CS54" s="381" t="str">
        <f t="shared" si="18"/>
        <v/>
      </c>
      <c r="CY54" s="385"/>
      <c r="CZ54" s="385"/>
      <c r="DA54" s="385"/>
      <c r="DB54" s="385"/>
      <c r="DC54" s="391">
        <f t="shared" si="41"/>
        <v>0</v>
      </c>
      <c r="DD54" s="391">
        <f t="shared" si="22"/>
        <v>0</v>
      </c>
      <c r="DE54" s="391">
        <f t="shared" si="42"/>
        <v>0</v>
      </c>
      <c r="DF54" s="391">
        <f t="shared" si="24"/>
        <v>0</v>
      </c>
      <c r="DG54" s="391">
        <f t="shared" si="25"/>
        <v>0</v>
      </c>
      <c r="DH54" s="391">
        <f t="shared" si="26"/>
        <v>0</v>
      </c>
      <c r="DI54" s="385"/>
      <c r="DJ54" s="391">
        <f t="shared" si="27"/>
        <v>0</v>
      </c>
      <c r="DK54" s="385"/>
      <c r="DL54" s="385"/>
      <c r="DM54" s="385"/>
      <c r="DN54" s="391">
        <f t="shared" si="30"/>
        <v>0</v>
      </c>
      <c r="DO54" s="391">
        <f t="shared" si="43"/>
        <v>0</v>
      </c>
      <c r="DP54" s="391">
        <f t="shared" si="44"/>
        <v>0</v>
      </c>
      <c r="DQ54" s="391">
        <f t="shared" si="33"/>
        <v>0</v>
      </c>
      <c r="DR54" s="1423"/>
      <c r="DS54" s="1423"/>
      <c r="DT54" s="1423"/>
    </row>
    <row r="55" spans="1:124" s="308" customFormat="1" ht="27" customHeight="1" x14ac:dyDescent="0.25">
      <c r="A55" s="494" t="s">
        <v>537</v>
      </c>
      <c r="B55" s="479"/>
      <c r="C55" s="479"/>
      <c r="D55" s="479"/>
      <c r="E55" s="476"/>
      <c r="F55" s="476"/>
      <c r="G55" s="476"/>
      <c r="H55" s="476"/>
      <c r="I55" s="476"/>
      <c r="J55" s="476"/>
      <c r="K55" s="476"/>
      <c r="L55" s="476"/>
      <c r="M55" s="476"/>
      <c r="N55" s="476"/>
      <c r="O55" s="476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384"/>
      <c r="CB55" s="387"/>
      <c r="CC55" s="387"/>
      <c r="CD55" s="387"/>
      <c r="CE55" s="387"/>
      <c r="CF55" s="387"/>
      <c r="CG55" s="387"/>
      <c r="CH55" s="387"/>
      <c r="CI55" s="387"/>
      <c r="CJ55" s="387"/>
      <c r="CK55" s="387"/>
      <c r="CL55" s="387"/>
      <c r="CM55" s="387"/>
      <c r="CN55" s="387"/>
      <c r="CO55" s="387"/>
      <c r="CP55" s="387"/>
      <c r="CQ55" s="387"/>
      <c r="CR55" s="387"/>
      <c r="CS55" s="387"/>
      <c r="CT55" s="387"/>
      <c r="CU55" s="387"/>
      <c r="CV55" s="387"/>
      <c r="CW55" s="387"/>
      <c r="CX55" s="387"/>
      <c r="CY55" s="385"/>
      <c r="CZ55" s="385"/>
      <c r="DA55" s="385"/>
      <c r="DB55" s="385"/>
      <c r="DC55" s="385"/>
      <c r="DD55" s="385"/>
      <c r="DE55" s="385"/>
      <c r="DF55" s="385"/>
      <c r="DG55" s="385"/>
      <c r="DH55" s="385"/>
      <c r="DI55" s="385"/>
      <c r="DJ55" s="385"/>
      <c r="DK55" s="385"/>
      <c r="DL55" s="385"/>
      <c r="DM55" s="385"/>
      <c r="DN55" s="385"/>
      <c r="DO55" s="385"/>
      <c r="DP55" s="385"/>
      <c r="DQ55" s="385"/>
      <c r="DR55" s="385"/>
      <c r="DS55" s="385"/>
      <c r="DT55" s="1423"/>
    </row>
    <row r="56" spans="1:124" s="308" customFormat="1" ht="27" customHeight="1" x14ac:dyDescent="0.25">
      <c r="A56" s="2202" t="s">
        <v>231</v>
      </c>
      <c r="B56" s="2202" t="s">
        <v>232</v>
      </c>
      <c r="C56" s="2019" t="s">
        <v>104</v>
      </c>
      <c r="D56" s="2019"/>
      <c r="E56" s="2019"/>
      <c r="F56" s="2019" t="s">
        <v>14</v>
      </c>
      <c r="G56" s="2019"/>
      <c r="H56" s="2019"/>
      <c r="I56" s="2019"/>
      <c r="J56" s="2019"/>
      <c r="K56" s="2019"/>
      <c r="L56" s="2019"/>
      <c r="M56" s="2019"/>
      <c r="N56" s="2019"/>
      <c r="O56" s="2019"/>
      <c r="P56" s="2019"/>
      <c r="Q56" s="2019"/>
      <c r="R56" s="2019"/>
      <c r="S56" s="2019"/>
      <c r="T56" s="2019"/>
      <c r="U56" s="2019"/>
      <c r="V56" s="2019"/>
      <c r="W56" s="2019"/>
      <c r="X56" s="2019"/>
      <c r="Y56" s="2019"/>
      <c r="Z56" s="2019"/>
      <c r="AA56" s="2019"/>
      <c r="AB56" s="2019"/>
      <c r="AC56" s="2019"/>
      <c r="AD56" s="2019"/>
      <c r="AE56" s="2019"/>
      <c r="AF56" s="2019"/>
      <c r="AG56" s="2019"/>
      <c r="AH56" s="2019"/>
      <c r="AI56" s="2019"/>
      <c r="AJ56" s="2019"/>
      <c r="AK56" s="2019"/>
      <c r="AL56" s="2019"/>
      <c r="AM56" s="2019"/>
      <c r="AN56" s="180"/>
      <c r="AO56" s="180"/>
      <c r="AP56" s="180"/>
      <c r="AQ56" s="180"/>
      <c r="AR56" s="180"/>
      <c r="AS56" s="180"/>
      <c r="AT56" s="180"/>
      <c r="AU56" s="180"/>
      <c r="AV56" s="180"/>
      <c r="AW56" s="180"/>
      <c r="AX56" s="180"/>
      <c r="AY56" s="384"/>
      <c r="CB56" s="387"/>
      <c r="CC56" s="387"/>
      <c r="CD56" s="387"/>
      <c r="CE56" s="387"/>
      <c r="CF56" s="387"/>
      <c r="CG56" s="387"/>
      <c r="CH56" s="387"/>
      <c r="CI56" s="387"/>
      <c r="CJ56" s="387"/>
      <c r="CK56" s="387"/>
      <c r="CL56" s="387"/>
      <c r="CM56" s="387"/>
      <c r="CN56" s="387"/>
      <c r="CO56" s="387"/>
      <c r="CP56" s="387"/>
      <c r="CQ56" s="387"/>
      <c r="CR56" s="387"/>
      <c r="CS56" s="387"/>
      <c r="CT56" s="387"/>
      <c r="CU56" s="387"/>
      <c r="CV56" s="387"/>
      <c r="CW56" s="387"/>
      <c r="CX56" s="387"/>
      <c r="CY56" s="385"/>
      <c r="CZ56" s="385"/>
      <c r="DA56" s="385"/>
      <c r="DB56" s="385"/>
      <c r="DC56" s="385"/>
      <c r="DD56" s="385"/>
      <c r="DE56" s="385"/>
      <c r="DF56" s="385"/>
      <c r="DG56" s="385"/>
      <c r="DH56" s="385"/>
      <c r="DI56" s="385"/>
      <c r="DJ56" s="385"/>
      <c r="DK56" s="385"/>
      <c r="DL56" s="385"/>
      <c r="DM56" s="385"/>
      <c r="DN56" s="385"/>
      <c r="DO56" s="385"/>
      <c r="DP56" s="385"/>
      <c r="DQ56" s="385"/>
      <c r="DR56" s="385"/>
      <c r="DS56" s="385"/>
      <c r="DT56" s="1423"/>
    </row>
    <row r="57" spans="1:124" s="308" customFormat="1" ht="27" customHeight="1" x14ac:dyDescent="0.25">
      <c r="A57" s="2202"/>
      <c r="B57" s="2202"/>
      <c r="C57" s="2019"/>
      <c r="D57" s="2019"/>
      <c r="E57" s="2019"/>
      <c r="F57" s="2019" t="s">
        <v>206</v>
      </c>
      <c r="G57" s="2019"/>
      <c r="H57" s="2019" t="s">
        <v>207</v>
      </c>
      <c r="I57" s="2019"/>
      <c r="J57" s="1916" t="s">
        <v>128</v>
      </c>
      <c r="K57" s="1916"/>
      <c r="L57" s="1916" t="s">
        <v>17</v>
      </c>
      <c r="M57" s="1916"/>
      <c r="N57" s="1916" t="s">
        <v>18</v>
      </c>
      <c r="O57" s="1916"/>
      <c r="P57" s="1916" t="s">
        <v>19</v>
      </c>
      <c r="Q57" s="1916"/>
      <c r="R57" s="1916" t="s">
        <v>20</v>
      </c>
      <c r="S57" s="1916"/>
      <c r="T57" s="1916" t="s">
        <v>21</v>
      </c>
      <c r="U57" s="1916"/>
      <c r="V57" s="1916" t="s">
        <v>22</v>
      </c>
      <c r="W57" s="1916"/>
      <c r="X57" s="1916" t="s">
        <v>23</v>
      </c>
      <c r="Y57" s="1916"/>
      <c r="Z57" s="1916" t="s">
        <v>24</v>
      </c>
      <c r="AA57" s="1916"/>
      <c r="AB57" s="1916" t="s">
        <v>208</v>
      </c>
      <c r="AC57" s="1916"/>
      <c r="AD57" s="1916" t="s">
        <v>209</v>
      </c>
      <c r="AE57" s="1916"/>
      <c r="AF57" s="2248" t="s">
        <v>181</v>
      </c>
      <c r="AG57" s="2248"/>
      <c r="AH57" s="2248" t="s">
        <v>182</v>
      </c>
      <c r="AI57" s="2248"/>
      <c r="AJ57" s="2248" t="s">
        <v>183</v>
      </c>
      <c r="AK57" s="2248"/>
      <c r="AL57" s="2140" t="s">
        <v>195</v>
      </c>
      <c r="AM57" s="214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0"/>
      <c r="AX57" s="180"/>
      <c r="AY57" s="384"/>
      <c r="CB57" s="387"/>
      <c r="CC57" s="387"/>
      <c r="CD57" s="387"/>
      <c r="CE57" s="387"/>
      <c r="CF57" s="387"/>
      <c r="CG57" s="387"/>
      <c r="CH57" s="387"/>
      <c r="CI57" s="387"/>
      <c r="CJ57" s="387"/>
      <c r="CK57" s="387"/>
      <c r="CL57" s="387"/>
      <c r="CM57" s="387"/>
      <c r="CN57" s="387"/>
      <c r="CO57" s="387"/>
      <c r="CP57" s="387"/>
      <c r="CQ57" s="387"/>
      <c r="CR57" s="387"/>
      <c r="CS57" s="387"/>
      <c r="CT57" s="387"/>
      <c r="CU57" s="387"/>
      <c r="CV57" s="387"/>
      <c r="CW57" s="387"/>
      <c r="CX57" s="387"/>
      <c r="CY57" s="385"/>
      <c r="CZ57" s="385"/>
      <c r="DA57" s="385"/>
      <c r="DB57" s="385"/>
      <c r="DC57" s="385"/>
      <c r="DD57" s="385"/>
      <c r="DE57" s="385"/>
      <c r="DF57" s="385"/>
      <c r="DG57" s="385"/>
      <c r="DH57" s="385"/>
      <c r="DI57" s="385"/>
      <c r="DJ57" s="385"/>
      <c r="DK57" s="385"/>
      <c r="DL57" s="385"/>
      <c r="DM57" s="385"/>
      <c r="DN57" s="385"/>
      <c r="DO57" s="385"/>
      <c r="DP57" s="385"/>
      <c r="DQ57" s="385"/>
      <c r="DR57" s="385"/>
      <c r="DS57" s="385"/>
      <c r="DT57" s="1423"/>
    </row>
    <row r="58" spans="1:124" s="308" customFormat="1" ht="27" customHeight="1" x14ac:dyDescent="0.25">
      <c r="A58" s="2202"/>
      <c r="B58" s="2202"/>
      <c r="C58" s="181" t="s">
        <v>93</v>
      </c>
      <c r="D58" s="62" t="s">
        <v>31</v>
      </c>
      <c r="E58" s="390" t="s">
        <v>94</v>
      </c>
      <c r="F58" s="389" t="s">
        <v>31</v>
      </c>
      <c r="G58" s="390" t="s">
        <v>94</v>
      </c>
      <c r="H58" s="389" t="s">
        <v>31</v>
      </c>
      <c r="I58" s="390" t="s">
        <v>94</v>
      </c>
      <c r="J58" s="389" t="s">
        <v>31</v>
      </c>
      <c r="K58" s="390" t="s">
        <v>94</v>
      </c>
      <c r="L58" s="389" t="s">
        <v>31</v>
      </c>
      <c r="M58" s="390" t="s">
        <v>94</v>
      </c>
      <c r="N58" s="389" t="s">
        <v>31</v>
      </c>
      <c r="O58" s="390" t="s">
        <v>94</v>
      </c>
      <c r="P58" s="389" t="s">
        <v>31</v>
      </c>
      <c r="Q58" s="390" t="s">
        <v>94</v>
      </c>
      <c r="R58" s="389" t="s">
        <v>31</v>
      </c>
      <c r="S58" s="390" t="s">
        <v>94</v>
      </c>
      <c r="T58" s="389" t="s">
        <v>31</v>
      </c>
      <c r="U58" s="390" t="s">
        <v>94</v>
      </c>
      <c r="V58" s="389" t="s">
        <v>31</v>
      </c>
      <c r="W58" s="390" t="s">
        <v>94</v>
      </c>
      <c r="X58" s="389" t="s">
        <v>31</v>
      </c>
      <c r="Y58" s="390" t="s">
        <v>94</v>
      </c>
      <c r="Z58" s="389" t="s">
        <v>31</v>
      </c>
      <c r="AA58" s="390" t="s">
        <v>94</v>
      </c>
      <c r="AB58" s="389" t="s">
        <v>31</v>
      </c>
      <c r="AC58" s="390" t="s">
        <v>94</v>
      </c>
      <c r="AD58" s="389" t="s">
        <v>31</v>
      </c>
      <c r="AE58" s="390" t="s">
        <v>94</v>
      </c>
      <c r="AF58" s="389" t="s">
        <v>31</v>
      </c>
      <c r="AG58" s="390" t="s">
        <v>94</v>
      </c>
      <c r="AH58" s="389" t="s">
        <v>31</v>
      </c>
      <c r="AI58" s="390" t="s">
        <v>94</v>
      </c>
      <c r="AJ58" s="389" t="s">
        <v>31</v>
      </c>
      <c r="AK58" s="390" t="s">
        <v>94</v>
      </c>
      <c r="AL58" s="389" t="s">
        <v>31</v>
      </c>
      <c r="AM58" s="390" t="s">
        <v>94</v>
      </c>
      <c r="AN58" s="180"/>
      <c r="AO58" s="180"/>
      <c r="AP58" s="180"/>
      <c r="AQ58" s="180"/>
      <c r="AR58" s="180"/>
      <c r="AS58" s="180"/>
      <c r="AT58" s="180"/>
      <c r="AU58" s="180"/>
      <c r="AV58" s="180"/>
      <c r="AW58" s="180"/>
      <c r="AX58" s="180"/>
      <c r="AY58" s="384"/>
      <c r="CB58" s="387"/>
      <c r="CC58" s="387"/>
      <c r="CD58" s="387"/>
      <c r="CE58" s="387"/>
      <c r="CF58" s="387"/>
      <c r="CG58" s="387"/>
      <c r="CH58" s="387"/>
      <c r="CI58" s="387"/>
      <c r="CJ58" s="387"/>
      <c r="CK58" s="387"/>
      <c r="CL58" s="387"/>
      <c r="CM58" s="387"/>
      <c r="CN58" s="387"/>
      <c r="CO58" s="387"/>
      <c r="CP58" s="387"/>
      <c r="CQ58" s="387"/>
      <c r="CR58" s="387"/>
      <c r="CS58" s="387"/>
      <c r="CT58" s="387"/>
      <c r="CU58" s="387"/>
      <c r="CV58" s="387"/>
      <c r="CW58" s="387"/>
      <c r="CX58" s="387"/>
      <c r="CY58" s="385"/>
      <c r="CZ58" s="385"/>
      <c r="DA58" s="385"/>
      <c r="DB58" s="385"/>
      <c r="DC58" s="385"/>
      <c r="DD58" s="385"/>
      <c r="DE58" s="385"/>
      <c r="DF58" s="385"/>
      <c r="DG58" s="385"/>
      <c r="DH58" s="385"/>
      <c r="DI58" s="385"/>
      <c r="DJ58" s="385"/>
      <c r="DK58" s="385"/>
      <c r="DL58" s="385"/>
      <c r="DM58" s="385"/>
      <c r="DN58" s="385"/>
      <c r="DO58" s="385"/>
      <c r="DP58" s="385"/>
      <c r="DQ58" s="385"/>
      <c r="DR58" s="385"/>
      <c r="DS58" s="385"/>
      <c r="DT58" s="1423"/>
    </row>
    <row r="59" spans="1:124" ht="20.45" customHeight="1" x14ac:dyDescent="0.25">
      <c r="A59" s="190" t="s">
        <v>233</v>
      </c>
      <c r="B59" s="191" t="s">
        <v>210</v>
      </c>
      <c r="C59" s="295">
        <f>SUM(D59:E59)</f>
        <v>0</v>
      </c>
      <c r="D59" s="296">
        <f>+F59+H59+J59+L59+N59+P59+R59+T59+V59+X59+Z59+AB59+AD59+AF59+AH59+AJ59+AL59</f>
        <v>0</v>
      </c>
      <c r="E59" s="297">
        <f>+G59+I59+K59+M59+O59+Q59+S59+U59+W59+Y59+AA59+AC59+AE59+AG59+AI59+AK59+AM59</f>
        <v>0</v>
      </c>
      <c r="F59" s="926"/>
      <c r="G59" s="927"/>
      <c r="H59" s="926"/>
      <c r="I59" s="927"/>
      <c r="J59" s="926"/>
      <c r="K59" s="927"/>
      <c r="L59" s="926"/>
      <c r="M59" s="927"/>
      <c r="N59" s="926"/>
      <c r="O59" s="927"/>
      <c r="P59" s="926"/>
      <c r="Q59" s="927"/>
      <c r="R59" s="926"/>
      <c r="S59" s="927"/>
      <c r="T59" s="926"/>
      <c r="U59" s="927"/>
      <c r="V59" s="926"/>
      <c r="W59" s="927"/>
      <c r="X59" s="926"/>
      <c r="Y59" s="927"/>
      <c r="Z59" s="926"/>
      <c r="AA59" s="927"/>
      <c r="AB59" s="926"/>
      <c r="AC59" s="927"/>
      <c r="AD59" s="926"/>
      <c r="AE59" s="927"/>
      <c r="AF59" s="926"/>
      <c r="AG59" s="927"/>
      <c r="AH59" s="926"/>
      <c r="AI59" s="927"/>
      <c r="AJ59" s="926"/>
      <c r="AK59" s="927"/>
      <c r="AL59" s="926"/>
      <c r="AM59" s="936"/>
      <c r="AN59" s="450"/>
      <c r="AY59" s="376"/>
      <c r="CY59" s="385"/>
      <c r="CZ59" s="385"/>
      <c r="DA59" s="385"/>
      <c r="DB59" s="385"/>
      <c r="DC59" s="385"/>
      <c r="DD59" s="385"/>
      <c r="DE59" s="385"/>
      <c r="DF59" s="385"/>
      <c r="DG59" s="385"/>
      <c r="DH59" s="385"/>
      <c r="DI59" s="385"/>
      <c r="DJ59" s="385"/>
      <c r="DK59" s="385"/>
      <c r="DL59" s="385"/>
      <c r="DM59" s="385"/>
      <c r="DN59" s="385"/>
      <c r="DO59" s="385"/>
      <c r="DP59" s="385"/>
      <c r="DQ59" s="1423"/>
      <c r="DR59" s="1423"/>
      <c r="DS59" s="1423"/>
      <c r="DT59" s="1423"/>
    </row>
    <row r="60" spans="1:124" s="146" customFormat="1" ht="20.45" customHeight="1" x14ac:dyDescent="0.25">
      <c r="A60" s="190" t="s">
        <v>234</v>
      </c>
      <c r="B60" s="191" t="s">
        <v>210</v>
      </c>
      <c r="C60" s="295">
        <f>SUM(D60:E60)</f>
        <v>0</v>
      </c>
      <c r="D60" s="296">
        <f>+F60+H60+J60+L60+N60+P60+R60+T60+V60+X60+Z60+AB60+AD60+AF60+AH60+AJ60+AL60</f>
        <v>0</v>
      </c>
      <c r="E60" s="297">
        <f>+G60+I60+K60+M60+O60+Q60+S60+U60+W60+Y60+AA60+AC60+AE60+AG60+AI60+AK60+AM60</f>
        <v>0</v>
      </c>
      <c r="F60" s="926"/>
      <c r="G60" s="927"/>
      <c r="H60" s="926"/>
      <c r="I60" s="927"/>
      <c r="J60" s="926"/>
      <c r="K60" s="927"/>
      <c r="L60" s="926"/>
      <c r="M60" s="927"/>
      <c r="N60" s="926"/>
      <c r="O60" s="927"/>
      <c r="P60" s="926"/>
      <c r="Q60" s="927"/>
      <c r="R60" s="926"/>
      <c r="S60" s="927"/>
      <c r="T60" s="926"/>
      <c r="U60" s="927"/>
      <c r="V60" s="926"/>
      <c r="W60" s="927"/>
      <c r="X60" s="926"/>
      <c r="Y60" s="927"/>
      <c r="Z60" s="926"/>
      <c r="AA60" s="927"/>
      <c r="AB60" s="926"/>
      <c r="AC60" s="927"/>
      <c r="AD60" s="926"/>
      <c r="AE60" s="927"/>
      <c r="AF60" s="926"/>
      <c r="AG60" s="927"/>
      <c r="AH60" s="926"/>
      <c r="AI60" s="927"/>
      <c r="AJ60" s="926"/>
      <c r="AK60" s="927"/>
      <c r="AL60" s="926"/>
      <c r="AM60" s="936"/>
      <c r="AN60" s="450"/>
      <c r="AO60" s="180"/>
      <c r="AP60" s="180"/>
      <c r="AQ60" s="180"/>
      <c r="AR60" s="180"/>
      <c r="AS60" s="180"/>
      <c r="AT60" s="180"/>
      <c r="AU60" s="180"/>
      <c r="AV60" s="180"/>
      <c r="AW60" s="180"/>
      <c r="AX60" s="180"/>
      <c r="AY60" s="1692"/>
      <c r="CB60" s="491"/>
      <c r="CC60" s="491"/>
      <c r="CD60" s="491"/>
      <c r="CE60" s="491"/>
      <c r="CF60" s="491"/>
      <c r="CG60" s="491"/>
      <c r="CH60" s="491"/>
      <c r="CI60" s="491"/>
      <c r="CJ60" s="491"/>
      <c r="CK60" s="491"/>
      <c r="CL60" s="491"/>
      <c r="CM60" s="491"/>
      <c r="CN60" s="491"/>
      <c r="CO60" s="491"/>
      <c r="CP60" s="491"/>
      <c r="CQ60" s="491"/>
      <c r="CR60" s="491"/>
      <c r="CS60" s="491"/>
      <c r="CT60" s="491"/>
      <c r="CU60" s="491"/>
      <c r="CV60" s="491"/>
      <c r="CW60" s="491"/>
      <c r="CX60" s="491"/>
      <c r="CY60" s="492"/>
      <c r="CZ60" s="492"/>
      <c r="DA60" s="492"/>
      <c r="DB60" s="492"/>
      <c r="DC60" s="492"/>
      <c r="DD60" s="492"/>
      <c r="DE60" s="492"/>
      <c r="DF60" s="492"/>
      <c r="DG60" s="492"/>
      <c r="DH60" s="385"/>
      <c r="DI60" s="385"/>
      <c r="DJ60" s="385"/>
      <c r="DK60" s="385"/>
      <c r="DL60" s="492"/>
      <c r="DM60" s="492"/>
      <c r="DN60" s="492"/>
      <c r="DO60" s="492"/>
      <c r="DP60" s="492"/>
      <c r="DQ60" s="492"/>
      <c r="DR60" s="492"/>
      <c r="DS60" s="492"/>
      <c r="DT60" s="1423"/>
    </row>
    <row r="61" spans="1:124" s="146" customFormat="1" ht="26.45" customHeight="1" x14ac:dyDescent="0.25">
      <c r="A61" s="1044" t="s">
        <v>366</v>
      </c>
      <c r="B61" s="1428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398"/>
      <c r="P61" s="398"/>
      <c r="Q61" s="398"/>
      <c r="R61" s="398"/>
      <c r="S61" s="398"/>
      <c r="T61" s="398"/>
      <c r="U61" s="398"/>
      <c r="V61" s="398"/>
      <c r="W61" s="398"/>
      <c r="X61" s="398"/>
      <c r="Y61" s="398"/>
      <c r="Z61" s="398"/>
      <c r="AA61" s="398"/>
      <c r="AB61" s="398"/>
      <c r="AC61" s="398"/>
      <c r="AD61" s="398"/>
      <c r="AE61" s="398"/>
      <c r="AF61" s="398"/>
      <c r="AG61" s="398"/>
      <c r="AH61" s="398"/>
      <c r="AI61" s="398"/>
      <c r="AJ61" s="398"/>
      <c r="AK61" s="398"/>
      <c r="AL61" s="398"/>
      <c r="AM61" s="398"/>
      <c r="AN61" s="1429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76"/>
      <c r="AZ61" s="180"/>
      <c r="BA61" s="180"/>
      <c r="BB61" s="180"/>
      <c r="CB61" s="387"/>
      <c r="CC61" s="387"/>
      <c r="CD61" s="387"/>
      <c r="CE61" s="387"/>
      <c r="CF61" s="387"/>
      <c r="CG61" s="387"/>
      <c r="CH61" s="387"/>
      <c r="CI61" s="387"/>
      <c r="CJ61" s="387"/>
      <c r="CK61" s="387"/>
      <c r="CL61" s="387"/>
      <c r="CM61" s="387"/>
      <c r="CN61" s="387"/>
      <c r="CO61" s="387"/>
      <c r="CP61" s="387"/>
      <c r="CQ61" s="387"/>
      <c r="CR61" s="387"/>
      <c r="CS61" s="491"/>
      <c r="CT61" s="491"/>
      <c r="CU61" s="491"/>
      <c r="CV61" s="387"/>
      <c r="CW61" s="387"/>
      <c r="CX61" s="387"/>
      <c r="CY61" s="385"/>
      <c r="CZ61" s="385"/>
      <c r="DA61" s="385"/>
      <c r="DB61" s="385"/>
      <c r="DC61" s="385"/>
      <c r="DD61" s="385"/>
      <c r="DE61" s="385"/>
      <c r="DF61" s="385"/>
      <c r="DG61" s="385"/>
      <c r="DH61" s="385"/>
      <c r="DI61" s="385"/>
      <c r="DJ61" s="385"/>
      <c r="DK61" s="385"/>
      <c r="DL61" s="385"/>
      <c r="DM61" s="385"/>
      <c r="DN61" s="385"/>
      <c r="DO61" s="385"/>
      <c r="DP61" s="385"/>
      <c r="DQ61" s="492"/>
      <c r="DR61" s="492"/>
      <c r="DS61" s="492"/>
      <c r="DT61" s="1423"/>
    </row>
    <row r="62" spans="1:124" s="146" customFormat="1" ht="18.75" customHeight="1" x14ac:dyDescent="0.25">
      <c r="A62" s="2188" t="s">
        <v>151</v>
      </c>
      <c r="B62" s="2189"/>
      <c r="C62" s="2214" t="s">
        <v>13</v>
      </c>
      <c r="D62" s="2215"/>
      <c r="E62" s="2216"/>
      <c r="F62" s="1968" t="s">
        <v>46</v>
      </c>
      <c r="G62" s="2012"/>
      <c r="H62" s="2012"/>
      <c r="I62" s="2012"/>
      <c r="J62" s="2012"/>
      <c r="K62" s="2012"/>
      <c r="L62" s="2012"/>
      <c r="M62" s="2012"/>
      <c r="N62" s="2012"/>
      <c r="O62" s="2213"/>
      <c r="P62" s="2244" t="s">
        <v>465</v>
      </c>
      <c r="Q62" s="2245"/>
      <c r="R62" s="398"/>
      <c r="S62" s="398"/>
      <c r="T62" s="398"/>
      <c r="U62" s="398"/>
      <c r="V62" s="398"/>
      <c r="W62" s="398"/>
      <c r="X62" s="398"/>
      <c r="Y62" s="398"/>
      <c r="Z62" s="398"/>
      <c r="AA62" s="398"/>
      <c r="AB62" s="398"/>
      <c r="AC62" s="398"/>
      <c r="AD62" s="398"/>
      <c r="AE62" s="398"/>
      <c r="AF62" s="398"/>
      <c r="AG62" s="398"/>
      <c r="AH62" s="398"/>
      <c r="AI62" s="398"/>
      <c r="AJ62" s="398"/>
      <c r="AK62" s="398"/>
      <c r="AL62" s="398"/>
      <c r="AM62" s="398"/>
      <c r="AN62" s="1429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76"/>
      <c r="AZ62" s="180"/>
      <c r="BA62" s="180"/>
      <c r="BB62" s="180"/>
      <c r="CB62" s="387"/>
      <c r="CC62" s="387"/>
      <c r="CD62" s="387"/>
      <c r="CE62" s="387"/>
      <c r="CF62" s="387"/>
      <c r="CG62" s="387"/>
      <c r="CH62" s="387"/>
      <c r="CI62" s="387"/>
      <c r="CJ62" s="387"/>
      <c r="CK62" s="339"/>
      <c r="CL62" s="339"/>
      <c r="CM62" s="387"/>
      <c r="CN62" s="387"/>
      <c r="CO62" s="387"/>
      <c r="CP62" s="387"/>
      <c r="CQ62" s="387"/>
      <c r="CR62" s="387"/>
      <c r="CS62" s="491"/>
      <c r="CT62" s="491"/>
      <c r="CU62" s="491"/>
      <c r="CV62" s="393"/>
      <c r="CW62" s="393"/>
      <c r="CX62" s="393"/>
      <c r="CY62" s="970"/>
      <c r="CZ62" s="972"/>
      <c r="DA62" s="385"/>
      <c r="DB62" s="385"/>
      <c r="DC62" s="385"/>
      <c r="DD62" s="385"/>
      <c r="DE62" s="385"/>
      <c r="DF62" s="385"/>
      <c r="DG62" s="385"/>
      <c r="DH62" s="385"/>
      <c r="DI62" s="385"/>
      <c r="DJ62" s="385"/>
      <c r="DK62" s="385"/>
      <c r="DL62" s="385"/>
      <c r="DM62" s="385"/>
      <c r="DN62" s="385"/>
      <c r="DO62" s="385"/>
      <c r="DP62" s="385"/>
      <c r="DQ62" s="492"/>
      <c r="DR62" s="492"/>
      <c r="DS62" s="492"/>
      <c r="DT62" s="1423"/>
    </row>
    <row r="63" spans="1:124" s="146" customFormat="1" ht="23.25" customHeight="1" x14ac:dyDescent="0.25">
      <c r="A63" s="2190"/>
      <c r="B63" s="2191"/>
      <c r="C63" s="2217"/>
      <c r="D63" s="2218"/>
      <c r="E63" s="2219"/>
      <c r="F63" s="2019" t="s">
        <v>206</v>
      </c>
      <c r="G63" s="2019"/>
      <c r="H63" s="2019" t="s">
        <v>207</v>
      </c>
      <c r="I63" s="2019"/>
      <c r="J63" s="1916" t="s">
        <v>128</v>
      </c>
      <c r="K63" s="1916"/>
      <c r="L63" s="1916" t="s">
        <v>17</v>
      </c>
      <c r="M63" s="1916"/>
      <c r="N63" s="1916" t="s">
        <v>18</v>
      </c>
      <c r="O63" s="1916"/>
      <c r="P63" s="2246"/>
      <c r="Q63" s="2247"/>
      <c r="R63" s="398"/>
      <c r="S63" s="398"/>
      <c r="T63" s="398"/>
      <c r="U63" s="398"/>
      <c r="V63" s="398"/>
      <c r="W63" s="398"/>
      <c r="X63" s="398"/>
      <c r="Y63" s="398"/>
      <c r="Z63" s="398"/>
      <c r="AA63" s="398"/>
      <c r="AB63" s="398"/>
      <c r="AC63" s="398"/>
      <c r="AD63" s="398"/>
      <c r="AE63" s="398"/>
      <c r="AF63" s="398"/>
      <c r="AG63" s="398"/>
      <c r="AH63" s="398"/>
      <c r="AI63" s="398"/>
      <c r="AJ63" s="398"/>
      <c r="AK63" s="398"/>
      <c r="AL63" s="398"/>
      <c r="AM63" s="398"/>
      <c r="AN63" s="1429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76"/>
      <c r="AZ63" s="180"/>
      <c r="BA63" s="180"/>
      <c r="BB63" s="180"/>
      <c r="CB63" s="387"/>
      <c r="CC63" s="387"/>
      <c r="CD63" s="442"/>
      <c r="CE63" s="442"/>
      <c r="CF63" s="339" t="s">
        <v>542</v>
      </c>
      <c r="CG63" s="339" t="s">
        <v>542</v>
      </c>
      <c r="CH63" s="387"/>
      <c r="CI63" s="387"/>
      <c r="CJ63" s="387"/>
      <c r="CK63" s="387"/>
      <c r="CL63" s="387"/>
      <c r="CM63" s="387"/>
      <c r="CN63" s="387"/>
      <c r="CO63" s="387"/>
      <c r="CP63" s="387"/>
      <c r="CQ63" s="387"/>
      <c r="CR63" s="339" t="s">
        <v>542</v>
      </c>
      <c r="CS63" s="491"/>
      <c r="CT63" s="491"/>
      <c r="CU63" s="491"/>
      <c r="CV63" s="442"/>
      <c r="CW63" s="442"/>
      <c r="CX63" s="442"/>
      <c r="CY63" s="970"/>
      <c r="CZ63" s="970"/>
      <c r="DA63" s="385"/>
      <c r="DB63" s="385"/>
      <c r="DC63" s="385"/>
      <c r="DD63" s="385"/>
      <c r="DE63" s="1619" t="s">
        <v>542</v>
      </c>
      <c r="DF63" s="1619" t="s">
        <v>542</v>
      </c>
      <c r="DG63" s="385"/>
      <c r="DH63" s="385"/>
      <c r="DI63" s="385"/>
      <c r="DJ63" s="385"/>
      <c r="DK63" s="385"/>
      <c r="DL63" s="385"/>
      <c r="DM63" s="385"/>
      <c r="DN63" s="385"/>
      <c r="DO63" s="385"/>
      <c r="DP63" s="1619" t="s">
        <v>542</v>
      </c>
      <c r="DQ63" s="492"/>
      <c r="DR63" s="492"/>
      <c r="DS63" s="492"/>
      <c r="DT63" s="1423"/>
    </row>
    <row r="64" spans="1:124" s="59" customFormat="1" ht="27.75" customHeight="1" x14ac:dyDescent="0.25">
      <c r="A64" s="2192"/>
      <c r="B64" s="2193"/>
      <c r="C64" s="1510" t="s">
        <v>367</v>
      </c>
      <c r="D64" s="1478" t="s">
        <v>31</v>
      </c>
      <c r="E64" s="390" t="s">
        <v>94</v>
      </c>
      <c r="F64" s="389" t="s">
        <v>31</v>
      </c>
      <c r="G64" s="390" t="s">
        <v>94</v>
      </c>
      <c r="H64" s="389" t="s">
        <v>31</v>
      </c>
      <c r="I64" s="390" t="s">
        <v>94</v>
      </c>
      <c r="J64" s="389" t="s">
        <v>31</v>
      </c>
      <c r="K64" s="390" t="s">
        <v>94</v>
      </c>
      <c r="L64" s="389" t="s">
        <v>31</v>
      </c>
      <c r="M64" s="390" t="s">
        <v>94</v>
      </c>
      <c r="N64" s="389" t="s">
        <v>31</v>
      </c>
      <c r="O64" s="1029" t="s">
        <v>94</v>
      </c>
      <c r="P64" s="1045" t="s">
        <v>31</v>
      </c>
      <c r="Q64" s="493" t="s">
        <v>94</v>
      </c>
      <c r="R64" s="398"/>
      <c r="S64" s="398"/>
      <c r="T64" s="398"/>
      <c r="U64" s="398"/>
      <c r="V64" s="398"/>
      <c r="W64" s="398"/>
      <c r="X64" s="398"/>
      <c r="Y64" s="398"/>
      <c r="Z64" s="398"/>
      <c r="AA64" s="398"/>
      <c r="AB64" s="398"/>
      <c r="AC64" s="398"/>
      <c r="AD64" s="398"/>
      <c r="AE64" s="398"/>
      <c r="AF64" s="398"/>
      <c r="AG64" s="398"/>
      <c r="AH64" s="398"/>
      <c r="AI64" s="398"/>
      <c r="AJ64" s="398"/>
      <c r="AK64" s="398"/>
      <c r="AL64" s="398"/>
      <c r="AM64" s="398"/>
      <c r="AN64" s="1429"/>
      <c r="AO64" s="308"/>
      <c r="AP64" s="308"/>
      <c r="AQ64" s="308"/>
      <c r="AR64" s="308"/>
      <c r="AS64" s="308"/>
      <c r="AT64" s="308"/>
      <c r="AU64" s="308"/>
      <c r="AV64" s="308"/>
      <c r="AW64" s="308"/>
      <c r="AX64" s="308"/>
      <c r="AY64" s="1687"/>
      <c r="AZ64" s="183"/>
      <c r="BA64" s="183"/>
      <c r="BB64" s="183"/>
      <c r="CB64" s="387"/>
      <c r="CC64" s="387"/>
      <c r="CD64" s="387"/>
      <c r="CE64" s="387"/>
      <c r="CF64" s="442" t="s">
        <v>31</v>
      </c>
      <c r="CG64" s="442" t="s">
        <v>94</v>
      </c>
      <c r="CH64" s="387"/>
      <c r="CI64" s="387"/>
      <c r="CJ64" s="387"/>
      <c r="CK64" s="387"/>
      <c r="CL64" s="387"/>
      <c r="CM64" s="387"/>
      <c r="CN64" s="387"/>
      <c r="CO64" s="387"/>
      <c r="CP64" s="387"/>
      <c r="CQ64" s="387"/>
      <c r="CR64" s="442" t="s">
        <v>543</v>
      </c>
      <c r="CS64" s="333"/>
      <c r="CT64" s="333"/>
      <c r="CU64" s="333"/>
      <c r="CV64" s="387"/>
      <c r="CW64" s="387"/>
      <c r="CX64" s="387"/>
      <c r="CY64" s="385"/>
      <c r="CZ64" s="385"/>
      <c r="DA64" s="385"/>
      <c r="DB64" s="385"/>
      <c r="DC64" s="385"/>
      <c r="DD64" s="385"/>
      <c r="DE64" s="1618" t="s">
        <v>31</v>
      </c>
      <c r="DF64" s="1618" t="s">
        <v>94</v>
      </c>
      <c r="DG64" s="385"/>
      <c r="DH64" s="385"/>
      <c r="DI64" s="385"/>
      <c r="DJ64" s="385"/>
      <c r="DK64" s="385"/>
      <c r="DL64" s="385"/>
      <c r="DM64" s="385"/>
      <c r="DN64" s="385"/>
      <c r="DO64" s="385"/>
      <c r="DP64" s="1618" t="s">
        <v>543</v>
      </c>
      <c r="DQ64" s="347"/>
      <c r="DR64" s="347"/>
      <c r="DS64" s="347"/>
      <c r="DT64" s="1423"/>
    </row>
    <row r="65" spans="1:124" s="146" customFormat="1" ht="18" customHeight="1" x14ac:dyDescent="0.25">
      <c r="A65" s="2220" t="s">
        <v>515</v>
      </c>
      <c r="B65" s="2221"/>
      <c r="C65" s="1550">
        <f>SUM(D65:E65)</f>
        <v>0</v>
      </c>
      <c r="D65" s="1551">
        <f>+F65+H65+J65+L65+N65</f>
        <v>0</v>
      </c>
      <c r="E65" s="591">
        <f>+G65+I65+K65+M65+O65</f>
        <v>0</v>
      </c>
      <c r="F65" s="926"/>
      <c r="G65" s="927"/>
      <c r="H65" s="926"/>
      <c r="I65" s="927"/>
      <c r="J65" s="926"/>
      <c r="K65" s="927"/>
      <c r="L65" s="926"/>
      <c r="M65" s="927"/>
      <c r="N65" s="926"/>
      <c r="O65" s="1030"/>
      <c r="P65" s="927"/>
      <c r="Q65" s="928"/>
      <c r="R65" s="1688" t="str">
        <f>CA65&amp;CB65&amp;CC65&amp;CD65&amp;CE65&amp;CF65&amp;CG65&amp;CH65&amp;CI65&amp;CJ65&amp;CK65&amp;CL65&amp;CM65&amp;CN65&amp;CO65&amp;CP65&amp;CQ65&amp;CR65&amp;CS65&amp;CT65&amp;CU65&amp;CV65&amp;CW65</f>
        <v/>
      </c>
      <c r="S65" s="180"/>
      <c r="T65" s="180"/>
      <c r="U65" s="105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0"/>
      <c r="AJ65" s="180"/>
      <c r="AK65" s="180"/>
      <c r="AL65" s="180"/>
      <c r="AM65" s="180"/>
      <c r="AN65" s="180"/>
      <c r="AO65" s="180"/>
      <c r="AP65" s="180"/>
      <c r="AQ65" s="180"/>
      <c r="AR65" s="180"/>
      <c r="AS65" s="180"/>
      <c r="AT65" s="180"/>
      <c r="AU65" s="180"/>
      <c r="AV65" s="180"/>
      <c r="AW65" s="180"/>
      <c r="AX65" s="180"/>
      <c r="AY65" s="1692"/>
      <c r="AZ65" s="183"/>
      <c r="BA65" s="183"/>
      <c r="BB65" s="183"/>
      <c r="CB65" s="387"/>
      <c r="CC65" s="387"/>
      <c r="CD65" s="387"/>
      <c r="CE65" s="387"/>
      <c r="CF65" s="381" t="str">
        <f>IF(($P65)&gt;$D65,"* La celda 'Población Migrantes / Hombres' debe ser menor o igual al Total de Hombres en control. ","")</f>
        <v/>
      </c>
      <c r="CG65" s="381" t="str">
        <f>IF($Q65&gt;$E65,"* La celda 'Población Migrantes / Mujeres' debe ser menor o igual al Total de Mujeres en control. ","")</f>
        <v/>
      </c>
      <c r="CH65" s="387"/>
      <c r="CI65" s="387"/>
      <c r="CJ65" s="387"/>
      <c r="CK65" s="387"/>
      <c r="CL65" s="387"/>
      <c r="CM65" s="387"/>
      <c r="CN65" s="387"/>
      <c r="CO65" s="387"/>
      <c r="CP65" s="387"/>
      <c r="CQ65" s="387"/>
      <c r="CR65" s="381" t="str">
        <f>IF(AND($D65&lt;&gt;0,$P65=""),"* No olvide escribir en las celdas de 'Población Migrantes' (Digite CERO si no tiene). ",IF(AND($E65&lt;&gt;0,$Q65=""),"* No olvide escribir en las celdas de 'Población Migrantes' (Digite CERO si no tiene). ",""))</f>
        <v/>
      </c>
      <c r="CS65" s="491"/>
      <c r="CT65" s="491"/>
      <c r="CU65" s="491"/>
      <c r="CV65" s="387"/>
      <c r="CW65" s="387"/>
      <c r="CX65" s="387"/>
      <c r="CY65" s="385"/>
      <c r="CZ65" s="385"/>
      <c r="DA65" s="385"/>
      <c r="DB65" s="385"/>
      <c r="DC65" s="385"/>
      <c r="DD65" s="385"/>
      <c r="DE65" s="391">
        <f>IF(($P65)&gt;$D65,1,0)</f>
        <v>0</v>
      </c>
      <c r="DF65" s="391">
        <f>IF($Q65&gt;$E65,1,0)</f>
        <v>0</v>
      </c>
      <c r="DG65" s="385"/>
      <c r="DH65" s="385"/>
      <c r="DI65" s="385"/>
      <c r="DJ65" s="385"/>
      <c r="DK65" s="385"/>
      <c r="DL65" s="385"/>
      <c r="DM65" s="385"/>
      <c r="DN65" s="385"/>
      <c r="DO65" s="385"/>
      <c r="DP65" s="391">
        <f>IF(AND($D65&lt;&gt;0,$P65=""),1,IF(AND($E65&lt;&gt;0,$Q65=""),1,0))</f>
        <v>0</v>
      </c>
      <c r="DQ65" s="492"/>
      <c r="DR65" s="492"/>
      <c r="DS65" s="492"/>
      <c r="DT65" s="1423"/>
    </row>
    <row r="66" spans="1:124" s="146" customFormat="1" ht="36" customHeight="1" x14ac:dyDescent="0.25">
      <c r="A66" s="2222" t="s">
        <v>539</v>
      </c>
      <c r="B66" s="2223"/>
      <c r="C66" s="2223"/>
      <c r="D66" s="2223"/>
      <c r="E66" s="2223"/>
      <c r="F66" s="2223"/>
      <c r="G66" s="2223"/>
      <c r="H66" s="2223"/>
      <c r="I66" s="2223"/>
      <c r="J66" s="2223"/>
      <c r="K66" s="2223"/>
      <c r="L66" s="2223"/>
      <c r="M66" s="2223"/>
      <c r="N66" s="2223"/>
      <c r="O66" s="2223"/>
      <c r="P66" s="180"/>
      <c r="Q66" s="180"/>
      <c r="X66" s="57"/>
      <c r="Y66" s="180"/>
      <c r="Z66" s="180"/>
      <c r="AA66" s="180"/>
      <c r="AB66" s="57"/>
      <c r="AC66" s="186"/>
      <c r="AY66" s="1687"/>
      <c r="AZ66" s="183"/>
      <c r="BA66" s="183"/>
      <c r="BB66" s="183"/>
      <c r="CB66" s="387"/>
      <c r="CC66" s="387"/>
      <c r="CD66" s="387"/>
      <c r="CE66" s="387"/>
      <c r="CF66" s="387"/>
      <c r="CG66" s="387"/>
      <c r="CH66" s="387"/>
      <c r="CI66" s="387"/>
      <c r="CJ66" s="387"/>
      <c r="CK66" s="387"/>
      <c r="CL66" s="387"/>
      <c r="CM66" s="387"/>
      <c r="CN66" s="387"/>
      <c r="CO66" s="387"/>
      <c r="CP66" s="387"/>
      <c r="CQ66" s="387"/>
      <c r="CR66" s="387"/>
      <c r="CS66" s="491"/>
      <c r="CT66" s="491"/>
      <c r="CU66" s="491"/>
      <c r="CV66" s="387"/>
      <c r="CW66" s="387"/>
      <c r="CX66" s="387"/>
      <c r="CY66" s="385"/>
      <c r="CZ66" s="385"/>
      <c r="DA66" s="385"/>
      <c r="DB66" s="385"/>
      <c r="DC66" s="385"/>
      <c r="DD66" s="385"/>
      <c r="DE66" s="385"/>
      <c r="DF66" s="385"/>
      <c r="DG66" s="385"/>
      <c r="DH66" s="385"/>
      <c r="DI66" s="385"/>
      <c r="DJ66" s="385"/>
      <c r="DK66" s="385"/>
      <c r="DL66" s="385"/>
      <c r="DM66" s="385"/>
      <c r="DN66" s="385"/>
      <c r="DO66" s="385"/>
      <c r="DP66" s="385"/>
      <c r="DQ66" s="492"/>
      <c r="DR66" s="492"/>
      <c r="DS66" s="492"/>
      <c r="DT66" s="1423"/>
    </row>
    <row r="67" spans="1:124" s="146" customFormat="1" ht="18" customHeight="1" x14ac:dyDescent="0.25">
      <c r="A67" s="2019" t="s">
        <v>151</v>
      </c>
      <c r="B67" s="2019"/>
      <c r="C67" s="2019" t="s">
        <v>104</v>
      </c>
      <c r="D67" s="2019"/>
      <c r="E67" s="2019"/>
      <c r="F67" s="2019" t="s">
        <v>14</v>
      </c>
      <c r="G67" s="2019"/>
      <c r="H67" s="2019"/>
      <c r="I67" s="2019"/>
      <c r="J67" s="2019"/>
      <c r="K67" s="2019"/>
      <c r="L67" s="2019"/>
      <c r="M67" s="2019"/>
      <c r="N67" s="2019"/>
      <c r="O67" s="2019"/>
      <c r="P67" s="2019"/>
      <c r="Q67" s="2019"/>
      <c r="R67" s="2019"/>
      <c r="S67" s="2019"/>
      <c r="T67" s="2019"/>
      <c r="U67" s="2019"/>
      <c r="V67" s="2019"/>
      <c r="W67" s="2019"/>
      <c r="X67" s="2019"/>
      <c r="Y67" s="2019"/>
      <c r="Z67" s="2019"/>
      <c r="AA67" s="2019"/>
      <c r="AB67" s="2019"/>
      <c r="AC67" s="2019"/>
      <c r="AD67" s="2019"/>
      <c r="AE67" s="2019"/>
      <c r="AF67" s="2019"/>
      <c r="AG67" s="2019"/>
      <c r="AH67" s="2019"/>
      <c r="AI67" s="2019"/>
      <c r="AJ67" s="2019"/>
      <c r="AK67" s="2019"/>
      <c r="AL67" s="2019"/>
      <c r="AM67" s="1975"/>
      <c r="AN67" s="2251" t="s">
        <v>205</v>
      </c>
      <c r="AO67" s="2253" t="s">
        <v>356</v>
      </c>
      <c r="AP67" s="2253" t="s">
        <v>15</v>
      </c>
      <c r="AQ67" s="2253"/>
      <c r="AR67" s="2249" t="s">
        <v>814</v>
      </c>
      <c r="AS67" s="2245"/>
      <c r="AT67" s="2259" t="s">
        <v>719</v>
      </c>
      <c r="AU67" s="2245" t="s">
        <v>690</v>
      </c>
      <c r="AV67" s="2245" t="s">
        <v>574</v>
      </c>
      <c r="AW67" s="2257" t="s">
        <v>829</v>
      </c>
      <c r="AX67" s="2245"/>
      <c r="AY67" s="1687"/>
      <c r="AZ67" s="183"/>
      <c r="BA67" s="183"/>
      <c r="BB67" s="183"/>
      <c r="CB67" s="387"/>
      <c r="CC67" s="387"/>
      <c r="CD67" s="387"/>
      <c r="CE67" s="387"/>
      <c r="CF67" s="387"/>
      <c r="CG67" s="387"/>
      <c r="CH67" s="387"/>
      <c r="CI67" s="387"/>
      <c r="CJ67" s="387"/>
      <c r="CK67" s="387"/>
      <c r="CL67" s="387"/>
      <c r="CM67" s="387"/>
      <c r="CN67" s="387"/>
      <c r="CO67" s="387"/>
      <c r="CP67" s="387"/>
      <c r="CQ67" s="387"/>
      <c r="CR67" s="387"/>
      <c r="CS67" s="491"/>
      <c r="CT67" s="491"/>
      <c r="CU67" s="491"/>
      <c r="CV67" s="387"/>
      <c r="CW67" s="387"/>
      <c r="CX67" s="387"/>
      <c r="CY67" s="385"/>
      <c r="CZ67" s="385"/>
      <c r="DA67" s="385"/>
      <c r="DB67" s="385"/>
      <c r="DC67" s="385"/>
      <c r="DD67" s="385"/>
      <c r="DE67" s="385"/>
      <c r="DF67" s="385"/>
      <c r="DG67" s="385"/>
      <c r="DH67" s="385"/>
      <c r="DI67" s="385"/>
      <c r="DJ67" s="385"/>
      <c r="DK67" s="385"/>
      <c r="DL67" s="385"/>
      <c r="DM67" s="385"/>
      <c r="DN67" s="385"/>
      <c r="DO67" s="385"/>
      <c r="DP67" s="385"/>
      <c r="DQ67" s="492"/>
      <c r="DR67" s="492"/>
      <c r="DS67" s="492"/>
      <c r="DT67" s="1423"/>
    </row>
    <row r="68" spans="1:124" s="146" customFormat="1" ht="18" customHeight="1" x14ac:dyDescent="0.15">
      <c r="A68" s="2019"/>
      <c r="B68" s="2019"/>
      <c r="C68" s="2019"/>
      <c r="D68" s="2019"/>
      <c r="E68" s="2019"/>
      <c r="F68" s="1976" t="s">
        <v>206</v>
      </c>
      <c r="G68" s="1975"/>
      <c r="H68" s="2019" t="s">
        <v>207</v>
      </c>
      <c r="I68" s="1975"/>
      <c r="J68" s="1968" t="s">
        <v>128</v>
      </c>
      <c r="K68" s="1969"/>
      <c r="L68" s="1968" t="s">
        <v>17</v>
      </c>
      <c r="M68" s="1969"/>
      <c r="N68" s="1968" t="s">
        <v>18</v>
      </c>
      <c r="O68" s="1969"/>
      <c r="P68" s="1968" t="s">
        <v>19</v>
      </c>
      <c r="Q68" s="1969"/>
      <c r="R68" s="1968" t="s">
        <v>20</v>
      </c>
      <c r="S68" s="1969"/>
      <c r="T68" s="1968" t="s">
        <v>21</v>
      </c>
      <c r="U68" s="1969"/>
      <c r="V68" s="1968" t="s">
        <v>22</v>
      </c>
      <c r="W68" s="1969"/>
      <c r="X68" s="1968" t="s">
        <v>23</v>
      </c>
      <c r="Y68" s="1969"/>
      <c r="Z68" s="1968" t="s">
        <v>24</v>
      </c>
      <c r="AA68" s="1969"/>
      <c r="AB68" s="1968" t="s">
        <v>208</v>
      </c>
      <c r="AC68" s="1969"/>
      <c r="AD68" s="1968" t="s">
        <v>209</v>
      </c>
      <c r="AE68" s="1969"/>
      <c r="AF68" s="1970" t="s">
        <v>181</v>
      </c>
      <c r="AG68" s="1971"/>
      <c r="AH68" s="1970" t="s">
        <v>182</v>
      </c>
      <c r="AI68" s="1971"/>
      <c r="AJ68" s="1970" t="s">
        <v>183</v>
      </c>
      <c r="AK68" s="1971"/>
      <c r="AL68" s="2242" t="s">
        <v>195</v>
      </c>
      <c r="AM68" s="2243"/>
      <c r="AN68" s="2252"/>
      <c r="AO68" s="2254"/>
      <c r="AP68" s="2255"/>
      <c r="AQ68" s="2255"/>
      <c r="AR68" s="2250"/>
      <c r="AS68" s="2247"/>
      <c r="AT68" s="2254"/>
      <c r="AU68" s="2256"/>
      <c r="AV68" s="2256"/>
      <c r="AW68" s="2258"/>
      <c r="AX68" s="2247"/>
      <c r="AY68" s="1687"/>
      <c r="AZ68" s="183"/>
      <c r="BA68" s="183"/>
      <c r="BB68" s="183"/>
      <c r="CB68" s="339" t="s">
        <v>205</v>
      </c>
      <c r="CC68" s="339" t="s">
        <v>571</v>
      </c>
      <c r="CD68" s="339" t="s">
        <v>541</v>
      </c>
      <c r="CE68" s="339" t="s">
        <v>541</v>
      </c>
      <c r="CF68" s="339" t="s">
        <v>542</v>
      </c>
      <c r="CG68" s="339" t="s">
        <v>542</v>
      </c>
      <c r="CH68" s="339" t="s">
        <v>570</v>
      </c>
      <c r="CI68" s="339" t="s">
        <v>886</v>
      </c>
      <c r="CJ68" s="1587" t="s">
        <v>574</v>
      </c>
      <c r="CK68" s="339" t="s">
        <v>884</v>
      </c>
      <c r="CL68" s="339" t="s">
        <v>884</v>
      </c>
      <c r="CM68" s="387"/>
      <c r="CN68" s="339" t="s">
        <v>205</v>
      </c>
      <c r="CO68" s="339" t="s">
        <v>571</v>
      </c>
      <c r="CP68" s="387"/>
      <c r="CQ68" s="339" t="s">
        <v>541</v>
      </c>
      <c r="CR68" s="339" t="s">
        <v>542</v>
      </c>
      <c r="CS68" s="339" t="s">
        <v>570</v>
      </c>
      <c r="CT68" s="339" t="s">
        <v>886</v>
      </c>
      <c r="CU68" s="442" t="s">
        <v>580</v>
      </c>
      <c r="CV68" s="339" t="s">
        <v>884</v>
      </c>
      <c r="CW68" s="387"/>
      <c r="CX68" s="387"/>
      <c r="CY68" s="385"/>
      <c r="CZ68" s="385"/>
      <c r="DA68" s="1620" t="s">
        <v>205</v>
      </c>
      <c r="DB68" s="1620" t="s">
        <v>540</v>
      </c>
      <c r="DC68" s="1619" t="s">
        <v>541</v>
      </c>
      <c r="DD68" s="1619" t="s">
        <v>541</v>
      </c>
      <c r="DE68" s="1619" t="s">
        <v>542</v>
      </c>
      <c r="DF68" s="1619" t="s">
        <v>542</v>
      </c>
      <c r="DG68" s="1620" t="s">
        <v>572</v>
      </c>
      <c r="DH68" s="1620" t="s">
        <v>887</v>
      </c>
      <c r="DI68" s="1620" t="s">
        <v>574</v>
      </c>
      <c r="DJ68" s="1619" t="s">
        <v>884</v>
      </c>
      <c r="DK68" s="1619" t="s">
        <v>884</v>
      </c>
      <c r="DL68" s="1619" t="s">
        <v>205</v>
      </c>
      <c r="DM68" s="1619" t="s">
        <v>571</v>
      </c>
      <c r="DN68" s="385"/>
      <c r="DO68" s="1619" t="s">
        <v>541</v>
      </c>
      <c r="DP68" s="1619" t="s">
        <v>542</v>
      </c>
      <c r="DQ68" s="1619" t="s">
        <v>572</v>
      </c>
      <c r="DR68" s="1619" t="s">
        <v>887</v>
      </c>
      <c r="DS68" s="1619" t="s">
        <v>574</v>
      </c>
      <c r="DT68" s="1619" t="s">
        <v>249</v>
      </c>
    </row>
    <row r="69" spans="1:124" s="146" customFormat="1" ht="29.25" customHeight="1" x14ac:dyDescent="0.15">
      <c r="A69" s="2019"/>
      <c r="B69" s="2019"/>
      <c r="C69" s="193" t="s">
        <v>93</v>
      </c>
      <c r="D69" s="399" t="s">
        <v>31</v>
      </c>
      <c r="E69" s="400" t="s">
        <v>94</v>
      </c>
      <c r="F69" s="401" t="s">
        <v>31</v>
      </c>
      <c r="G69" s="400" t="s">
        <v>94</v>
      </c>
      <c r="H69" s="401" t="s">
        <v>31</v>
      </c>
      <c r="I69" s="400" t="s">
        <v>94</v>
      </c>
      <c r="J69" s="401" t="s">
        <v>31</v>
      </c>
      <c r="K69" s="400" t="s">
        <v>94</v>
      </c>
      <c r="L69" s="401" t="s">
        <v>31</v>
      </c>
      <c r="M69" s="400" t="s">
        <v>94</v>
      </c>
      <c r="N69" s="401" t="s">
        <v>31</v>
      </c>
      <c r="O69" s="400" t="s">
        <v>94</v>
      </c>
      <c r="P69" s="401" t="s">
        <v>31</v>
      </c>
      <c r="Q69" s="400" t="s">
        <v>94</v>
      </c>
      <c r="R69" s="401" t="s">
        <v>31</v>
      </c>
      <c r="S69" s="400" t="s">
        <v>94</v>
      </c>
      <c r="T69" s="401" t="s">
        <v>31</v>
      </c>
      <c r="U69" s="400" t="s">
        <v>94</v>
      </c>
      <c r="V69" s="401" t="s">
        <v>31</v>
      </c>
      <c r="W69" s="400" t="s">
        <v>94</v>
      </c>
      <c r="X69" s="401" t="s">
        <v>31</v>
      </c>
      <c r="Y69" s="400" t="s">
        <v>94</v>
      </c>
      <c r="Z69" s="401" t="s">
        <v>31</v>
      </c>
      <c r="AA69" s="400" t="s">
        <v>94</v>
      </c>
      <c r="AB69" s="401" t="s">
        <v>31</v>
      </c>
      <c r="AC69" s="400" t="s">
        <v>94</v>
      </c>
      <c r="AD69" s="401" t="s">
        <v>31</v>
      </c>
      <c r="AE69" s="400" t="s">
        <v>94</v>
      </c>
      <c r="AF69" s="194" t="s">
        <v>129</v>
      </c>
      <c r="AG69" s="195" t="s">
        <v>94</v>
      </c>
      <c r="AH69" s="194" t="s">
        <v>129</v>
      </c>
      <c r="AI69" s="195" t="s">
        <v>94</v>
      </c>
      <c r="AJ69" s="194" t="s">
        <v>129</v>
      </c>
      <c r="AK69" s="195" t="s">
        <v>94</v>
      </c>
      <c r="AL69" s="147" t="s">
        <v>31</v>
      </c>
      <c r="AM69" s="196" t="s">
        <v>94</v>
      </c>
      <c r="AN69" s="2252"/>
      <c r="AO69" s="2254"/>
      <c r="AP69" s="1176" t="s">
        <v>31</v>
      </c>
      <c r="AQ69" s="1177" t="s">
        <v>94</v>
      </c>
      <c r="AR69" s="1174" t="s">
        <v>31</v>
      </c>
      <c r="AS69" s="493" t="s">
        <v>94</v>
      </c>
      <c r="AT69" s="2255"/>
      <c r="AU69" s="2247"/>
      <c r="AV69" s="2247"/>
      <c r="AW69" s="1388" t="s">
        <v>463</v>
      </c>
      <c r="AX69" s="1388" t="s">
        <v>830</v>
      </c>
      <c r="AY69" s="1687"/>
      <c r="AZ69" s="180"/>
      <c r="BA69" s="183"/>
      <c r="BB69" s="183"/>
      <c r="CB69" s="339"/>
      <c r="CC69" s="339"/>
      <c r="CD69" s="442" t="s">
        <v>31</v>
      </c>
      <c r="CE69" s="442" t="s">
        <v>94</v>
      </c>
      <c r="CF69" s="442" t="s">
        <v>31</v>
      </c>
      <c r="CG69" s="442" t="s">
        <v>94</v>
      </c>
      <c r="CH69" s="339"/>
      <c r="CI69" s="339"/>
      <c r="CJ69" s="1587"/>
      <c r="CK69" s="442" t="s">
        <v>463</v>
      </c>
      <c r="CL69" s="442" t="s">
        <v>464</v>
      </c>
      <c r="CM69" s="387"/>
      <c r="CN69" s="442" t="s">
        <v>543</v>
      </c>
      <c r="CO69" s="442" t="s">
        <v>543</v>
      </c>
      <c r="CP69" s="387"/>
      <c r="CQ69" s="442" t="s">
        <v>543</v>
      </c>
      <c r="CR69" s="442" t="s">
        <v>543</v>
      </c>
      <c r="CS69" s="442" t="s">
        <v>543</v>
      </c>
      <c r="CT69" s="442" t="s">
        <v>543</v>
      </c>
      <c r="CU69" s="442" t="s">
        <v>543</v>
      </c>
      <c r="CV69" s="442" t="s">
        <v>543</v>
      </c>
      <c r="CW69" s="387"/>
      <c r="CX69" s="387"/>
      <c r="CY69" s="385"/>
      <c r="CZ69" s="385"/>
      <c r="DA69" s="1084"/>
      <c r="DB69" s="1084"/>
      <c r="DC69" s="1618" t="s">
        <v>31</v>
      </c>
      <c r="DD69" s="1618" t="s">
        <v>94</v>
      </c>
      <c r="DE69" s="1618" t="s">
        <v>31</v>
      </c>
      <c r="DF69" s="1618" t="s">
        <v>94</v>
      </c>
      <c r="DG69" s="1084"/>
      <c r="DH69" s="1084"/>
      <c r="DI69" s="1084"/>
      <c r="DJ69" s="1618" t="s">
        <v>463</v>
      </c>
      <c r="DK69" s="1618" t="s">
        <v>464</v>
      </c>
      <c r="DL69" s="1618" t="s">
        <v>543</v>
      </c>
      <c r="DM69" s="1618" t="s">
        <v>543</v>
      </c>
      <c r="DN69" s="385"/>
      <c r="DO69" s="1618" t="s">
        <v>543</v>
      </c>
      <c r="DP69" s="1618" t="s">
        <v>543</v>
      </c>
      <c r="DQ69" s="1618" t="s">
        <v>543</v>
      </c>
      <c r="DR69" s="1618" t="s">
        <v>543</v>
      </c>
      <c r="DS69" s="1618" t="s">
        <v>543</v>
      </c>
      <c r="DT69" s="1618" t="s">
        <v>543</v>
      </c>
    </row>
    <row r="70" spans="1:124" s="146" customFormat="1" ht="22.5" customHeight="1" x14ac:dyDescent="0.25">
      <c r="A70" s="2186" t="s">
        <v>459</v>
      </c>
      <c r="B70" s="2187"/>
      <c r="C70" s="772">
        <f>SUM(D70:E70)</f>
        <v>0</v>
      </c>
      <c r="D70" s="773">
        <f>+F70+H70+J70+L70+N70+P70+R70+T70+V70+X70+Z70+AB70+AD70+AF70+AH70+AJ70+AL70</f>
        <v>0</v>
      </c>
      <c r="E70" s="807">
        <f>+G70+I70+K70+M70+O70+Q70+S70+U70+W70+Y70+AA70+AC70+AE70+AG70+AI70+AK70+AM70</f>
        <v>0</v>
      </c>
      <c r="F70" s="819"/>
      <c r="G70" s="910"/>
      <c r="H70" s="819"/>
      <c r="I70" s="911"/>
      <c r="J70" s="819"/>
      <c r="K70" s="910"/>
      <c r="L70" s="819"/>
      <c r="M70" s="911"/>
      <c r="N70" s="819"/>
      <c r="O70" s="910"/>
      <c r="P70" s="819"/>
      <c r="Q70" s="911"/>
      <c r="R70" s="819"/>
      <c r="S70" s="910"/>
      <c r="T70" s="819"/>
      <c r="U70" s="911"/>
      <c r="V70" s="819"/>
      <c r="W70" s="910"/>
      <c r="X70" s="819"/>
      <c r="Y70" s="911"/>
      <c r="Z70" s="819"/>
      <c r="AA70" s="910"/>
      <c r="AB70" s="819"/>
      <c r="AC70" s="911"/>
      <c r="AD70" s="819"/>
      <c r="AE70" s="910"/>
      <c r="AF70" s="819"/>
      <c r="AG70" s="911"/>
      <c r="AH70" s="819"/>
      <c r="AI70" s="910"/>
      <c r="AJ70" s="819"/>
      <c r="AK70" s="911"/>
      <c r="AL70" s="819"/>
      <c r="AM70" s="910"/>
      <c r="AN70" s="1178"/>
      <c r="AO70" s="1172"/>
      <c r="AP70" s="1172"/>
      <c r="AQ70" s="1172"/>
      <c r="AR70" s="1140"/>
      <c r="AS70" s="911"/>
      <c r="AT70" s="911"/>
      <c r="AU70" s="911"/>
      <c r="AV70" s="911"/>
      <c r="AW70" s="911"/>
      <c r="AX70" s="911"/>
      <c r="AY70" s="1688" t="str">
        <f>CA70&amp;CB70&amp;CC70&amp;CD70&amp;CE70&amp;CF70&amp;CG70&amp;CH70&amp;CI70&amp;CJ70&amp;CK70&amp;CL70&amp;CM70&amp;CN70&amp;CO70&amp;CP70&amp;CQ70&amp;CR70&amp;CS70&amp;CT70&amp;CU70&amp;CV70&amp;CW70</f>
        <v/>
      </c>
      <c r="AZ70" s="183"/>
      <c r="BA70" s="183"/>
      <c r="BB70" s="183"/>
      <c r="CB70" s="381" t="str">
        <f>IF($AN70&gt;$E70,"* La celda 'Gestantes' debe ser menor o igual al Total de Mujeres en control. ","")</f>
        <v/>
      </c>
      <c r="CC70" s="381" t="str">
        <f>IF($AO70&gt;$E70,"* La celda 'Madres de Hijos menor de 5 años' debe ser menor o igual al Total de Mujeres en control. ","")</f>
        <v/>
      </c>
      <c r="CD70" s="381" t="str">
        <f>IF(($AP70)&gt;$D70,"* La celda 'Pueblos Originarios / Hombres' debe ser menor o igual al Total de Hombres en control. ","")</f>
        <v/>
      </c>
      <c r="CE70" s="381" t="str">
        <f>IF($AQ70&gt;$E70,"* La celda 'Pueblos Originarios / Mujeres' debe ser menor o igual al Total de Mujeres en control. ","")</f>
        <v/>
      </c>
      <c r="CF70" s="381" t="str">
        <f>IF(($AR70)&gt;$D70,"* La celda 'Población Migrantes / Hombres' debe ser menor o igual al Total de Hombres en control. ","")</f>
        <v/>
      </c>
      <c r="CG70" s="381" t="str">
        <f>IF($AS70&gt;$E70,"* La celda 'Población Migrantes / Mujeres' debe ser menor o igual al Total de Mujeres en control. ","")</f>
        <v/>
      </c>
      <c r="CH70" s="381" t="str">
        <f>IF($AT70&gt;$C70,"* La celda 'Población SENAME' debe ser menor o igual al Total de Personas en control. ","")</f>
        <v/>
      </c>
      <c r="CI70" s="381" t="str">
        <f>IF($AU70&gt;$C70,"* La celda 'Población SENAME' debe ser menor o igual al Total de Personas en control. ","")</f>
        <v/>
      </c>
      <c r="CJ70" s="381" t="str">
        <f>IF($AV70&gt;$C70,"* La celda 'Plan Cuidado Integral Elaborado' debe ser menor o igual al Total de Personas en control. ","")</f>
        <v/>
      </c>
      <c r="CK70" s="381" t="str">
        <f t="shared" ref="CK70:CK111" si="59">IF(($AW70+$AX70)&gt;$C70,"* La Suma de Trans Masculino y Femenino debe ser menor o igual al Total de Personas en control. ","")</f>
        <v/>
      </c>
      <c r="CL70" s="971"/>
      <c r="CM70" s="387"/>
      <c r="CN70" s="381" t="str">
        <f>IF(AND($C70&lt;&gt;0,$AN70=""),"* No olvide escribir en la celda de 'Gestantes' (Digite CERO si no tiene). ","")</f>
        <v/>
      </c>
      <c r="CO70" s="381" t="str">
        <f>IF(AND($C70&lt;&gt;0,$AO70=""),"* No olvide escribir en la celda de 'Madres de Hijos menor de 5 años' (Digite CERO si no tiene). ","")</f>
        <v/>
      </c>
      <c r="CP70" s="387"/>
      <c r="CQ70" s="381" t="str">
        <f>IF(AND($D70&lt;&gt;0,$AP70=""),"* No olvide escribir en las celdas de 'Pueblos Originarios' (Digite CERO si no tiene). ",IF(AND($E70&lt;&gt;0,$AQ70=""),"* No olvide escribir en las celdas de 'Pueblos Originarios' (Digite CERO si no tiene). ",""))</f>
        <v/>
      </c>
      <c r="CR70" s="381" t="str">
        <f>IF(AND($D70&lt;&gt;0,$AR70=""),"* No olvide escribir en las celdas de 'Población Migrantes' (Digite CERO si no tiene). ",IF(AND($E70&lt;&gt;0,$AS70=""),"* No olvide escribir en las celdas de 'Población Migrantes' (Digite CERO si no tiene). ",""))</f>
        <v/>
      </c>
      <c r="CS70" s="381" t="str">
        <f>IF(AND($C70&lt;&gt;0,$AT70=""),"* No olvide escribir en las celdas de 'Población SENAME' (Digite CERO si no tiene). ","")</f>
        <v/>
      </c>
      <c r="CT70" s="381" t="str">
        <f>IF(AND($C70&lt;&gt;0,$AU70=""),"* No olvide escribir en las celdas de 'Población SENAME' (Digite CERO si no tiene). ","")</f>
        <v/>
      </c>
      <c r="CU70" s="381" t="str">
        <f>IF(AND($C70&lt;&gt;0,$AV70=""),"* No olvide escribir en las celdas de 'Plan Cuidado Integral Elaborado' (Digite CERO si no tiene). ","")</f>
        <v/>
      </c>
      <c r="CV70" s="381" t="str">
        <f>IF(AND($D70&lt;&gt;0,$AW70=""),"* No olvide escribir en las celdas 'TRANS' (Digite CERO si no tiene). ",IF(AND($E70&lt;&gt;0,$AX70=""),"* No olvide escribir en las celdas 'TRANS' (Digite CERO si no tiene). ",""))</f>
        <v/>
      </c>
      <c r="CW70" s="387"/>
      <c r="CX70" s="387"/>
      <c r="CY70" s="385"/>
      <c r="CZ70" s="385"/>
      <c r="DA70" s="391">
        <f>IF($AN70&gt;$E70,1,0)</f>
        <v>0</v>
      </c>
      <c r="DB70" s="391">
        <f>IF($AO70&gt;$E70,1,0)</f>
        <v>0</v>
      </c>
      <c r="DC70" s="391">
        <f>IF(($AP70)&gt;$D70,1,0)</f>
        <v>0</v>
      </c>
      <c r="DD70" s="391">
        <f>IF($AQ70&gt;$E70,1,0)</f>
        <v>0</v>
      </c>
      <c r="DE70" s="391">
        <f>IF(($AR70)&gt;$D70,1,0)</f>
        <v>0</v>
      </c>
      <c r="DF70" s="391">
        <f>IF($AS70&gt;$E70,1,0)</f>
        <v>0</v>
      </c>
      <c r="DG70" s="391">
        <f>IF($AT70&gt;$C70,1,0)</f>
        <v>0</v>
      </c>
      <c r="DH70" s="391">
        <f>IF($AU70&gt;$C70,1,0)</f>
        <v>0</v>
      </c>
      <c r="DI70" s="391">
        <f>IF($AV70&gt;$C70,1,0)</f>
        <v>0</v>
      </c>
      <c r="DJ70" s="391">
        <f t="shared" ref="DJ70:DJ111" si="60">IF(($AW70+$AX70)&gt;$C70,1,0)</f>
        <v>0</v>
      </c>
      <c r="DK70" s="385"/>
      <c r="DL70" s="391">
        <f>IF(AND($C70&lt;&gt;0,$AN70=""),1,0)</f>
        <v>0</v>
      </c>
      <c r="DM70" s="391">
        <f>IF(AND($C70&lt;&gt;0,$AO70=""),1,0)</f>
        <v>0</v>
      </c>
      <c r="DN70" s="385"/>
      <c r="DO70" s="391">
        <f>IF(AND($D70&lt;&gt;0,$AP70=""),1,IF(AND($E70&lt;&gt;0,$AQ70=""),1,0))</f>
        <v>0</v>
      </c>
      <c r="DP70" s="391">
        <f>IF(AND($D70&lt;&gt;0,$AR70=""),1,IF(AND($E70&lt;&gt;0,$AS70=""),1,0))</f>
        <v>0</v>
      </c>
      <c r="DQ70" s="391">
        <f>IF(AND($C70&lt;&gt;0,$AT70=""),1,0)</f>
        <v>0</v>
      </c>
      <c r="DR70" s="391">
        <f>IF(AND($C70&lt;&gt;0,$AU70=""),1,0)</f>
        <v>0</v>
      </c>
      <c r="DS70" s="391">
        <f>IF(AND($C70&lt;&gt;0,$AV70=""),1,0)</f>
        <v>0</v>
      </c>
      <c r="DT70" s="391">
        <f>IF(AND($D70&lt;&gt;0,$AW70=""),1,IF(AND($E70&lt;&gt;0,$AX70=""),1,0))</f>
        <v>0</v>
      </c>
    </row>
    <row r="71" spans="1:124" s="146" customFormat="1" ht="18" customHeight="1" x14ac:dyDescent="0.15">
      <c r="A71" s="2186" t="s">
        <v>211</v>
      </c>
      <c r="B71" s="2187"/>
      <c r="C71" s="1520"/>
      <c r="D71" s="1521"/>
      <c r="E71" s="1522"/>
      <c r="F71" s="1520"/>
      <c r="G71" s="1522"/>
      <c r="H71" s="1520"/>
      <c r="I71" s="1522"/>
      <c r="J71" s="1520"/>
      <c r="K71" s="1522"/>
      <c r="L71" s="1520"/>
      <c r="M71" s="1522"/>
      <c r="N71" s="1520"/>
      <c r="O71" s="1522"/>
      <c r="P71" s="1520"/>
      <c r="Q71" s="1522"/>
      <c r="R71" s="1520"/>
      <c r="S71" s="1522"/>
      <c r="T71" s="1520"/>
      <c r="U71" s="1522"/>
      <c r="V71" s="1523"/>
      <c r="W71" s="1522"/>
      <c r="X71" s="1520"/>
      <c r="Y71" s="1522"/>
      <c r="Z71" s="1520"/>
      <c r="AA71" s="1522"/>
      <c r="AB71" s="1520"/>
      <c r="AC71" s="1522"/>
      <c r="AD71" s="1520"/>
      <c r="AE71" s="1522"/>
      <c r="AF71" s="1520"/>
      <c r="AG71" s="1522"/>
      <c r="AH71" s="1520"/>
      <c r="AI71" s="1522"/>
      <c r="AJ71" s="1520"/>
      <c r="AK71" s="1522"/>
      <c r="AL71" s="1520"/>
      <c r="AM71" s="1524"/>
      <c r="AN71" s="1525"/>
      <c r="AO71" s="1526"/>
      <c r="AP71" s="1526"/>
      <c r="AQ71" s="1526"/>
      <c r="AR71" s="1523"/>
      <c r="AS71" s="1524"/>
      <c r="AT71" s="1527"/>
      <c r="AU71" s="1526"/>
      <c r="AV71" s="1528"/>
      <c r="AW71" s="1528"/>
      <c r="AX71" s="1528"/>
      <c r="AY71" s="1687"/>
      <c r="AZ71" s="183"/>
      <c r="BA71" s="183"/>
      <c r="BB71" s="183"/>
      <c r="CB71" s="387"/>
      <c r="CC71" s="971"/>
      <c r="CD71" s="971"/>
      <c r="CE71" s="971"/>
      <c r="CF71" s="971"/>
      <c r="CG71" s="971"/>
      <c r="CH71" s="971"/>
      <c r="CI71" s="971"/>
      <c r="CJ71" s="491"/>
      <c r="CK71" s="971"/>
      <c r="CL71" s="971"/>
      <c r="CM71" s="971"/>
      <c r="CN71" s="971"/>
      <c r="CO71" s="387"/>
      <c r="CP71" s="387"/>
      <c r="CQ71" s="971"/>
      <c r="CR71" s="971"/>
      <c r="CS71" s="971"/>
      <c r="CT71" s="491"/>
      <c r="CU71" s="491"/>
      <c r="CV71" s="491"/>
      <c r="CW71" s="387"/>
      <c r="CX71" s="387"/>
      <c r="CY71" s="385"/>
      <c r="CZ71" s="385"/>
      <c r="DA71" s="385"/>
      <c r="DB71" s="385"/>
      <c r="DC71" s="385"/>
      <c r="DD71" s="385"/>
      <c r="DE71" s="385"/>
      <c r="DF71" s="385"/>
      <c r="DG71" s="385"/>
      <c r="DH71" s="385"/>
      <c r="DI71" s="385"/>
      <c r="DJ71" s="385"/>
      <c r="DK71" s="385"/>
      <c r="DL71" s="385"/>
      <c r="DM71" s="385"/>
      <c r="DN71" s="385"/>
      <c r="DO71" s="385"/>
      <c r="DP71" s="385"/>
      <c r="DQ71" s="385"/>
      <c r="DR71" s="385"/>
      <c r="DS71" s="385"/>
      <c r="DT71" s="385"/>
    </row>
    <row r="72" spans="1:124" s="146" customFormat="1" ht="21" customHeight="1" x14ac:dyDescent="0.25">
      <c r="A72" s="2184" t="s">
        <v>398</v>
      </c>
      <c r="B72" s="184" t="s">
        <v>212</v>
      </c>
      <c r="C72" s="714">
        <f t="shared" ref="C72:C80" si="61">SUM(D72:E72)</f>
        <v>0</v>
      </c>
      <c r="D72" s="729">
        <f t="shared" ref="D72:D80" si="62">+F72+H72+J72+L72+N72+P72+R72+T72+V72+X72+Z72+AB72+AD72+AF72+AH72+AJ72+AL72</f>
        <v>0</v>
      </c>
      <c r="E72" s="922">
        <f t="shared" ref="E72:E80" si="63">+G72+I72+K72+M72+O72+Q72+S72+U72+W72+Y72+AA72+AC72+AE72+AG72+AI72+AK72+AM72</f>
        <v>0</v>
      </c>
      <c r="F72" s="731"/>
      <c r="G72" s="732"/>
      <c r="H72" s="731"/>
      <c r="I72" s="732"/>
      <c r="J72" s="731"/>
      <c r="K72" s="732"/>
      <c r="L72" s="731"/>
      <c r="M72" s="732"/>
      <c r="N72" s="731"/>
      <c r="O72" s="732"/>
      <c r="P72" s="731"/>
      <c r="Q72" s="732"/>
      <c r="R72" s="731"/>
      <c r="S72" s="732"/>
      <c r="T72" s="731"/>
      <c r="U72" s="732"/>
      <c r="V72" s="731"/>
      <c r="W72" s="732"/>
      <c r="X72" s="731"/>
      <c r="Y72" s="732"/>
      <c r="Z72" s="731"/>
      <c r="AA72" s="732"/>
      <c r="AB72" s="731"/>
      <c r="AC72" s="732"/>
      <c r="AD72" s="731"/>
      <c r="AE72" s="732"/>
      <c r="AF72" s="731"/>
      <c r="AG72" s="732"/>
      <c r="AH72" s="731"/>
      <c r="AI72" s="732"/>
      <c r="AJ72" s="731"/>
      <c r="AK72" s="732"/>
      <c r="AL72" s="731"/>
      <c r="AM72" s="929"/>
      <c r="AN72" s="1151"/>
      <c r="AO72" s="1152"/>
      <c r="AP72" s="1152"/>
      <c r="AQ72" s="1152"/>
      <c r="AR72" s="810"/>
      <c r="AS72" s="732"/>
      <c r="AT72" s="732"/>
      <c r="AU72" s="732"/>
      <c r="AV72" s="732"/>
      <c r="AW72" s="732"/>
      <c r="AX72" s="732"/>
      <c r="AY72" s="1688" t="str">
        <f t="shared" ref="AY72:AY111" si="64">CA72&amp;CB72&amp;CC72&amp;CD72&amp;CE72&amp;CF72&amp;CG72&amp;CH72&amp;CI72&amp;CJ72&amp;CK72&amp;CL72&amp;CM72&amp;CN72&amp;CO72&amp;CP72&amp;CQ72&amp;CR72&amp;CS72&amp;CT72&amp;CU72&amp;CV72&amp;CW72</f>
        <v/>
      </c>
      <c r="AZ72" s="183"/>
      <c r="BA72" s="183"/>
      <c r="BB72" s="183"/>
      <c r="CB72" s="381" t="str">
        <f t="shared" ref="CB72:CB80" si="65">IF($AN72&gt;$E72,"* La celda 'Gestantes' debe ser menor o igual al Total de Mujeres en control. ","")</f>
        <v/>
      </c>
      <c r="CC72" s="381" t="str">
        <f>IF($AO72&gt;$E72,"* La celda 'Madres de Hijos menor de 5 años' debe ser menor o igual al Total de Mujeres en control. ","")</f>
        <v/>
      </c>
      <c r="CD72" s="381" t="str">
        <f t="shared" ref="CD72:CD80" si="66">IF(($AP72)&gt;$D72,"* La celda 'Pueblos Originarios / Hombres' debe ser menor o igual al Total de Hombres en control. ","")</f>
        <v/>
      </c>
      <c r="CE72" s="381" t="str">
        <f>IF($AQ72&gt;$E72,"* La celda 'Pueblos Originarios / Mujeres' debe ser menor o igual al Total de Mujeres en control. ","")</f>
        <v/>
      </c>
      <c r="CF72" s="381" t="str">
        <f t="shared" ref="CF72:CF80" si="67">IF(($AR72)&gt;$D72,"* La celda 'Población Migrantes / Hombres' debe ser menor o igual al Total de Hombres en control. ","")</f>
        <v/>
      </c>
      <c r="CG72" s="381" t="str">
        <f>IF($AS72&gt;$E72,"* La celda 'Población Migrantes / Mujeres' debe ser menor o igual al Total de Mujeres en control. ","")</f>
        <v/>
      </c>
      <c r="CH72" s="381" t="str">
        <f t="shared" ref="CH72:CH111" si="68">IF($AT72&gt;$C72,"* La celda 'Población SENAME' debe ser menor o igual al Total de Personas en control. ","")</f>
        <v/>
      </c>
      <c r="CI72" s="381" t="str">
        <f t="shared" ref="CI72:CI111" si="69">IF($AU72&gt;$C72,"* La celda 'Población SENAME' debe ser menor o igual al Total de Personas en control. ","")</f>
        <v/>
      </c>
      <c r="CJ72" s="381" t="str">
        <f t="shared" ref="CJ72:CJ84" si="70">IF($AV72&gt;$C72,"* La celda 'Plan Cuidado Integral Elaborado' debe ser menor o igual al Total de Personas en control. ","")</f>
        <v/>
      </c>
      <c r="CK72" s="381" t="str">
        <f t="shared" si="59"/>
        <v/>
      </c>
      <c r="CL72" s="971"/>
      <c r="CM72" s="387"/>
      <c r="CN72" s="381" t="str">
        <f t="shared" ref="CN72:CN80" si="71">IF(AND($C72&lt;&gt;0,$AN72=""),"* No olvide escribir en la celda de 'Gestantes' (Digite CERO si no tiene). ","")</f>
        <v/>
      </c>
      <c r="CO72" s="381" t="str">
        <f>IF(AND($C72&lt;&gt;0,$AO72=""),"* No olvide escribir en la celda de 'Madres de Hijos menor de 5 años' (Digite CERO si no tiene). ","")</f>
        <v/>
      </c>
      <c r="CP72" s="387"/>
      <c r="CQ72" s="381" t="str">
        <f t="shared" ref="CQ72:CQ80" si="72">IF(AND($D72&lt;&gt;0,$AP72=""),"* No olvide escribir en las celdas de 'Pueblos Originarios' (Digite CERO si no tiene). ",IF(AND($E72&lt;&gt;0,$AQ72=""),"* No olvide escribir en las celdas de 'Pueblos Originarios' (Digite CERO si no tiene). ",""))</f>
        <v/>
      </c>
      <c r="CR72" s="381" t="str">
        <f t="shared" ref="CR72:CR80" si="73">IF(AND($D72&lt;&gt;0,$AR72=""),"* No olvide escribir en las celdas de 'Población Migrantes' (Digite CERO si no tiene). ",IF(AND($E72&lt;&gt;0,$AS72=""),"* No olvide escribir en las celdas de 'Población Migrantes' (Digite CERO si no tiene). ",""))</f>
        <v/>
      </c>
      <c r="CS72" s="381" t="str">
        <f t="shared" ref="CS72:CS111" si="74">IF(AND($C72&lt;&gt;0,$AT72=""),"* No olvide escribir en las celdas de 'Población SENAME' (Digite CERO si no tiene). ","")</f>
        <v/>
      </c>
      <c r="CT72" s="381" t="str">
        <f t="shared" ref="CT72:CT111" si="75">IF(AND($C72&lt;&gt;0,$AU72=""),"* No olvide escribir en las celdas de 'Población SENAME' (Digite CERO si no tiene). ","")</f>
        <v/>
      </c>
      <c r="CU72" s="381" t="str">
        <f t="shared" ref="CU72:CU84" si="76">IF(AND($C72&lt;&gt;0,$AV72=""),"* No olvide escribir en las celdas de 'Plan Cuidado Integral Elaborado' (Digite CERO si no tiene). ","")</f>
        <v/>
      </c>
      <c r="CV72" s="381" t="str">
        <f t="shared" ref="CV72:CV111" si="77">IF(AND($D72&lt;&gt;0,$AW72=""),"* No olvide escribir en las celdas 'TRANS' (Digite CERO si no tiene). ",IF(AND($E72&lt;&gt;0,$AX72=""),"* No olvide escribir en las celdas 'TRANS' (Digite CERO si no tiene). ",""))</f>
        <v/>
      </c>
      <c r="CW72" s="387"/>
      <c r="CX72" s="387"/>
      <c r="CY72" s="385"/>
      <c r="CZ72" s="385"/>
      <c r="DA72" s="391">
        <f t="shared" ref="DA72:DA80" si="78">IF($AN72&gt;$E72,1,0)</f>
        <v>0</v>
      </c>
      <c r="DB72" s="391">
        <f>IF($AO72&gt;$E72,1,0)</f>
        <v>0</v>
      </c>
      <c r="DC72" s="391">
        <f t="shared" ref="DC72:DC80" si="79">IF(($AP72)&gt;$D72,1,0)</f>
        <v>0</v>
      </c>
      <c r="DD72" s="391">
        <f>IF($AQ72&gt;$E72,1,0)</f>
        <v>0</v>
      </c>
      <c r="DE72" s="391">
        <f t="shared" ref="DE72:DE80" si="80">IF(($AR72)&gt;$D72,1,0)</f>
        <v>0</v>
      </c>
      <c r="DF72" s="391">
        <f>IF($AS72&gt;$E72,1,0)</f>
        <v>0</v>
      </c>
      <c r="DG72" s="391">
        <f t="shared" ref="DG72:DG111" si="81">IF($AT72&gt;$C72,1,0)</f>
        <v>0</v>
      </c>
      <c r="DH72" s="391">
        <f t="shared" ref="DH72:DH111" si="82">IF($AU72&gt;$C72,1,0)</f>
        <v>0</v>
      </c>
      <c r="DI72" s="391">
        <f t="shared" ref="DI72:DI84" si="83">IF($AV72&gt;$C72,1,0)</f>
        <v>0</v>
      </c>
      <c r="DJ72" s="391">
        <f t="shared" si="60"/>
        <v>0</v>
      </c>
      <c r="DK72" s="385"/>
      <c r="DL72" s="391">
        <f t="shared" ref="DL72:DL80" si="84">IF(AND($C72&lt;&gt;0,$AN72=""),1,0)</f>
        <v>0</v>
      </c>
      <c r="DM72" s="391">
        <f t="shared" ref="DM72:DM80" si="85">IF(AND($C72&lt;&gt;0,$AO72=""),1,0)</f>
        <v>0</v>
      </c>
      <c r="DN72" s="385"/>
      <c r="DO72" s="391">
        <f t="shared" ref="DO72:DO80" si="86">IF(AND($D72&lt;&gt;0,$AP72=""),1,IF(AND($E72&lt;&gt;0,$AQ72=""),1,0))</f>
        <v>0</v>
      </c>
      <c r="DP72" s="391">
        <f t="shared" ref="DP72:DP80" si="87">IF(AND($D72&lt;&gt;0,$AR72=""),1,IF(AND($E72&lt;&gt;0,$AS72=""),1,0))</f>
        <v>0</v>
      </c>
      <c r="DQ72" s="391">
        <f t="shared" ref="DQ72:DQ111" si="88">IF(AND($C72&lt;&gt;0,$AT72=""),1,0)</f>
        <v>0</v>
      </c>
      <c r="DR72" s="391">
        <f t="shared" ref="DR72:DR111" si="89">IF(AND($C72&lt;&gt;0,$AU72=""),1,0)</f>
        <v>0</v>
      </c>
      <c r="DS72" s="391">
        <f t="shared" ref="DS72:DS84" si="90">IF(AND($C72&lt;&gt;0,$AV72=""),1,0)</f>
        <v>0</v>
      </c>
      <c r="DT72" s="391">
        <f t="shared" ref="DT72:DT111" si="91">IF(AND($D72&lt;&gt;0,$AW72=""),1,IF(AND($E72&lt;&gt;0,$AX72=""),1,0))</f>
        <v>0</v>
      </c>
    </row>
    <row r="73" spans="1:124" s="146" customFormat="1" ht="21" customHeight="1" x14ac:dyDescent="0.25">
      <c r="A73" s="2185"/>
      <c r="B73" s="185" t="s">
        <v>397</v>
      </c>
      <c r="C73" s="719">
        <f t="shared" si="61"/>
        <v>0</v>
      </c>
      <c r="D73" s="728">
        <f t="shared" si="62"/>
        <v>0</v>
      </c>
      <c r="E73" s="914">
        <f t="shared" si="63"/>
        <v>0</v>
      </c>
      <c r="F73" s="755"/>
      <c r="G73" s="756"/>
      <c r="H73" s="755"/>
      <c r="I73" s="756"/>
      <c r="J73" s="755"/>
      <c r="K73" s="756"/>
      <c r="L73" s="735"/>
      <c r="M73" s="736"/>
      <c r="N73" s="735"/>
      <c r="O73" s="736"/>
      <c r="P73" s="735"/>
      <c r="Q73" s="736"/>
      <c r="R73" s="735"/>
      <c r="S73" s="736"/>
      <c r="T73" s="735"/>
      <c r="U73" s="736"/>
      <c r="V73" s="735"/>
      <c r="W73" s="736"/>
      <c r="X73" s="735"/>
      <c r="Y73" s="736"/>
      <c r="Z73" s="735"/>
      <c r="AA73" s="736"/>
      <c r="AB73" s="735"/>
      <c r="AC73" s="736"/>
      <c r="AD73" s="735"/>
      <c r="AE73" s="736"/>
      <c r="AF73" s="735"/>
      <c r="AG73" s="736"/>
      <c r="AH73" s="735"/>
      <c r="AI73" s="736"/>
      <c r="AJ73" s="735"/>
      <c r="AK73" s="736"/>
      <c r="AL73" s="735"/>
      <c r="AM73" s="814"/>
      <c r="AN73" s="804"/>
      <c r="AO73" s="1153"/>
      <c r="AP73" s="1153"/>
      <c r="AQ73" s="1153"/>
      <c r="AR73" s="813"/>
      <c r="AS73" s="736"/>
      <c r="AT73" s="736"/>
      <c r="AU73" s="736"/>
      <c r="AV73" s="736"/>
      <c r="AW73" s="736"/>
      <c r="AX73" s="736"/>
      <c r="AY73" s="1688" t="str">
        <f t="shared" si="64"/>
        <v/>
      </c>
      <c r="AZ73" s="186"/>
      <c r="BA73" s="186"/>
      <c r="BB73" s="186"/>
      <c r="CB73" s="381" t="str">
        <f t="shared" si="65"/>
        <v/>
      </c>
      <c r="CC73" s="381" t="str">
        <f>IF($AO73&gt;$E73,"* La celda 'Madres de Hijos menor de 5 años' debe ser menor o igual al Total de Mujeres en control. ","")</f>
        <v/>
      </c>
      <c r="CD73" s="381" t="str">
        <f t="shared" si="66"/>
        <v/>
      </c>
      <c r="CE73" s="381" t="str">
        <f>IF($AQ73&gt;$E73,"* La celda 'Pueblos Originarios / Mujeres' debe ser menor o igual al Total de Mujeres en control. ","")</f>
        <v/>
      </c>
      <c r="CF73" s="381" t="str">
        <f t="shared" si="67"/>
        <v/>
      </c>
      <c r="CG73" s="381" t="str">
        <f>IF($AS73&gt;$E73,"* La celda 'Población Migrantes / Mujeres' debe ser menor o igual al Total de Mujeres en control. ","")</f>
        <v/>
      </c>
      <c r="CH73" s="381" t="str">
        <f t="shared" si="68"/>
        <v/>
      </c>
      <c r="CI73" s="381" t="str">
        <f t="shared" si="69"/>
        <v/>
      </c>
      <c r="CJ73" s="381" t="str">
        <f t="shared" si="70"/>
        <v/>
      </c>
      <c r="CK73" s="381" t="str">
        <f t="shared" si="59"/>
        <v/>
      </c>
      <c r="CL73" s="971"/>
      <c r="CM73" s="387"/>
      <c r="CN73" s="381" t="str">
        <f t="shared" si="71"/>
        <v/>
      </c>
      <c r="CO73" s="381" t="str">
        <f>IF(AND($C73&lt;&gt;0,$AO73=""),"* No olvide escribir en la celda de 'Madres de Hijos menor de 5 años' (Digite CERO si no tiene). ","")</f>
        <v/>
      </c>
      <c r="CP73" s="387"/>
      <c r="CQ73" s="381" t="str">
        <f t="shared" si="72"/>
        <v/>
      </c>
      <c r="CR73" s="381" t="str">
        <f t="shared" si="73"/>
        <v/>
      </c>
      <c r="CS73" s="381" t="str">
        <f t="shared" si="74"/>
        <v/>
      </c>
      <c r="CT73" s="381" t="str">
        <f t="shared" si="75"/>
        <v/>
      </c>
      <c r="CU73" s="381" t="str">
        <f t="shared" si="76"/>
        <v/>
      </c>
      <c r="CV73" s="381" t="str">
        <f t="shared" si="77"/>
        <v/>
      </c>
      <c r="CW73" s="491"/>
      <c r="CX73" s="491"/>
      <c r="CY73" s="492"/>
      <c r="CZ73" s="492"/>
      <c r="DA73" s="391">
        <f t="shared" si="78"/>
        <v>0</v>
      </c>
      <c r="DB73" s="391">
        <f>IF($AO73&gt;$E73,1,0)</f>
        <v>0</v>
      </c>
      <c r="DC73" s="391">
        <f t="shared" si="79"/>
        <v>0</v>
      </c>
      <c r="DD73" s="391">
        <f>IF($AQ73&gt;$E73,1,0)</f>
        <v>0</v>
      </c>
      <c r="DE73" s="391">
        <f t="shared" si="80"/>
        <v>0</v>
      </c>
      <c r="DF73" s="391">
        <f>IF($AS73&gt;$E73,1,0)</f>
        <v>0</v>
      </c>
      <c r="DG73" s="391">
        <f t="shared" si="81"/>
        <v>0</v>
      </c>
      <c r="DH73" s="391">
        <f t="shared" si="82"/>
        <v>0</v>
      </c>
      <c r="DI73" s="391">
        <f t="shared" si="83"/>
        <v>0</v>
      </c>
      <c r="DJ73" s="391">
        <f t="shared" si="60"/>
        <v>0</v>
      </c>
      <c r="DK73" s="385"/>
      <c r="DL73" s="391">
        <f t="shared" si="84"/>
        <v>0</v>
      </c>
      <c r="DM73" s="391">
        <f t="shared" si="85"/>
        <v>0</v>
      </c>
      <c r="DN73" s="385"/>
      <c r="DO73" s="391">
        <f t="shared" si="86"/>
        <v>0</v>
      </c>
      <c r="DP73" s="391">
        <f t="shared" si="87"/>
        <v>0</v>
      </c>
      <c r="DQ73" s="391">
        <f t="shared" si="88"/>
        <v>0</v>
      </c>
      <c r="DR73" s="391">
        <f t="shared" si="89"/>
        <v>0</v>
      </c>
      <c r="DS73" s="391">
        <f t="shared" si="90"/>
        <v>0</v>
      </c>
      <c r="DT73" s="391">
        <f t="shared" si="91"/>
        <v>0</v>
      </c>
    </row>
    <row r="74" spans="1:124" s="146" customFormat="1" ht="21" customHeight="1" x14ac:dyDescent="0.25">
      <c r="A74" s="2182" t="s">
        <v>213</v>
      </c>
      <c r="B74" s="2182"/>
      <c r="C74" s="772">
        <f t="shared" si="61"/>
        <v>0</v>
      </c>
      <c r="D74" s="773">
        <f t="shared" si="62"/>
        <v>0</v>
      </c>
      <c r="E74" s="807">
        <f t="shared" si="63"/>
        <v>0</v>
      </c>
      <c r="F74" s="751"/>
      <c r="G74" s="752"/>
      <c r="H74" s="751"/>
      <c r="I74" s="752"/>
      <c r="J74" s="751"/>
      <c r="K74" s="752"/>
      <c r="L74" s="740"/>
      <c r="M74" s="741"/>
      <c r="N74" s="740"/>
      <c r="O74" s="741"/>
      <c r="P74" s="740"/>
      <c r="Q74" s="741"/>
      <c r="R74" s="740"/>
      <c r="S74" s="741"/>
      <c r="T74" s="740"/>
      <c r="U74" s="741"/>
      <c r="V74" s="740"/>
      <c r="W74" s="741"/>
      <c r="X74" s="740"/>
      <c r="Y74" s="741"/>
      <c r="Z74" s="740"/>
      <c r="AA74" s="741"/>
      <c r="AB74" s="740"/>
      <c r="AC74" s="741"/>
      <c r="AD74" s="740"/>
      <c r="AE74" s="741"/>
      <c r="AF74" s="740"/>
      <c r="AG74" s="741"/>
      <c r="AH74" s="740"/>
      <c r="AI74" s="741"/>
      <c r="AJ74" s="740"/>
      <c r="AK74" s="741"/>
      <c r="AL74" s="740"/>
      <c r="AM74" s="818"/>
      <c r="AN74" s="1154"/>
      <c r="AO74" s="1155"/>
      <c r="AP74" s="1155"/>
      <c r="AQ74" s="1155"/>
      <c r="AR74" s="812"/>
      <c r="AS74" s="741"/>
      <c r="AT74" s="741"/>
      <c r="AU74" s="741"/>
      <c r="AV74" s="741"/>
      <c r="AW74" s="741"/>
      <c r="AX74" s="741"/>
      <c r="AY74" s="1688" t="str">
        <f t="shared" si="64"/>
        <v/>
      </c>
      <c r="AZ74" s="186"/>
      <c r="BA74" s="186"/>
      <c r="BB74" s="186"/>
      <c r="CB74" s="381" t="str">
        <f t="shared" si="65"/>
        <v/>
      </c>
      <c r="CC74" s="381" t="str">
        <f>IF($AO74&gt;$E74,"* La celda 'Madres de Hijos menor de 5 años' debe ser menor o igual al Total de Mujeres en control. ","")</f>
        <v/>
      </c>
      <c r="CD74" s="381" t="str">
        <f t="shared" si="66"/>
        <v/>
      </c>
      <c r="CE74" s="381" t="str">
        <f>IF($AQ74&gt;$E74,"* La celda 'Pueblos Originarios / Mujeres' debe ser menor o igual al Total de Mujeres en control. ","")</f>
        <v/>
      </c>
      <c r="CF74" s="381" t="str">
        <f t="shared" si="67"/>
        <v/>
      </c>
      <c r="CG74" s="381" t="str">
        <f>IF($AS74&gt;$E74,"* La celda 'Población Migrantes / Mujeres' debe ser menor o igual al Total de Mujeres en control. ","")</f>
        <v/>
      </c>
      <c r="CH74" s="381" t="str">
        <f t="shared" si="68"/>
        <v/>
      </c>
      <c r="CI74" s="381" t="str">
        <f t="shared" si="69"/>
        <v/>
      </c>
      <c r="CJ74" s="381" t="str">
        <f t="shared" si="70"/>
        <v/>
      </c>
      <c r="CK74" s="381" t="str">
        <f t="shared" si="59"/>
        <v/>
      </c>
      <c r="CL74" s="971"/>
      <c r="CM74" s="387"/>
      <c r="CN74" s="381" t="str">
        <f t="shared" si="71"/>
        <v/>
      </c>
      <c r="CO74" s="381" t="str">
        <f>IF(AND($C74&lt;&gt;0,$AO74=""),"* No olvide escribir en la celda de 'Madres de Hijos menor de 5 años' (Digite CERO si no tiene). ","")</f>
        <v/>
      </c>
      <c r="CP74" s="387"/>
      <c r="CQ74" s="381" t="str">
        <f t="shared" si="72"/>
        <v/>
      </c>
      <c r="CR74" s="381" t="str">
        <f t="shared" si="73"/>
        <v/>
      </c>
      <c r="CS74" s="381" t="str">
        <f t="shared" si="74"/>
        <v/>
      </c>
      <c r="CT74" s="381" t="str">
        <f t="shared" si="75"/>
        <v/>
      </c>
      <c r="CU74" s="381" t="str">
        <f t="shared" si="76"/>
        <v/>
      </c>
      <c r="CV74" s="381" t="str">
        <f t="shared" si="77"/>
        <v/>
      </c>
      <c r="CW74" s="491"/>
      <c r="CX74" s="491"/>
      <c r="CY74" s="492"/>
      <c r="CZ74" s="492"/>
      <c r="DA74" s="391">
        <f t="shared" si="78"/>
        <v>0</v>
      </c>
      <c r="DB74" s="391">
        <f>IF($AO74&gt;$E74,1,0)</f>
        <v>0</v>
      </c>
      <c r="DC74" s="391">
        <f t="shared" si="79"/>
        <v>0</v>
      </c>
      <c r="DD74" s="391">
        <f>IF($AQ74&gt;$E74,1,0)</f>
        <v>0</v>
      </c>
      <c r="DE74" s="391">
        <f t="shared" si="80"/>
        <v>0</v>
      </c>
      <c r="DF74" s="391">
        <f>IF($AS74&gt;$E74,1,0)</f>
        <v>0</v>
      </c>
      <c r="DG74" s="391">
        <f t="shared" si="81"/>
        <v>0</v>
      </c>
      <c r="DH74" s="391">
        <f t="shared" si="82"/>
        <v>0</v>
      </c>
      <c r="DI74" s="391">
        <f t="shared" si="83"/>
        <v>0</v>
      </c>
      <c r="DJ74" s="391">
        <f t="shared" si="60"/>
        <v>0</v>
      </c>
      <c r="DK74" s="385"/>
      <c r="DL74" s="391">
        <f t="shared" si="84"/>
        <v>0</v>
      </c>
      <c r="DM74" s="391">
        <f t="shared" si="85"/>
        <v>0</v>
      </c>
      <c r="DN74" s="385"/>
      <c r="DO74" s="391">
        <f t="shared" si="86"/>
        <v>0</v>
      </c>
      <c r="DP74" s="391">
        <f t="shared" si="87"/>
        <v>0</v>
      </c>
      <c r="DQ74" s="391">
        <f t="shared" si="88"/>
        <v>0</v>
      </c>
      <c r="DR74" s="391">
        <f t="shared" si="89"/>
        <v>0</v>
      </c>
      <c r="DS74" s="391">
        <f t="shared" si="90"/>
        <v>0</v>
      </c>
      <c r="DT74" s="391">
        <f t="shared" si="91"/>
        <v>0</v>
      </c>
    </row>
    <row r="75" spans="1:124" s="146" customFormat="1" ht="18" customHeight="1" x14ac:dyDescent="0.25">
      <c r="A75" s="2108" t="s">
        <v>550</v>
      </c>
      <c r="B75" s="1288" t="s">
        <v>551</v>
      </c>
      <c r="C75" s="722">
        <f>SUM(D75:E75)</f>
        <v>0</v>
      </c>
      <c r="D75" s="723">
        <f>+H75+J75+L75+N75+P75+R75+T75+V75+X75+Z75+AB75+AD75+AF75+AH75+AJ75+AL75</f>
        <v>0</v>
      </c>
      <c r="E75" s="724">
        <f>+I75+K75+M75+O75+Q75+S75+U75+W75+Y75+AA75+AC75+AE75+AG75+AI75+AK75+AM75</f>
        <v>0</v>
      </c>
      <c r="F75" s="932"/>
      <c r="G75" s="933"/>
      <c r="H75" s="755"/>
      <c r="I75" s="756"/>
      <c r="J75" s="755"/>
      <c r="K75" s="756"/>
      <c r="L75" s="755"/>
      <c r="M75" s="756"/>
      <c r="N75" s="755"/>
      <c r="O75" s="756"/>
      <c r="P75" s="755"/>
      <c r="Q75" s="756"/>
      <c r="R75" s="755"/>
      <c r="S75" s="756"/>
      <c r="T75" s="755"/>
      <c r="U75" s="756"/>
      <c r="V75" s="755"/>
      <c r="W75" s="756"/>
      <c r="X75" s="755"/>
      <c r="Y75" s="756"/>
      <c r="Z75" s="755"/>
      <c r="AA75" s="756"/>
      <c r="AB75" s="755"/>
      <c r="AC75" s="756"/>
      <c r="AD75" s="755"/>
      <c r="AE75" s="756"/>
      <c r="AF75" s="755"/>
      <c r="AG75" s="756"/>
      <c r="AH75" s="755"/>
      <c r="AI75" s="756"/>
      <c r="AJ75" s="755"/>
      <c r="AK75" s="756"/>
      <c r="AL75" s="755"/>
      <c r="AM75" s="817"/>
      <c r="AN75" s="803"/>
      <c r="AO75" s="1159"/>
      <c r="AP75" s="1159"/>
      <c r="AQ75" s="1159"/>
      <c r="AR75" s="816"/>
      <c r="AS75" s="756"/>
      <c r="AT75" s="756"/>
      <c r="AU75" s="756"/>
      <c r="AV75" s="756"/>
      <c r="AW75" s="756"/>
      <c r="AX75" s="756"/>
      <c r="AY75" s="1688" t="str">
        <f t="shared" si="64"/>
        <v/>
      </c>
      <c r="AZ75" s="186"/>
      <c r="BA75" s="186"/>
      <c r="BB75" s="186"/>
      <c r="CB75" s="381" t="str">
        <f t="shared" si="65"/>
        <v/>
      </c>
      <c r="CC75" s="381" t="str">
        <f>IF($AO75&gt;$E75,"* La celda 'Madres de Hijos menor de 5 años' debe ser menor o igual al Total de Mujeres en control. ","")</f>
        <v/>
      </c>
      <c r="CD75" s="381" t="str">
        <f t="shared" si="66"/>
        <v/>
      </c>
      <c r="CE75" s="381" t="str">
        <f>IF($AQ75&gt;$E75,"* La celda 'Pueblos Originarios / Mujeres' debe ser menor o igual al Total de Mujeres en control. ","")</f>
        <v/>
      </c>
      <c r="CF75" s="381" t="str">
        <f t="shared" si="67"/>
        <v/>
      </c>
      <c r="CG75" s="381" t="str">
        <f>IF($AS75&gt;$E75,"* La celda 'Población Migrantes / Mujeres' debe ser menor o igual al Total de Mujeres en control. ","")</f>
        <v/>
      </c>
      <c r="CH75" s="381" t="str">
        <f t="shared" si="68"/>
        <v/>
      </c>
      <c r="CI75" s="381" t="str">
        <f t="shared" si="69"/>
        <v/>
      </c>
      <c r="CJ75" s="381" t="str">
        <f t="shared" si="70"/>
        <v/>
      </c>
      <c r="CK75" s="381" t="str">
        <f t="shared" si="59"/>
        <v/>
      </c>
      <c r="CL75" s="971"/>
      <c r="CM75" s="387"/>
      <c r="CN75" s="381" t="str">
        <f t="shared" si="71"/>
        <v/>
      </c>
      <c r="CO75" s="381" t="str">
        <f>IF(AND($C75&lt;&gt;0,$AO75=""),"* No olvide escribir en la celda de 'Madres de Hijos menor de 5 años' (Digite CERO si no tiene). ","")</f>
        <v/>
      </c>
      <c r="CP75" s="387"/>
      <c r="CQ75" s="381" t="str">
        <f t="shared" si="72"/>
        <v/>
      </c>
      <c r="CR75" s="381" t="str">
        <f t="shared" si="73"/>
        <v/>
      </c>
      <c r="CS75" s="381" t="str">
        <f t="shared" si="74"/>
        <v/>
      </c>
      <c r="CT75" s="381" t="str">
        <f t="shared" si="75"/>
        <v/>
      </c>
      <c r="CU75" s="381" t="str">
        <f t="shared" si="76"/>
        <v/>
      </c>
      <c r="CV75" s="381" t="str">
        <f t="shared" si="77"/>
        <v/>
      </c>
      <c r="CW75" s="491"/>
      <c r="CX75" s="491"/>
      <c r="CY75" s="492"/>
      <c r="CZ75" s="492"/>
      <c r="DA75" s="391">
        <f t="shared" si="78"/>
        <v>0</v>
      </c>
      <c r="DB75" s="391">
        <f>IF($AO75&gt;$E75,1,0)</f>
        <v>0</v>
      </c>
      <c r="DC75" s="391">
        <f t="shared" si="79"/>
        <v>0</v>
      </c>
      <c r="DD75" s="391">
        <f>IF($AQ75&gt;$E75,1,0)</f>
        <v>0</v>
      </c>
      <c r="DE75" s="391">
        <f t="shared" si="80"/>
        <v>0</v>
      </c>
      <c r="DF75" s="391">
        <f>IF($AS75&gt;$E75,1,0)</f>
        <v>0</v>
      </c>
      <c r="DG75" s="391">
        <f t="shared" si="81"/>
        <v>0</v>
      </c>
      <c r="DH75" s="391">
        <f t="shared" si="82"/>
        <v>0</v>
      </c>
      <c r="DI75" s="391">
        <f t="shared" si="83"/>
        <v>0</v>
      </c>
      <c r="DJ75" s="391">
        <f t="shared" si="60"/>
        <v>0</v>
      </c>
      <c r="DK75" s="385"/>
      <c r="DL75" s="391">
        <f t="shared" si="84"/>
        <v>0</v>
      </c>
      <c r="DM75" s="391">
        <f t="shared" si="85"/>
        <v>0</v>
      </c>
      <c r="DN75" s="385"/>
      <c r="DO75" s="391">
        <f t="shared" si="86"/>
        <v>0</v>
      </c>
      <c r="DP75" s="391">
        <f t="shared" si="87"/>
        <v>0</v>
      </c>
      <c r="DQ75" s="391">
        <f t="shared" si="88"/>
        <v>0</v>
      </c>
      <c r="DR75" s="391">
        <f t="shared" si="89"/>
        <v>0</v>
      </c>
      <c r="DS75" s="391">
        <f t="shared" si="90"/>
        <v>0</v>
      </c>
      <c r="DT75" s="391">
        <f t="shared" si="91"/>
        <v>0</v>
      </c>
    </row>
    <row r="76" spans="1:124" s="146" customFormat="1" ht="25.5" customHeight="1" x14ac:dyDescent="0.25">
      <c r="A76" s="1737"/>
      <c r="B76" s="1389" t="s">
        <v>552</v>
      </c>
      <c r="C76" s="725">
        <f>SUM(D76:E76)</f>
        <v>0</v>
      </c>
      <c r="D76" s="726">
        <f>+H76+J76+L76+N76+P76+R76+T76+V76+X76+Z76+AB76+AD76+AF76+AH76+AJ76+AL76</f>
        <v>0</v>
      </c>
      <c r="E76" s="996">
        <f>+I76+K76+M76+O76+Q76+S76+U76+W76+Y76+AA76+AC76+AE76+AG76+AI76+AK76+AM76</f>
        <v>0</v>
      </c>
      <c r="F76" s="986"/>
      <c r="G76" s="987"/>
      <c r="H76" s="797"/>
      <c r="I76" s="798"/>
      <c r="J76" s="797"/>
      <c r="K76" s="798"/>
      <c r="L76" s="797"/>
      <c r="M76" s="798"/>
      <c r="N76" s="797"/>
      <c r="O76" s="798"/>
      <c r="P76" s="797"/>
      <c r="Q76" s="798"/>
      <c r="R76" s="797"/>
      <c r="S76" s="798"/>
      <c r="T76" s="797"/>
      <c r="U76" s="798"/>
      <c r="V76" s="797"/>
      <c r="W76" s="798"/>
      <c r="X76" s="797"/>
      <c r="Y76" s="798"/>
      <c r="Z76" s="797"/>
      <c r="AA76" s="798"/>
      <c r="AB76" s="797"/>
      <c r="AC76" s="798"/>
      <c r="AD76" s="797"/>
      <c r="AE76" s="798"/>
      <c r="AF76" s="797"/>
      <c r="AG76" s="798"/>
      <c r="AH76" s="797"/>
      <c r="AI76" s="798"/>
      <c r="AJ76" s="797"/>
      <c r="AK76" s="798"/>
      <c r="AL76" s="797"/>
      <c r="AM76" s="995"/>
      <c r="AN76" s="1157"/>
      <c r="AO76" s="1158"/>
      <c r="AP76" s="1158"/>
      <c r="AQ76" s="1158"/>
      <c r="AR76" s="1175"/>
      <c r="AS76" s="798"/>
      <c r="AT76" s="798"/>
      <c r="AU76" s="798"/>
      <c r="AV76" s="798"/>
      <c r="AW76" s="798"/>
      <c r="AX76" s="798"/>
      <c r="AY76" s="1688" t="str">
        <f t="shared" si="64"/>
        <v/>
      </c>
      <c r="AZ76" s="186"/>
      <c r="BA76" s="186"/>
      <c r="BB76" s="186"/>
      <c r="CB76" s="381" t="str">
        <f t="shared" si="65"/>
        <v/>
      </c>
      <c r="CC76" s="381" t="str">
        <f>IF($AO76&gt;$E76,"* La celda 'Madres de Hijos menor de 5 años' debe ser menor o igual al Total de Mujeres en control. ","")</f>
        <v/>
      </c>
      <c r="CD76" s="381" t="str">
        <f t="shared" si="66"/>
        <v/>
      </c>
      <c r="CE76" s="381" t="str">
        <f>IF($AQ76&gt;$E76,"* La celda 'Pueblos Originarios / Mujeres' debe ser menor o igual al Total de Mujeres en control. ","")</f>
        <v/>
      </c>
      <c r="CF76" s="381" t="str">
        <f t="shared" si="67"/>
        <v/>
      </c>
      <c r="CG76" s="381" t="str">
        <f>IF($AS76&gt;$E76,"* La celda 'Población Migrantes / Mujeres' debe ser menor o igual al Total de Mujeres en control. ","")</f>
        <v/>
      </c>
      <c r="CH76" s="381" t="str">
        <f t="shared" si="68"/>
        <v/>
      </c>
      <c r="CI76" s="381" t="str">
        <f t="shared" si="69"/>
        <v/>
      </c>
      <c r="CJ76" s="381" t="str">
        <f t="shared" si="70"/>
        <v/>
      </c>
      <c r="CK76" s="381" t="str">
        <f t="shared" si="59"/>
        <v/>
      </c>
      <c r="CL76" s="971"/>
      <c r="CM76" s="387"/>
      <c r="CN76" s="381" t="str">
        <f t="shared" si="71"/>
        <v/>
      </c>
      <c r="CO76" s="381" t="str">
        <f>IF(AND($C76&lt;&gt;0,$AO76=""),"* No olvide escribir en la celda de 'Madres de Hijos menor de 5 años' (Digite CERO si no tiene). ","")</f>
        <v/>
      </c>
      <c r="CP76" s="387"/>
      <c r="CQ76" s="381" t="str">
        <f t="shared" si="72"/>
        <v/>
      </c>
      <c r="CR76" s="381" t="str">
        <f t="shared" si="73"/>
        <v/>
      </c>
      <c r="CS76" s="381" t="str">
        <f t="shared" si="74"/>
        <v/>
      </c>
      <c r="CT76" s="381" t="str">
        <f t="shared" si="75"/>
        <v/>
      </c>
      <c r="CU76" s="381" t="str">
        <f t="shared" si="76"/>
        <v/>
      </c>
      <c r="CV76" s="381" t="str">
        <f t="shared" si="77"/>
        <v/>
      </c>
      <c r="CW76" s="491"/>
      <c r="CX76" s="491"/>
      <c r="CY76" s="492"/>
      <c r="CZ76" s="492"/>
      <c r="DA76" s="391">
        <f t="shared" si="78"/>
        <v>0</v>
      </c>
      <c r="DB76" s="391">
        <f>IF($AO76&gt;$E76,1,0)</f>
        <v>0</v>
      </c>
      <c r="DC76" s="391">
        <f t="shared" si="79"/>
        <v>0</v>
      </c>
      <c r="DD76" s="391">
        <f>IF($AQ76&gt;$E76,1,0)</f>
        <v>0</v>
      </c>
      <c r="DE76" s="391">
        <f t="shared" si="80"/>
        <v>0</v>
      </c>
      <c r="DF76" s="391">
        <f>IF($AS76&gt;$E76,1,0)</f>
        <v>0</v>
      </c>
      <c r="DG76" s="391">
        <f t="shared" si="81"/>
        <v>0</v>
      </c>
      <c r="DH76" s="391">
        <f t="shared" si="82"/>
        <v>0</v>
      </c>
      <c r="DI76" s="391">
        <f t="shared" si="83"/>
        <v>0</v>
      </c>
      <c r="DJ76" s="391">
        <f t="shared" si="60"/>
        <v>0</v>
      </c>
      <c r="DK76" s="385"/>
      <c r="DL76" s="391">
        <f t="shared" si="84"/>
        <v>0</v>
      </c>
      <c r="DM76" s="391">
        <f t="shared" si="85"/>
        <v>0</v>
      </c>
      <c r="DN76" s="385"/>
      <c r="DO76" s="391">
        <f t="shared" si="86"/>
        <v>0</v>
      </c>
      <c r="DP76" s="391">
        <f t="shared" si="87"/>
        <v>0</v>
      </c>
      <c r="DQ76" s="391">
        <f t="shared" si="88"/>
        <v>0</v>
      </c>
      <c r="DR76" s="391">
        <f t="shared" si="89"/>
        <v>0</v>
      </c>
      <c r="DS76" s="391">
        <f t="shared" si="90"/>
        <v>0</v>
      </c>
      <c r="DT76" s="391">
        <f t="shared" si="91"/>
        <v>0</v>
      </c>
    </row>
    <row r="77" spans="1:124" s="146" customFormat="1" ht="25.5" customHeight="1" x14ac:dyDescent="0.25">
      <c r="A77" s="2186" t="s">
        <v>339</v>
      </c>
      <c r="B77" s="2224"/>
      <c r="C77" s="772">
        <f t="shared" si="61"/>
        <v>0</v>
      </c>
      <c r="D77" s="773">
        <f t="shared" si="62"/>
        <v>0</v>
      </c>
      <c r="E77" s="807">
        <f t="shared" si="63"/>
        <v>0</v>
      </c>
      <c r="F77" s="819"/>
      <c r="G77" s="911"/>
      <c r="H77" s="819"/>
      <c r="I77" s="911"/>
      <c r="J77" s="819"/>
      <c r="K77" s="911"/>
      <c r="L77" s="819"/>
      <c r="M77" s="911"/>
      <c r="N77" s="819"/>
      <c r="O77" s="911"/>
      <c r="P77" s="819"/>
      <c r="Q77" s="911"/>
      <c r="R77" s="819"/>
      <c r="S77" s="911"/>
      <c r="T77" s="819"/>
      <c r="U77" s="911"/>
      <c r="V77" s="819"/>
      <c r="W77" s="911"/>
      <c r="X77" s="819"/>
      <c r="Y77" s="911"/>
      <c r="Z77" s="819"/>
      <c r="AA77" s="911"/>
      <c r="AB77" s="819"/>
      <c r="AC77" s="911"/>
      <c r="AD77" s="819"/>
      <c r="AE77" s="911"/>
      <c r="AF77" s="819"/>
      <c r="AG77" s="911"/>
      <c r="AH77" s="819"/>
      <c r="AI77" s="911"/>
      <c r="AJ77" s="819"/>
      <c r="AK77" s="911"/>
      <c r="AL77" s="819"/>
      <c r="AM77" s="910"/>
      <c r="AN77" s="1178"/>
      <c r="AO77" s="1172"/>
      <c r="AP77" s="1172"/>
      <c r="AQ77" s="1172"/>
      <c r="AR77" s="1140"/>
      <c r="AS77" s="911"/>
      <c r="AT77" s="911"/>
      <c r="AU77" s="911"/>
      <c r="AV77" s="911"/>
      <c r="AW77" s="911"/>
      <c r="AX77" s="911"/>
      <c r="AY77" s="1688" t="str">
        <f t="shared" si="64"/>
        <v/>
      </c>
      <c r="AZ77" s="186"/>
      <c r="BA77" s="186"/>
      <c r="BB77" s="186"/>
      <c r="CB77" s="381" t="str">
        <f t="shared" si="65"/>
        <v/>
      </c>
      <c r="CC77" s="381" t="str">
        <f t="shared" ref="CC77:CC87" si="92">IF($AO77&gt;$E77,"* La celda 'Madres de Hijos menor de 5 años' debe ser menor o igual al Total de Mujeres en control. ","")</f>
        <v/>
      </c>
      <c r="CD77" s="381" t="str">
        <f t="shared" si="66"/>
        <v/>
      </c>
      <c r="CE77" s="381" t="str">
        <f t="shared" ref="CE77:CE111" si="93">IF($AQ77&gt;$E77,"* La celda 'Pueblos Originarios / Mujeres' debe ser menor o igual al Total de Mujeres en control. ","")</f>
        <v/>
      </c>
      <c r="CF77" s="381" t="str">
        <f t="shared" si="67"/>
        <v/>
      </c>
      <c r="CG77" s="381" t="str">
        <f t="shared" ref="CG77:CG111" si="94">IF($AS77&gt;$E77,"* La celda 'Población Migrantes / Mujeres' debe ser menor o igual al Total de Mujeres en control. ","")</f>
        <v/>
      </c>
      <c r="CH77" s="381" t="str">
        <f t="shared" si="68"/>
        <v/>
      </c>
      <c r="CI77" s="381" t="str">
        <f t="shared" si="69"/>
        <v/>
      </c>
      <c r="CJ77" s="381" t="str">
        <f t="shared" si="70"/>
        <v/>
      </c>
      <c r="CK77" s="381" t="str">
        <f t="shared" si="59"/>
        <v/>
      </c>
      <c r="CL77" s="971"/>
      <c r="CM77" s="387"/>
      <c r="CN77" s="381" t="str">
        <f t="shared" si="71"/>
        <v/>
      </c>
      <c r="CO77" s="381" t="str">
        <f t="shared" ref="CO77:CO87" si="95">IF(AND($C77&lt;&gt;0,$AO77=""),"* No olvide escribir en la celda de 'Madres de Hijos menor de 5 años' (Digite CERO si no tiene). ","")</f>
        <v/>
      </c>
      <c r="CP77" s="387"/>
      <c r="CQ77" s="381" t="str">
        <f t="shared" si="72"/>
        <v/>
      </c>
      <c r="CR77" s="381" t="str">
        <f t="shared" si="73"/>
        <v/>
      </c>
      <c r="CS77" s="381" t="str">
        <f t="shared" si="74"/>
        <v/>
      </c>
      <c r="CT77" s="381" t="str">
        <f t="shared" si="75"/>
        <v/>
      </c>
      <c r="CU77" s="381" t="str">
        <f t="shared" si="76"/>
        <v/>
      </c>
      <c r="CV77" s="381" t="str">
        <f t="shared" si="77"/>
        <v/>
      </c>
      <c r="CW77" s="491"/>
      <c r="CX77" s="491"/>
      <c r="CY77" s="492"/>
      <c r="CZ77" s="492"/>
      <c r="DA77" s="391">
        <f t="shared" si="78"/>
        <v>0</v>
      </c>
      <c r="DB77" s="391">
        <f t="shared" ref="DB77:DB87" si="96">IF($AO77&gt;$E77,1,0)</f>
        <v>0</v>
      </c>
      <c r="DC77" s="391">
        <f t="shared" si="79"/>
        <v>0</v>
      </c>
      <c r="DD77" s="391">
        <f t="shared" ref="DD77:DD111" si="97">IF($AQ77&gt;$E77,1,0)</f>
        <v>0</v>
      </c>
      <c r="DE77" s="391">
        <f t="shared" si="80"/>
        <v>0</v>
      </c>
      <c r="DF77" s="391">
        <f t="shared" ref="DF77:DF111" si="98">IF($AS77&gt;$E77,1,0)</f>
        <v>0</v>
      </c>
      <c r="DG77" s="391">
        <f t="shared" si="81"/>
        <v>0</v>
      </c>
      <c r="DH77" s="391">
        <f t="shared" si="82"/>
        <v>0</v>
      </c>
      <c r="DI77" s="391">
        <f t="shared" si="83"/>
        <v>0</v>
      </c>
      <c r="DJ77" s="391">
        <f t="shared" si="60"/>
        <v>0</v>
      </c>
      <c r="DK77" s="385"/>
      <c r="DL77" s="391">
        <f t="shared" si="84"/>
        <v>0</v>
      </c>
      <c r="DM77" s="391">
        <f t="shared" si="85"/>
        <v>0</v>
      </c>
      <c r="DN77" s="385"/>
      <c r="DO77" s="391">
        <f t="shared" si="86"/>
        <v>0</v>
      </c>
      <c r="DP77" s="391">
        <f t="shared" si="87"/>
        <v>0</v>
      </c>
      <c r="DQ77" s="391">
        <f t="shared" si="88"/>
        <v>0</v>
      </c>
      <c r="DR77" s="391">
        <f t="shared" si="89"/>
        <v>0</v>
      </c>
      <c r="DS77" s="391">
        <f t="shared" si="90"/>
        <v>0</v>
      </c>
      <c r="DT77" s="391">
        <f t="shared" si="91"/>
        <v>0</v>
      </c>
    </row>
    <row r="78" spans="1:124" s="146" customFormat="1" ht="19.899999999999999" customHeight="1" x14ac:dyDescent="0.25">
      <c r="A78" s="2229" t="s">
        <v>214</v>
      </c>
      <c r="B78" s="184" t="s">
        <v>235</v>
      </c>
      <c r="C78" s="722">
        <f>SUM(D78:E78)</f>
        <v>0</v>
      </c>
      <c r="D78" s="723">
        <f t="shared" si="62"/>
        <v>0</v>
      </c>
      <c r="E78" s="913">
        <f t="shared" si="63"/>
        <v>0</v>
      </c>
      <c r="F78" s="755"/>
      <c r="G78" s="756"/>
      <c r="H78" s="755"/>
      <c r="I78" s="756"/>
      <c r="J78" s="755"/>
      <c r="K78" s="756"/>
      <c r="L78" s="755"/>
      <c r="M78" s="756"/>
      <c r="N78" s="755"/>
      <c r="O78" s="756"/>
      <c r="P78" s="755"/>
      <c r="Q78" s="756"/>
      <c r="R78" s="755"/>
      <c r="S78" s="756"/>
      <c r="T78" s="755"/>
      <c r="U78" s="756"/>
      <c r="V78" s="755"/>
      <c r="W78" s="756"/>
      <c r="X78" s="755"/>
      <c r="Y78" s="756"/>
      <c r="Z78" s="755"/>
      <c r="AA78" s="756"/>
      <c r="AB78" s="755"/>
      <c r="AC78" s="756"/>
      <c r="AD78" s="755"/>
      <c r="AE78" s="756"/>
      <c r="AF78" s="755"/>
      <c r="AG78" s="756"/>
      <c r="AH78" s="755"/>
      <c r="AI78" s="756"/>
      <c r="AJ78" s="755"/>
      <c r="AK78" s="756"/>
      <c r="AL78" s="755"/>
      <c r="AM78" s="817"/>
      <c r="AN78" s="803"/>
      <c r="AO78" s="1159"/>
      <c r="AP78" s="1159"/>
      <c r="AQ78" s="1159"/>
      <c r="AR78" s="816"/>
      <c r="AS78" s="756"/>
      <c r="AT78" s="756"/>
      <c r="AU78" s="756"/>
      <c r="AV78" s="756"/>
      <c r="AW78" s="756"/>
      <c r="AX78" s="756"/>
      <c r="AY78" s="1688" t="str">
        <f t="shared" si="64"/>
        <v/>
      </c>
      <c r="AZ78" s="186"/>
      <c r="BA78" s="186"/>
      <c r="BB78" s="186"/>
      <c r="CB78" s="381" t="str">
        <f t="shared" si="65"/>
        <v/>
      </c>
      <c r="CC78" s="381" t="str">
        <f t="shared" si="92"/>
        <v/>
      </c>
      <c r="CD78" s="381" t="str">
        <f t="shared" si="66"/>
        <v/>
      </c>
      <c r="CE78" s="381" t="str">
        <f t="shared" si="93"/>
        <v/>
      </c>
      <c r="CF78" s="381" t="str">
        <f t="shared" si="67"/>
        <v/>
      </c>
      <c r="CG78" s="381" t="str">
        <f t="shared" si="94"/>
        <v/>
      </c>
      <c r="CH78" s="381" t="str">
        <f t="shared" si="68"/>
        <v/>
      </c>
      <c r="CI78" s="381" t="str">
        <f t="shared" si="69"/>
        <v/>
      </c>
      <c r="CJ78" s="381" t="str">
        <f t="shared" si="70"/>
        <v/>
      </c>
      <c r="CK78" s="381" t="str">
        <f t="shared" si="59"/>
        <v/>
      </c>
      <c r="CL78" s="971"/>
      <c r="CM78" s="387"/>
      <c r="CN78" s="381" t="str">
        <f t="shared" si="71"/>
        <v/>
      </c>
      <c r="CO78" s="381" t="str">
        <f t="shared" si="95"/>
        <v/>
      </c>
      <c r="CP78" s="387"/>
      <c r="CQ78" s="381" t="str">
        <f t="shared" si="72"/>
        <v/>
      </c>
      <c r="CR78" s="381" t="str">
        <f t="shared" si="73"/>
        <v/>
      </c>
      <c r="CS78" s="381" t="str">
        <f t="shared" si="74"/>
        <v/>
      </c>
      <c r="CT78" s="381" t="str">
        <f t="shared" si="75"/>
        <v/>
      </c>
      <c r="CU78" s="381" t="str">
        <f t="shared" si="76"/>
        <v/>
      </c>
      <c r="CV78" s="381" t="str">
        <f t="shared" si="77"/>
        <v/>
      </c>
      <c r="CW78" s="491"/>
      <c r="CX78" s="491"/>
      <c r="CY78" s="492"/>
      <c r="CZ78" s="492"/>
      <c r="DA78" s="391">
        <f t="shared" si="78"/>
        <v>0</v>
      </c>
      <c r="DB78" s="391">
        <f t="shared" si="96"/>
        <v>0</v>
      </c>
      <c r="DC78" s="391">
        <f t="shared" si="79"/>
        <v>0</v>
      </c>
      <c r="DD78" s="391">
        <f t="shared" si="97"/>
        <v>0</v>
      </c>
      <c r="DE78" s="391">
        <f t="shared" si="80"/>
        <v>0</v>
      </c>
      <c r="DF78" s="391">
        <f t="shared" si="98"/>
        <v>0</v>
      </c>
      <c r="DG78" s="391">
        <f t="shared" si="81"/>
        <v>0</v>
      </c>
      <c r="DH78" s="391">
        <f t="shared" si="82"/>
        <v>0</v>
      </c>
      <c r="DI78" s="391">
        <f t="shared" si="83"/>
        <v>0</v>
      </c>
      <c r="DJ78" s="391">
        <f t="shared" si="60"/>
        <v>0</v>
      </c>
      <c r="DK78" s="385"/>
      <c r="DL78" s="391">
        <f t="shared" si="84"/>
        <v>0</v>
      </c>
      <c r="DM78" s="391">
        <f t="shared" si="85"/>
        <v>0</v>
      </c>
      <c r="DN78" s="385"/>
      <c r="DO78" s="391">
        <f t="shared" si="86"/>
        <v>0</v>
      </c>
      <c r="DP78" s="391">
        <f t="shared" si="87"/>
        <v>0</v>
      </c>
      <c r="DQ78" s="391">
        <f t="shared" si="88"/>
        <v>0</v>
      </c>
      <c r="DR78" s="391">
        <f t="shared" si="89"/>
        <v>0</v>
      </c>
      <c r="DS78" s="391">
        <f t="shared" si="90"/>
        <v>0</v>
      </c>
      <c r="DT78" s="391">
        <f t="shared" si="91"/>
        <v>0</v>
      </c>
    </row>
    <row r="79" spans="1:124" s="146" customFormat="1" ht="19.899999999999999" customHeight="1" x14ac:dyDescent="0.25">
      <c r="A79" s="2230"/>
      <c r="B79" s="366" t="s">
        <v>236</v>
      </c>
      <c r="C79" s="722">
        <f t="shared" si="61"/>
        <v>0</v>
      </c>
      <c r="D79" s="723">
        <f t="shared" si="62"/>
        <v>0</v>
      </c>
      <c r="E79" s="913">
        <f t="shared" si="63"/>
        <v>0</v>
      </c>
      <c r="F79" s="735"/>
      <c r="G79" s="736"/>
      <c r="H79" s="735"/>
      <c r="I79" s="736"/>
      <c r="J79" s="735"/>
      <c r="K79" s="736"/>
      <c r="L79" s="735"/>
      <c r="M79" s="736"/>
      <c r="N79" s="735"/>
      <c r="O79" s="736"/>
      <c r="P79" s="735"/>
      <c r="Q79" s="736"/>
      <c r="R79" s="735"/>
      <c r="S79" s="736"/>
      <c r="T79" s="735"/>
      <c r="U79" s="736"/>
      <c r="V79" s="735"/>
      <c r="W79" s="736"/>
      <c r="X79" s="735"/>
      <c r="Y79" s="736"/>
      <c r="Z79" s="735"/>
      <c r="AA79" s="736"/>
      <c r="AB79" s="735"/>
      <c r="AC79" s="736"/>
      <c r="AD79" s="735"/>
      <c r="AE79" s="736"/>
      <c r="AF79" s="735"/>
      <c r="AG79" s="736"/>
      <c r="AH79" s="735"/>
      <c r="AI79" s="736"/>
      <c r="AJ79" s="735"/>
      <c r="AK79" s="736"/>
      <c r="AL79" s="735"/>
      <c r="AM79" s="814"/>
      <c r="AN79" s="804"/>
      <c r="AO79" s="1153"/>
      <c r="AP79" s="1153"/>
      <c r="AQ79" s="1153"/>
      <c r="AR79" s="813"/>
      <c r="AS79" s="736"/>
      <c r="AT79" s="736"/>
      <c r="AU79" s="736"/>
      <c r="AV79" s="736"/>
      <c r="AW79" s="736"/>
      <c r="AX79" s="736"/>
      <c r="AY79" s="1688" t="str">
        <f t="shared" si="64"/>
        <v/>
      </c>
      <c r="AZ79" s="186"/>
      <c r="BA79" s="186"/>
      <c r="BB79" s="186"/>
      <c r="CB79" s="381" t="str">
        <f t="shared" si="65"/>
        <v/>
      </c>
      <c r="CC79" s="381" t="str">
        <f t="shared" si="92"/>
        <v/>
      </c>
      <c r="CD79" s="381" t="str">
        <f t="shared" si="66"/>
        <v/>
      </c>
      <c r="CE79" s="381" t="str">
        <f t="shared" si="93"/>
        <v/>
      </c>
      <c r="CF79" s="381" t="str">
        <f t="shared" si="67"/>
        <v/>
      </c>
      <c r="CG79" s="381" t="str">
        <f t="shared" si="94"/>
        <v/>
      </c>
      <c r="CH79" s="381" t="str">
        <f t="shared" si="68"/>
        <v/>
      </c>
      <c r="CI79" s="381" t="str">
        <f t="shared" si="69"/>
        <v/>
      </c>
      <c r="CJ79" s="381" t="str">
        <f t="shared" si="70"/>
        <v/>
      </c>
      <c r="CK79" s="381" t="str">
        <f t="shared" si="59"/>
        <v/>
      </c>
      <c r="CL79" s="971"/>
      <c r="CM79" s="387"/>
      <c r="CN79" s="381" t="str">
        <f t="shared" si="71"/>
        <v/>
      </c>
      <c r="CO79" s="381" t="str">
        <f t="shared" si="95"/>
        <v/>
      </c>
      <c r="CP79" s="387"/>
      <c r="CQ79" s="381" t="str">
        <f t="shared" si="72"/>
        <v/>
      </c>
      <c r="CR79" s="381" t="str">
        <f t="shared" si="73"/>
        <v/>
      </c>
      <c r="CS79" s="381" t="str">
        <f t="shared" si="74"/>
        <v/>
      </c>
      <c r="CT79" s="381" t="str">
        <f t="shared" si="75"/>
        <v/>
      </c>
      <c r="CU79" s="381" t="str">
        <f t="shared" si="76"/>
        <v/>
      </c>
      <c r="CV79" s="381" t="str">
        <f t="shared" si="77"/>
        <v/>
      </c>
      <c r="CW79" s="491"/>
      <c r="CX79" s="491"/>
      <c r="CY79" s="492"/>
      <c r="CZ79" s="492"/>
      <c r="DA79" s="391">
        <f t="shared" si="78"/>
        <v>0</v>
      </c>
      <c r="DB79" s="391">
        <f t="shared" si="96"/>
        <v>0</v>
      </c>
      <c r="DC79" s="391">
        <f t="shared" si="79"/>
        <v>0</v>
      </c>
      <c r="DD79" s="391">
        <f t="shared" si="97"/>
        <v>0</v>
      </c>
      <c r="DE79" s="391">
        <f t="shared" si="80"/>
        <v>0</v>
      </c>
      <c r="DF79" s="391">
        <f t="shared" si="98"/>
        <v>0</v>
      </c>
      <c r="DG79" s="391">
        <f t="shared" si="81"/>
        <v>0</v>
      </c>
      <c r="DH79" s="391">
        <f t="shared" si="82"/>
        <v>0</v>
      </c>
      <c r="DI79" s="391">
        <f t="shared" si="83"/>
        <v>0</v>
      </c>
      <c r="DJ79" s="391">
        <f t="shared" si="60"/>
        <v>0</v>
      </c>
      <c r="DK79" s="385"/>
      <c r="DL79" s="391">
        <f t="shared" si="84"/>
        <v>0</v>
      </c>
      <c r="DM79" s="391">
        <f t="shared" si="85"/>
        <v>0</v>
      </c>
      <c r="DN79" s="385"/>
      <c r="DO79" s="391">
        <f t="shared" si="86"/>
        <v>0</v>
      </c>
      <c r="DP79" s="391">
        <f t="shared" si="87"/>
        <v>0</v>
      </c>
      <c r="DQ79" s="391">
        <f t="shared" si="88"/>
        <v>0</v>
      </c>
      <c r="DR79" s="391">
        <f t="shared" si="89"/>
        <v>0</v>
      </c>
      <c r="DS79" s="391">
        <f t="shared" si="90"/>
        <v>0</v>
      </c>
      <c r="DT79" s="391">
        <f t="shared" si="91"/>
        <v>0</v>
      </c>
    </row>
    <row r="80" spans="1:124" s="146" customFormat="1" ht="19.899999999999999" customHeight="1" x14ac:dyDescent="0.25">
      <c r="A80" s="2230"/>
      <c r="B80" s="366" t="s">
        <v>516</v>
      </c>
      <c r="C80" s="722">
        <f t="shared" si="61"/>
        <v>0</v>
      </c>
      <c r="D80" s="723">
        <f t="shared" si="62"/>
        <v>0</v>
      </c>
      <c r="E80" s="913">
        <f t="shared" si="63"/>
        <v>0</v>
      </c>
      <c r="F80" s="735"/>
      <c r="G80" s="736"/>
      <c r="H80" s="735"/>
      <c r="I80" s="736"/>
      <c r="J80" s="735"/>
      <c r="K80" s="736"/>
      <c r="L80" s="735"/>
      <c r="M80" s="736"/>
      <c r="N80" s="735"/>
      <c r="O80" s="736"/>
      <c r="P80" s="735"/>
      <c r="Q80" s="736"/>
      <c r="R80" s="735"/>
      <c r="S80" s="736"/>
      <c r="T80" s="735"/>
      <c r="U80" s="736"/>
      <c r="V80" s="735"/>
      <c r="W80" s="736"/>
      <c r="X80" s="735"/>
      <c r="Y80" s="736"/>
      <c r="Z80" s="735"/>
      <c r="AA80" s="736"/>
      <c r="AB80" s="735"/>
      <c r="AC80" s="736"/>
      <c r="AD80" s="735"/>
      <c r="AE80" s="736"/>
      <c r="AF80" s="735"/>
      <c r="AG80" s="736"/>
      <c r="AH80" s="735"/>
      <c r="AI80" s="736"/>
      <c r="AJ80" s="735"/>
      <c r="AK80" s="736"/>
      <c r="AL80" s="735"/>
      <c r="AM80" s="814"/>
      <c r="AN80" s="804"/>
      <c r="AO80" s="1153"/>
      <c r="AP80" s="1153"/>
      <c r="AQ80" s="1153"/>
      <c r="AR80" s="813"/>
      <c r="AS80" s="736"/>
      <c r="AT80" s="736"/>
      <c r="AU80" s="736"/>
      <c r="AV80" s="736"/>
      <c r="AW80" s="736"/>
      <c r="AX80" s="736"/>
      <c r="AY80" s="1688" t="str">
        <f t="shared" si="64"/>
        <v/>
      </c>
      <c r="AZ80" s="186"/>
      <c r="BA80" s="186"/>
      <c r="BB80" s="186"/>
      <c r="CB80" s="381" t="str">
        <f t="shared" si="65"/>
        <v/>
      </c>
      <c r="CC80" s="381" t="str">
        <f t="shared" si="92"/>
        <v/>
      </c>
      <c r="CD80" s="381" t="str">
        <f t="shared" si="66"/>
        <v/>
      </c>
      <c r="CE80" s="381" t="str">
        <f t="shared" si="93"/>
        <v/>
      </c>
      <c r="CF80" s="381" t="str">
        <f t="shared" si="67"/>
        <v/>
      </c>
      <c r="CG80" s="381" t="str">
        <f t="shared" si="94"/>
        <v/>
      </c>
      <c r="CH80" s="381" t="str">
        <f t="shared" si="68"/>
        <v/>
      </c>
      <c r="CI80" s="381" t="str">
        <f t="shared" si="69"/>
        <v/>
      </c>
      <c r="CJ80" s="381" t="str">
        <f t="shared" si="70"/>
        <v/>
      </c>
      <c r="CK80" s="381" t="str">
        <f t="shared" si="59"/>
        <v/>
      </c>
      <c r="CL80" s="971"/>
      <c r="CM80" s="387"/>
      <c r="CN80" s="381" t="str">
        <f t="shared" si="71"/>
        <v/>
      </c>
      <c r="CO80" s="381" t="str">
        <f t="shared" si="95"/>
        <v/>
      </c>
      <c r="CP80" s="387"/>
      <c r="CQ80" s="381" t="str">
        <f t="shared" si="72"/>
        <v/>
      </c>
      <c r="CR80" s="381" t="str">
        <f t="shared" si="73"/>
        <v/>
      </c>
      <c r="CS80" s="381" t="str">
        <f t="shared" si="74"/>
        <v/>
      </c>
      <c r="CT80" s="381" t="str">
        <f t="shared" si="75"/>
        <v/>
      </c>
      <c r="CU80" s="381" t="str">
        <f t="shared" si="76"/>
        <v/>
      </c>
      <c r="CV80" s="381" t="str">
        <f t="shared" si="77"/>
        <v/>
      </c>
      <c r="CW80" s="491"/>
      <c r="CX80" s="491"/>
      <c r="CY80" s="492"/>
      <c r="CZ80" s="492"/>
      <c r="DA80" s="391">
        <f t="shared" si="78"/>
        <v>0</v>
      </c>
      <c r="DB80" s="391">
        <f t="shared" si="96"/>
        <v>0</v>
      </c>
      <c r="DC80" s="391">
        <f t="shared" si="79"/>
        <v>0</v>
      </c>
      <c r="DD80" s="391">
        <f t="shared" si="97"/>
        <v>0</v>
      </c>
      <c r="DE80" s="391">
        <f t="shared" si="80"/>
        <v>0</v>
      </c>
      <c r="DF80" s="391">
        <f t="shared" si="98"/>
        <v>0</v>
      </c>
      <c r="DG80" s="391">
        <f t="shared" si="81"/>
        <v>0</v>
      </c>
      <c r="DH80" s="391">
        <f t="shared" si="82"/>
        <v>0</v>
      </c>
      <c r="DI80" s="391">
        <f t="shared" si="83"/>
        <v>0</v>
      </c>
      <c r="DJ80" s="391">
        <f t="shared" si="60"/>
        <v>0</v>
      </c>
      <c r="DK80" s="385"/>
      <c r="DL80" s="391">
        <f t="shared" si="84"/>
        <v>0</v>
      </c>
      <c r="DM80" s="391">
        <f t="shared" si="85"/>
        <v>0</v>
      </c>
      <c r="DN80" s="385"/>
      <c r="DO80" s="391">
        <f t="shared" si="86"/>
        <v>0</v>
      </c>
      <c r="DP80" s="391">
        <f t="shared" si="87"/>
        <v>0</v>
      </c>
      <c r="DQ80" s="391">
        <f t="shared" si="88"/>
        <v>0</v>
      </c>
      <c r="DR80" s="391">
        <f t="shared" si="89"/>
        <v>0</v>
      </c>
      <c r="DS80" s="391">
        <f t="shared" si="90"/>
        <v>0</v>
      </c>
      <c r="DT80" s="391">
        <f t="shared" si="91"/>
        <v>0</v>
      </c>
    </row>
    <row r="81" spans="1:124" s="146" customFormat="1" ht="19.899999999999999" customHeight="1" x14ac:dyDescent="0.25">
      <c r="A81" s="2230"/>
      <c r="B81" s="367" t="s">
        <v>218</v>
      </c>
      <c r="C81" s="722">
        <f>SUM(D81:E81)</f>
        <v>0</v>
      </c>
      <c r="D81" s="916"/>
      <c r="E81" s="917">
        <f>K81+M81+O81+Q81+S81+U81+W81+Y81+AA81+AC81</f>
        <v>0</v>
      </c>
      <c r="F81" s="779"/>
      <c r="G81" s="780"/>
      <c r="H81" s="779"/>
      <c r="I81" s="780"/>
      <c r="J81" s="779"/>
      <c r="K81" s="736"/>
      <c r="L81" s="779"/>
      <c r="M81" s="736"/>
      <c r="N81" s="779"/>
      <c r="O81" s="736"/>
      <c r="P81" s="779"/>
      <c r="Q81" s="736"/>
      <c r="R81" s="779"/>
      <c r="S81" s="736"/>
      <c r="T81" s="779"/>
      <c r="U81" s="736"/>
      <c r="V81" s="779"/>
      <c r="W81" s="736"/>
      <c r="X81" s="779"/>
      <c r="Y81" s="736"/>
      <c r="Z81" s="779"/>
      <c r="AA81" s="736"/>
      <c r="AB81" s="779"/>
      <c r="AC81" s="736"/>
      <c r="AD81" s="779"/>
      <c r="AE81" s="780"/>
      <c r="AF81" s="779"/>
      <c r="AG81" s="780"/>
      <c r="AH81" s="779"/>
      <c r="AI81" s="780"/>
      <c r="AJ81" s="779"/>
      <c r="AK81" s="780"/>
      <c r="AL81" s="779"/>
      <c r="AM81" s="1529"/>
      <c r="AN81" s="1530"/>
      <c r="AO81" s="1153"/>
      <c r="AP81" s="1531"/>
      <c r="AQ81" s="1153"/>
      <c r="AR81" s="916"/>
      <c r="AS81" s="736"/>
      <c r="AT81" s="736"/>
      <c r="AU81" s="736"/>
      <c r="AV81" s="736"/>
      <c r="AW81" s="736"/>
      <c r="AX81" s="736"/>
      <c r="AY81" s="1688" t="str">
        <f t="shared" si="64"/>
        <v/>
      </c>
      <c r="AZ81" s="186"/>
      <c r="BA81" s="186"/>
      <c r="BB81" s="186"/>
      <c r="CB81" s="387"/>
      <c r="CC81" s="381" t="str">
        <f t="shared" si="92"/>
        <v/>
      </c>
      <c r="CD81" s="387"/>
      <c r="CE81" s="381" t="str">
        <f t="shared" si="93"/>
        <v/>
      </c>
      <c r="CF81" s="387"/>
      <c r="CG81" s="381" t="str">
        <f t="shared" si="94"/>
        <v/>
      </c>
      <c r="CH81" s="381" t="str">
        <f t="shared" si="68"/>
        <v/>
      </c>
      <c r="CI81" s="381" t="str">
        <f t="shared" si="69"/>
        <v/>
      </c>
      <c r="CJ81" s="381" t="str">
        <f t="shared" si="70"/>
        <v/>
      </c>
      <c r="CK81" s="381" t="str">
        <f t="shared" si="59"/>
        <v/>
      </c>
      <c r="CL81" s="971"/>
      <c r="CM81" s="387"/>
      <c r="CN81" s="387"/>
      <c r="CO81" s="381" t="str">
        <f t="shared" si="95"/>
        <v/>
      </c>
      <c r="CP81" s="387"/>
      <c r="CQ81" s="381" t="str">
        <f>IF(AND($E81&lt;&gt;0,$AQ81=""),"* No olvide escribir en las celdas de 'Pueblos Originarios / Mujeres' (Digite CERO si no tiene). ","")</f>
        <v/>
      </c>
      <c r="CR81" s="381" t="str">
        <f>IF(AND($E81&lt;&gt;0,$AS81=""),"* No olvide escribir en las celdas de ''Población Migrantes / Mujeres' (Digite CERO si no tiene). ","")</f>
        <v/>
      </c>
      <c r="CS81" s="381" t="str">
        <f t="shared" si="74"/>
        <v/>
      </c>
      <c r="CT81" s="381" t="str">
        <f t="shared" si="75"/>
        <v/>
      </c>
      <c r="CU81" s="381" t="str">
        <f t="shared" si="76"/>
        <v/>
      </c>
      <c r="CV81" s="381" t="str">
        <f t="shared" si="77"/>
        <v/>
      </c>
      <c r="CW81" s="491"/>
      <c r="CX81" s="491"/>
      <c r="CY81" s="492"/>
      <c r="CZ81" s="492"/>
      <c r="DA81" s="385"/>
      <c r="DB81" s="391">
        <f t="shared" si="96"/>
        <v>0</v>
      </c>
      <c r="DC81" s="385"/>
      <c r="DD81" s="391">
        <f t="shared" si="97"/>
        <v>0</v>
      </c>
      <c r="DE81" s="385"/>
      <c r="DF81" s="391">
        <f t="shared" si="98"/>
        <v>0</v>
      </c>
      <c r="DG81" s="391">
        <f t="shared" si="81"/>
        <v>0</v>
      </c>
      <c r="DH81" s="391">
        <f t="shared" si="82"/>
        <v>0</v>
      </c>
      <c r="DI81" s="391">
        <f t="shared" si="83"/>
        <v>0</v>
      </c>
      <c r="DJ81" s="391">
        <f t="shared" si="60"/>
        <v>0</v>
      </c>
      <c r="DK81" s="385"/>
      <c r="DL81" s="385"/>
      <c r="DM81" s="391">
        <f>IF(AND($E81&lt;&gt;0,$AO81=""),1,0)</f>
        <v>0</v>
      </c>
      <c r="DN81" s="385"/>
      <c r="DO81" s="391">
        <f>IF(AND($E81&lt;&gt;0,$AQ81=""),1,0)</f>
        <v>0</v>
      </c>
      <c r="DP81" s="391">
        <f>IF(AND($E81&lt;&gt;0,$AS81=""),1,0)</f>
        <v>0</v>
      </c>
      <c r="DQ81" s="391">
        <f t="shared" si="88"/>
        <v>0</v>
      </c>
      <c r="DR81" s="391">
        <f t="shared" si="89"/>
        <v>0</v>
      </c>
      <c r="DS81" s="391">
        <f t="shared" si="90"/>
        <v>0</v>
      </c>
      <c r="DT81" s="391">
        <f t="shared" si="91"/>
        <v>0</v>
      </c>
    </row>
    <row r="82" spans="1:124" s="146" customFormat="1" ht="19.899999999999999" customHeight="1" x14ac:dyDescent="0.25">
      <c r="A82" s="2231"/>
      <c r="B82" s="185" t="s">
        <v>219</v>
      </c>
      <c r="C82" s="719">
        <f t="shared" ref="C82:C96" si="99">SUM(D82:E82)</f>
        <v>0</v>
      </c>
      <c r="D82" s="728">
        <f t="shared" ref="D82:E89" si="100">+F82+H82+J82+L82+N82+P82+R82+T82+V82+X82+Z82+AB82+AD82+AF82+AH82+AJ82+AL82</f>
        <v>0</v>
      </c>
      <c r="E82" s="914">
        <f t="shared" si="100"/>
        <v>0</v>
      </c>
      <c r="F82" s="746"/>
      <c r="G82" s="747"/>
      <c r="H82" s="746"/>
      <c r="I82" s="747"/>
      <c r="J82" s="746"/>
      <c r="K82" s="747"/>
      <c r="L82" s="746"/>
      <c r="M82" s="747"/>
      <c r="N82" s="746"/>
      <c r="O82" s="747"/>
      <c r="P82" s="746"/>
      <c r="Q82" s="747"/>
      <c r="R82" s="746"/>
      <c r="S82" s="747"/>
      <c r="T82" s="746"/>
      <c r="U82" s="747"/>
      <c r="V82" s="746"/>
      <c r="W82" s="747"/>
      <c r="X82" s="746"/>
      <c r="Y82" s="747"/>
      <c r="Z82" s="746"/>
      <c r="AA82" s="747"/>
      <c r="AB82" s="746"/>
      <c r="AC82" s="747"/>
      <c r="AD82" s="746"/>
      <c r="AE82" s="747"/>
      <c r="AF82" s="746"/>
      <c r="AG82" s="747"/>
      <c r="AH82" s="746"/>
      <c r="AI82" s="747"/>
      <c r="AJ82" s="746"/>
      <c r="AK82" s="747"/>
      <c r="AL82" s="746"/>
      <c r="AM82" s="930"/>
      <c r="AN82" s="806"/>
      <c r="AO82" s="1156"/>
      <c r="AP82" s="1156"/>
      <c r="AQ82" s="1156"/>
      <c r="AR82" s="1166"/>
      <c r="AS82" s="747"/>
      <c r="AT82" s="747"/>
      <c r="AU82" s="747"/>
      <c r="AV82" s="747"/>
      <c r="AW82" s="747"/>
      <c r="AX82" s="747"/>
      <c r="AY82" s="1688" t="str">
        <f t="shared" si="64"/>
        <v/>
      </c>
      <c r="AZ82" s="186"/>
      <c r="BA82" s="186"/>
      <c r="BB82" s="186"/>
      <c r="CB82" s="381" t="str">
        <f>IF($AN82&gt;$E82,"* La celda 'Gestantes' debe ser menor o igual al Total de Mujeres en control. ","")</f>
        <v/>
      </c>
      <c r="CC82" s="381" t="str">
        <f t="shared" si="92"/>
        <v/>
      </c>
      <c r="CD82" s="381" t="str">
        <f t="shared" ref="CD82:CD111" si="101">IF(($AP82)&gt;$D82,"* La celda 'Pueblos Originarios / Hombres' debe ser menor o igual al Total de Hombres en control. ","")</f>
        <v/>
      </c>
      <c r="CE82" s="381" t="str">
        <f t="shared" si="93"/>
        <v/>
      </c>
      <c r="CF82" s="381" t="str">
        <f t="shared" ref="CF82:CF111" si="102">IF(($AR82)&gt;$D82,"* La celda 'Población Migrantes / Hombres' debe ser menor o igual al Total de Hombres en control. ","")</f>
        <v/>
      </c>
      <c r="CG82" s="381" t="str">
        <f t="shared" si="94"/>
        <v/>
      </c>
      <c r="CH82" s="381" t="str">
        <f t="shared" si="68"/>
        <v/>
      </c>
      <c r="CI82" s="381" t="str">
        <f t="shared" si="69"/>
        <v/>
      </c>
      <c r="CJ82" s="381" t="str">
        <f t="shared" si="70"/>
        <v/>
      </c>
      <c r="CK82" s="381" t="str">
        <f t="shared" si="59"/>
        <v/>
      </c>
      <c r="CL82" s="971"/>
      <c r="CM82" s="387"/>
      <c r="CN82" s="381" t="str">
        <f>IF(AND($C82&lt;&gt;0,$AN82=""),"* No olvide escribir en la celda de 'Gestantes' (Digite CERO si no tiene). ","")</f>
        <v/>
      </c>
      <c r="CO82" s="381" t="str">
        <f t="shared" si="95"/>
        <v/>
      </c>
      <c r="CP82" s="387"/>
      <c r="CQ82" s="381" t="str">
        <f t="shared" ref="CQ82:CQ111" si="103">IF(AND($D82&lt;&gt;0,$AP82=""),"* No olvide escribir en las celdas de 'Pueblos Originarios' (Digite CERO si no tiene). ",IF(AND($E82&lt;&gt;0,$AQ82=""),"* No olvide escribir en las celdas de 'Pueblos Originarios' (Digite CERO si no tiene). ",""))</f>
        <v/>
      </c>
      <c r="CR82" s="381" t="str">
        <f t="shared" ref="CR82:CR111" si="104">IF(AND($D82&lt;&gt;0,$AR82=""),"* No olvide escribir en las celdas de 'Población Migrantes' (Digite CERO si no tiene). ",IF(AND($E82&lt;&gt;0,$AS82=""),"* No olvide escribir en las celdas de 'Población Migrantes' (Digite CERO si no tiene). ",""))</f>
        <v/>
      </c>
      <c r="CS82" s="381" t="str">
        <f t="shared" si="74"/>
        <v/>
      </c>
      <c r="CT82" s="381" t="str">
        <f t="shared" si="75"/>
        <v/>
      </c>
      <c r="CU82" s="381" t="str">
        <f t="shared" si="76"/>
        <v/>
      </c>
      <c r="CV82" s="381" t="str">
        <f t="shared" si="77"/>
        <v/>
      </c>
      <c r="CW82" s="491"/>
      <c r="CX82" s="491"/>
      <c r="CY82" s="492"/>
      <c r="CZ82" s="492"/>
      <c r="DA82" s="391">
        <f>IF($AN82&gt;$E82,1,0)</f>
        <v>0</v>
      </c>
      <c r="DB82" s="391">
        <f t="shared" si="96"/>
        <v>0</v>
      </c>
      <c r="DC82" s="391">
        <f t="shared" ref="DC82:DC111" si="105">IF(($AP82)&gt;$D82,1,0)</f>
        <v>0</v>
      </c>
      <c r="DD82" s="391">
        <f t="shared" si="97"/>
        <v>0</v>
      </c>
      <c r="DE82" s="391">
        <f t="shared" ref="DE82:DE111" si="106">IF(($AR82)&gt;$D82,1,0)</f>
        <v>0</v>
      </c>
      <c r="DF82" s="391">
        <f t="shared" si="98"/>
        <v>0</v>
      </c>
      <c r="DG82" s="391">
        <f t="shared" si="81"/>
        <v>0</v>
      </c>
      <c r="DH82" s="391">
        <f t="shared" si="82"/>
        <v>0</v>
      </c>
      <c r="DI82" s="391">
        <f t="shared" si="83"/>
        <v>0</v>
      </c>
      <c r="DJ82" s="391">
        <f t="shared" si="60"/>
        <v>0</v>
      </c>
      <c r="DK82" s="385"/>
      <c r="DL82" s="391">
        <f>IF(AND($C82&lt;&gt;0,$AN82=""),1,0)</f>
        <v>0</v>
      </c>
      <c r="DM82" s="391">
        <f>IF(AND($C82&lt;&gt;0,$AO82=""),1,0)</f>
        <v>0</v>
      </c>
      <c r="DN82" s="385"/>
      <c r="DO82" s="391">
        <f t="shared" ref="DO82:DO111" si="107">IF(AND($D82&lt;&gt;0,$AP82=""),1,IF(AND($E82&lt;&gt;0,$AQ82=""),1,0))</f>
        <v>0</v>
      </c>
      <c r="DP82" s="391">
        <f t="shared" ref="DP82:DP111" si="108">IF(AND($D82&lt;&gt;0,$AR82=""),1,IF(AND($E82&lt;&gt;0,$AS82=""),1,0))</f>
        <v>0</v>
      </c>
      <c r="DQ82" s="391">
        <f t="shared" si="88"/>
        <v>0</v>
      </c>
      <c r="DR82" s="391">
        <f t="shared" si="89"/>
        <v>0</v>
      </c>
      <c r="DS82" s="391">
        <f t="shared" si="90"/>
        <v>0</v>
      </c>
      <c r="DT82" s="391">
        <f t="shared" si="91"/>
        <v>0</v>
      </c>
    </row>
    <row r="83" spans="1:124" s="146" customFormat="1" ht="21" customHeight="1" x14ac:dyDescent="0.25">
      <c r="A83" s="2205" t="s">
        <v>220</v>
      </c>
      <c r="B83" s="1425" t="s">
        <v>708</v>
      </c>
      <c r="C83" s="714">
        <f t="shared" si="99"/>
        <v>0</v>
      </c>
      <c r="D83" s="729">
        <f t="shared" si="100"/>
        <v>0</v>
      </c>
      <c r="E83" s="922">
        <f t="shared" si="100"/>
        <v>0</v>
      </c>
      <c r="F83" s="731"/>
      <c r="G83" s="732"/>
      <c r="H83" s="731"/>
      <c r="I83" s="732"/>
      <c r="J83" s="731"/>
      <c r="K83" s="732"/>
      <c r="L83" s="731"/>
      <c r="M83" s="732"/>
      <c r="N83" s="731"/>
      <c r="O83" s="732"/>
      <c r="P83" s="731"/>
      <c r="Q83" s="732"/>
      <c r="R83" s="731"/>
      <c r="S83" s="732"/>
      <c r="T83" s="731"/>
      <c r="U83" s="732"/>
      <c r="V83" s="731"/>
      <c r="W83" s="732"/>
      <c r="X83" s="731"/>
      <c r="Y83" s="732"/>
      <c r="Z83" s="731"/>
      <c r="AA83" s="732"/>
      <c r="AB83" s="731"/>
      <c r="AC83" s="732"/>
      <c r="AD83" s="731"/>
      <c r="AE83" s="732"/>
      <c r="AF83" s="731"/>
      <c r="AG83" s="732"/>
      <c r="AH83" s="731"/>
      <c r="AI83" s="732"/>
      <c r="AJ83" s="731"/>
      <c r="AK83" s="732"/>
      <c r="AL83" s="731"/>
      <c r="AM83" s="929"/>
      <c r="AN83" s="1151"/>
      <c r="AO83" s="1152"/>
      <c r="AP83" s="1152"/>
      <c r="AQ83" s="1152"/>
      <c r="AR83" s="810"/>
      <c r="AS83" s="732"/>
      <c r="AT83" s="732"/>
      <c r="AU83" s="732"/>
      <c r="AV83" s="732"/>
      <c r="AW83" s="732"/>
      <c r="AX83" s="732"/>
      <c r="AY83" s="1688" t="str">
        <f t="shared" si="64"/>
        <v/>
      </c>
      <c r="AZ83" s="186"/>
      <c r="BA83" s="186"/>
      <c r="BB83" s="186"/>
      <c r="CB83" s="381" t="str">
        <f>IF($AN83&gt;$E83,"* La celda 'Gestantes' debe ser menor o igual al Total de Mujeres en control. ","")</f>
        <v/>
      </c>
      <c r="CC83" s="381" t="str">
        <f t="shared" si="92"/>
        <v/>
      </c>
      <c r="CD83" s="381" t="str">
        <f t="shared" si="101"/>
        <v/>
      </c>
      <c r="CE83" s="381" t="str">
        <f t="shared" si="93"/>
        <v/>
      </c>
      <c r="CF83" s="381" t="str">
        <f t="shared" si="102"/>
        <v/>
      </c>
      <c r="CG83" s="381" t="str">
        <f t="shared" si="94"/>
        <v/>
      </c>
      <c r="CH83" s="381" t="str">
        <f t="shared" si="68"/>
        <v/>
      </c>
      <c r="CI83" s="381" t="str">
        <f t="shared" si="69"/>
        <v/>
      </c>
      <c r="CJ83" s="381" t="str">
        <f t="shared" si="70"/>
        <v/>
      </c>
      <c r="CK83" s="381" t="str">
        <f t="shared" si="59"/>
        <v/>
      </c>
      <c r="CL83" s="971"/>
      <c r="CM83" s="387"/>
      <c r="CN83" s="381" t="str">
        <f>IF(AND($C83&lt;&gt;0,$AN83=""),"* No olvide escribir en la celda de 'Gestantes' (Digite CERO si no tiene). ","")</f>
        <v/>
      </c>
      <c r="CO83" s="381" t="str">
        <f t="shared" si="95"/>
        <v/>
      </c>
      <c r="CP83" s="387"/>
      <c r="CQ83" s="381" t="str">
        <f t="shared" si="103"/>
        <v/>
      </c>
      <c r="CR83" s="381" t="str">
        <f t="shared" si="104"/>
        <v/>
      </c>
      <c r="CS83" s="381" t="str">
        <f t="shared" si="74"/>
        <v/>
      </c>
      <c r="CT83" s="381" t="str">
        <f t="shared" si="75"/>
        <v/>
      </c>
      <c r="CU83" s="381" t="str">
        <f t="shared" si="76"/>
        <v/>
      </c>
      <c r="CV83" s="381" t="str">
        <f t="shared" si="77"/>
        <v/>
      </c>
      <c r="CW83" s="491"/>
      <c r="CX83" s="491"/>
      <c r="CY83" s="492"/>
      <c r="CZ83" s="492"/>
      <c r="DA83" s="391">
        <f>IF($AN83&gt;$E83,1,0)</f>
        <v>0</v>
      </c>
      <c r="DB83" s="391">
        <f t="shared" si="96"/>
        <v>0</v>
      </c>
      <c r="DC83" s="391">
        <f t="shared" si="105"/>
        <v>0</v>
      </c>
      <c r="DD83" s="391">
        <f t="shared" si="97"/>
        <v>0</v>
      </c>
      <c r="DE83" s="391">
        <f t="shared" si="106"/>
        <v>0</v>
      </c>
      <c r="DF83" s="391">
        <f t="shared" si="98"/>
        <v>0</v>
      </c>
      <c r="DG83" s="391">
        <f t="shared" si="81"/>
        <v>0</v>
      </c>
      <c r="DH83" s="391">
        <f t="shared" si="82"/>
        <v>0</v>
      </c>
      <c r="DI83" s="391">
        <f t="shared" si="83"/>
        <v>0</v>
      </c>
      <c r="DJ83" s="391">
        <f t="shared" si="60"/>
        <v>0</v>
      </c>
      <c r="DK83" s="385"/>
      <c r="DL83" s="391">
        <f>IF(AND($C83&lt;&gt;0,$AN83=""),1,0)</f>
        <v>0</v>
      </c>
      <c r="DM83" s="391">
        <f>IF(AND($C83&lt;&gt;0,$AO83=""),1,0)</f>
        <v>0</v>
      </c>
      <c r="DN83" s="385"/>
      <c r="DO83" s="391">
        <f t="shared" si="107"/>
        <v>0</v>
      </c>
      <c r="DP83" s="391">
        <f t="shared" si="108"/>
        <v>0</v>
      </c>
      <c r="DQ83" s="391">
        <f t="shared" si="88"/>
        <v>0</v>
      </c>
      <c r="DR83" s="391">
        <f t="shared" si="89"/>
        <v>0</v>
      </c>
      <c r="DS83" s="391">
        <f t="shared" si="90"/>
        <v>0</v>
      </c>
      <c r="DT83" s="391">
        <f t="shared" si="91"/>
        <v>0</v>
      </c>
    </row>
    <row r="84" spans="1:124" s="146" customFormat="1" ht="21" customHeight="1" x14ac:dyDescent="0.25">
      <c r="A84" s="2209"/>
      <c r="B84" s="1002" t="s">
        <v>709</v>
      </c>
      <c r="C84" s="716">
        <f t="shared" si="99"/>
        <v>0</v>
      </c>
      <c r="D84" s="734">
        <f t="shared" si="100"/>
        <v>0</v>
      </c>
      <c r="E84" s="917">
        <f t="shared" si="100"/>
        <v>0</v>
      </c>
      <c r="F84" s="735"/>
      <c r="G84" s="736"/>
      <c r="H84" s="735"/>
      <c r="I84" s="736"/>
      <c r="J84" s="735"/>
      <c r="K84" s="736"/>
      <c r="L84" s="735"/>
      <c r="M84" s="736"/>
      <c r="N84" s="735"/>
      <c r="O84" s="736"/>
      <c r="P84" s="735"/>
      <c r="Q84" s="736"/>
      <c r="R84" s="735"/>
      <c r="S84" s="736"/>
      <c r="T84" s="735"/>
      <c r="U84" s="736"/>
      <c r="V84" s="735"/>
      <c r="W84" s="736"/>
      <c r="X84" s="735"/>
      <c r="Y84" s="736"/>
      <c r="Z84" s="735"/>
      <c r="AA84" s="736"/>
      <c r="AB84" s="735"/>
      <c r="AC84" s="736"/>
      <c r="AD84" s="735"/>
      <c r="AE84" s="736"/>
      <c r="AF84" s="735"/>
      <c r="AG84" s="736"/>
      <c r="AH84" s="735"/>
      <c r="AI84" s="736"/>
      <c r="AJ84" s="735"/>
      <c r="AK84" s="736"/>
      <c r="AL84" s="735"/>
      <c r="AM84" s="814"/>
      <c r="AN84" s="804"/>
      <c r="AO84" s="1153"/>
      <c r="AP84" s="1153"/>
      <c r="AQ84" s="1153"/>
      <c r="AR84" s="813"/>
      <c r="AS84" s="736"/>
      <c r="AT84" s="736"/>
      <c r="AU84" s="736"/>
      <c r="AV84" s="736"/>
      <c r="AW84" s="736"/>
      <c r="AX84" s="736"/>
      <c r="AY84" s="1688" t="str">
        <f t="shared" si="64"/>
        <v/>
      </c>
      <c r="AZ84" s="186"/>
      <c r="BA84" s="186"/>
      <c r="BB84" s="186"/>
      <c r="CB84" s="381" t="str">
        <f>IF($AN84&gt;$E84,"* La celda 'Gestantes' debe ser menor o igual al Total de Mujeres en control. ","")</f>
        <v/>
      </c>
      <c r="CC84" s="381" t="str">
        <f t="shared" si="92"/>
        <v/>
      </c>
      <c r="CD84" s="381" t="str">
        <f t="shared" si="101"/>
        <v/>
      </c>
      <c r="CE84" s="381" t="str">
        <f t="shared" si="93"/>
        <v/>
      </c>
      <c r="CF84" s="381" t="str">
        <f t="shared" si="102"/>
        <v/>
      </c>
      <c r="CG84" s="381" t="str">
        <f t="shared" si="94"/>
        <v/>
      </c>
      <c r="CH84" s="381" t="str">
        <f t="shared" si="68"/>
        <v/>
      </c>
      <c r="CI84" s="381" t="str">
        <f t="shared" si="69"/>
        <v/>
      </c>
      <c r="CJ84" s="381" t="str">
        <f t="shared" si="70"/>
        <v/>
      </c>
      <c r="CK84" s="381" t="str">
        <f t="shared" si="59"/>
        <v/>
      </c>
      <c r="CL84" s="971"/>
      <c r="CM84" s="387"/>
      <c r="CN84" s="381" t="str">
        <f>IF(AND($C84&lt;&gt;0,$AN84=""),"* No olvide escribir en la celda de 'Gestantes' (Digite CERO si no tiene). ","")</f>
        <v/>
      </c>
      <c r="CO84" s="381" t="str">
        <f t="shared" si="95"/>
        <v/>
      </c>
      <c r="CP84" s="387"/>
      <c r="CQ84" s="381" t="str">
        <f t="shared" si="103"/>
        <v/>
      </c>
      <c r="CR84" s="381" t="str">
        <f t="shared" si="104"/>
        <v/>
      </c>
      <c r="CS84" s="381" t="str">
        <f t="shared" si="74"/>
        <v/>
      </c>
      <c r="CT84" s="381" t="str">
        <f t="shared" si="75"/>
        <v/>
      </c>
      <c r="CU84" s="381" t="str">
        <f t="shared" si="76"/>
        <v/>
      </c>
      <c r="CV84" s="381" t="str">
        <f t="shared" si="77"/>
        <v/>
      </c>
      <c r="CW84" s="491"/>
      <c r="CX84" s="491"/>
      <c r="CY84" s="492"/>
      <c r="CZ84" s="492"/>
      <c r="DA84" s="391">
        <f>IF($AN84&gt;$E84,1,0)</f>
        <v>0</v>
      </c>
      <c r="DB84" s="391">
        <f t="shared" si="96"/>
        <v>0</v>
      </c>
      <c r="DC84" s="391">
        <f t="shared" si="105"/>
        <v>0</v>
      </c>
      <c r="DD84" s="391">
        <f t="shared" si="97"/>
        <v>0</v>
      </c>
      <c r="DE84" s="391">
        <f t="shared" si="106"/>
        <v>0</v>
      </c>
      <c r="DF84" s="391">
        <f t="shared" si="98"/>
        <v>0</v>
      </c>
      <c r="DG84" s="391">
        <f t="shared" si="81"/>
        <v>0</v>
      </c>
      <c r="DH84" s="391">
        <f t="shared" si="82"/>
        <v>0</v>
      </c>
      <c r="DI84" s="391">
        <f t="shared" si="83"/>
        <v>0</v>
      </c>
      <c r="DJ84" s="391">
        <f t="shared" si="60"/>
        <v>0</v>
      </c>
      <c r="DK84" s="385"/>
      <c r="DL84" s="391">
        <f>IF(AND($C84&lt;&gt;0,$AN84=""),1,0)</f>
        <v>0</v>
      </c>
      <c r="DM84" s="391">
        <f>IF(AND($C84&lt;&gt;0,$AO84=""),1,0)</f>
        <v>0</v>
      </c>
      <c r="DN84" s="385"/>
      <c r="DO84" s="391">
        <f t="shared" si="107"/>
        <v>0</v>
      </c>
      <c r="DP84" s="391">
        <f t="shared" si="108"/>
        <v>0</v>
      </c>
      <c r="DQ84" s="391">
        <f t="shared" si="88"/>
        <v>0</v>
      </c>
      <c r="DR84" s="391">
        <f t="shared" si="89"/>
        <v>0</v>
      </c>
      <c r="DS84" s="391">
        <f t="shared" si="90"/>
        <v>0</v>
      </c>
      <c r="DT84" s="391">
        <f t="shared" si="91"/>
        <v>0</v>
      </c>
    </row>
    <row r="85" spans="1:124" s="146" customFormat="1" ht="21" customHeight="1" x14ac:dyDescent="0.25">
      <c r="A85" s="2210"/>
      <c r="B85" s="1426" t="s">
        <v>710</v>
      </c>
      <c r="C85" s="919">
        <f t="shared" si="99"/>
        <v>0</v>
      </c>
      <c r="D85" s="738">
        <f>+F85+H85+J85+L85+N85+P85+R85+T85+V85+X85+Z85+AB85+AD85+AF85+AH85+AJ85+AL85</f>
        <v>0</v>
      </c>
      <c r="E85" s="920">
        <f t="shared" si="100"/>
        <v>0</v>
      </c>
      <c r="F85" s="746"/>
      <c r="G85" s="747"/>
      <c r="H85" s="746"/>
      <c r="I85" s="747"/>
      <c r="J85" s="746"/>
      <c r="K85" s="747"/>
      <c r="L85" s="746"/>
      <c r="M85" s="747"/>
      <c r="N85" s="746"/>
      <c r="O85" s="747"/>
      <c r="P85" s="746"/>
      <c r="Q85" s="747"/>
      <c r="R85" s="746"/>
      <c r="S85" s="747"/>
      <c r="T85" s="746"/>
      <c r="U85" s="747"/>
      <c r="V85" s="746"/>
      <c r="W85" s="747"/>
      <c r="X85" s="746"/>
      <c r="Y85" s="747"/>
      <c r="Z85" s="746"/>
      <c r="AA85" s="747"/>
      <c r="AB85" s="746"/>
      <c r="AC85" s="747"/>
      <c r="AD85" s="746"/>
      <c r="AE85" s="747"/>
      <c r="AF85" s="746"/>
      <c r="AG85" s="747"/>
      <c r="AH85" s="746"/>
      <c r="AI85" s="747"/>
      <c r="AJ85" s="746"/>
      <c r="AK85" s="747"/>
      <c r="AL85" s="746"/>
      <c r="AM85" s="930"/>
      <c r="AN85" s="806"/>
      <c r="AO85" s="1156"/>
      <c r="AP85" s="1156"/>
      <c r="AQ85" s="1156"/>
      <c r="AR85" s="1166"/>
      <c r="AS85" s="747"/>
      <c r="AT85" s="747"/>
      <c r="AU85" s="747"/>
      <c r="AV85" s="747"/>
      <c r="AW85" s="747"/>
      <c r="AX85" s="747"/>
      <c r="AY85" s="1688" t="str">
        <f t="shared" si="64"/>
        <v/>
      </c>
      <c r="AZ85" s="186"/>
      <c r="BA85" s="186"/>
      <c r="BB85" s="186"/>
      <c r="CB85" s="381"/>
      <c r="CC85" s="381"/>
      <c r="CD85" s="381"/>
      <c r="CE85" s="381"/>
      <c r="CF85" s="381"/>
      <c r="CG85" s="381"/>
      <c r="CH85" s="381" t="str">
        <f t="shared" si="68"/>
        <v/>
      </c>
      <c r="CI85" s="381" t="str">
        <f t="shared" si="69"/>
        <v/>
      </c>
      <c r="CJ85" s="381"/>
      <c r="CK85" s="381" t="str">
        <f t="shared" si="59"/>
        <v/>
      </c>
      <c r="CL85" s="971"/>
      <c r="CM85" s="387"/>
      <c r="CN85" s="381"/>
      <c r="CO85" s="381"/>
      <c r="CP85" s="387"/>
      <c r="CQ85" s="381"/>
      <c r="CR85" s="381"/>
      <c r="CS85" s="381" t="str">
        <f t="shared" si="74"/>
        <v/>
      </c>
      <c r="CT85" s="381" t="str">
        <f t="shared" si="75"/>
        <v/>
      </c>
      <c r="CU85" s="381"/>
      <c r="CV85" s="381" t="str">
        <f t="shared" si="77"/>
        <v/>
      </c>
      <c r="CW85" s="491"/>
      <c r="CX85" s="491"/>
      <c r="CY85" s="492"/>
      <c r="CZ85" s="492"/>
      <c r="DA85" s="391"/>
      <c r="DB85" s="391"/>
      <c r="DC85" s="391"/>
      <c r="DD85" s="391"/>
      <c r="DE85" s="391"/>
      <c r="DF85" s="391"/>
      <c r="DG85" s="391">
        <f t="shared" si="81"/>
        <v>0</v>
      </c>
      <c r="DH85" s="391">
        <f t="shared" si="82"/>
        <v>0</v>
      </c>
      <c r="DI85" s="391"/>
      <c r="DJ85" s="391">
        <f t="shared" si="60"/>
        <v>0</v>
      </c>
      <c r="DK85" s="385"/>
      <c r="DL85" s="391"/>
      <c r="DM85" s="391"/>
      <c r="DN85" s="385"/>
      <c r="DO85" s="391"/>
      <c r="DP85" s="391"/>
      <c r="DQ85" s="391">
        <f t="shared" si="88"/>
        <v>0</v>
      </c>
      <c r="DR85" s="391">
        <f t="shared" si="89"/>
        <v>0</v>
      </c>
      <c r="DS85" s="391"/>
      <c r="DT85" s="391">
        <f t="shared" si="91"/>
        <v>0</v>
      </c>
    </row>
    <row r="86" spans="1:124" s="146" customFormat="1" ht="21" customHeight="1" x14ac:dyDescent="0.25">
      <c r="A86" s="2210"/>
      <c r="B86" s="1426" t="s">
        <v>711</v>
      </c>
      <c r="C86" s="919">
        <f t="shared" si="99"/>
        <v>0</v>
      </c>
      <c r="D86" s="738">
        <f t="shared" si="100"/>
        <v>0</v>
      </c>
      <c r="E86" s="920">
        <f t="shared" si="100"/>
        <v>0</v>
      </c>
      <c r="F86" s="746"/>
      <c r="G86" s="747"/>
      <c r="H86" s="746"/>
      <c r="I86" s="747"/>
      <c r="J86" s="746"/>
      <c r="K86" s="747"/>
      <c r="L86" s="746"/>
      <c r="M86" s="747"/>
      <c r="N86" s="746"/>
      <c r="O86" s="747"/>
      <c r="P86" s="746"/>
      <c r="Q86" s="747"/>
      <c r="R86" s="746"/>
      <c r="S86" s="747"/>
      <c r="T86" s="746"/>
      <c r="U86" s="747"/>
      <c r="V86" s="746"/>
      <c r="W86" s="747"/>
      <c r="X86" s="746"/>
      <c r="Y86" s="747"/>
      <c r="Z86" s="746"/>
      <c r="AA86" s="747"/>
      <c r="AB86" s="746"/>
      <c r="AC86" s="747"/>
      <c r="AD86" s="746"/>
      <c r="AE86" s="747"/>
      <c r="AF86" s="746"/>
      <c r="AG86" s="747"/>
      <c r="AH86" s="746"/>
      <c r="AI86" s="747"/>
      <c r="AJ86" s="746"/>
      <c r="AK86" s="747"/>
      <c r="AL86" s="746"/>
      <c r="AM86" s="930"/>
      <c r="AN86" s="806"/>
      <c r="AO86" s="1156"/>
      <c r="AP86" s="1156"/>
      <c r="AQ86" s="1156"/>
      <c r="AR86" s="1166"/>
      <c r="AS86" s="747"/>
      <c r="AT86" s="747"/>
      <c r="AU86" s="747"/>
      <c r="AV86" s="747"/>
      <c r="AW86" s="747"/>
      <c r="AX86" s="747"/>
      <c r="AY86" s="1688" t="str">
        <f t="shared" si="64"/>
        <v/>
      </c>
      <c r="AZ86" s="186"/>
      <c r="BA86" s="186"/>
      <c r="BB86" s="186"/>
      <c r="CB86" s="381"/>
      <c r="CC86" s="381"/>
      <c r="CD86" s="381"/>
      <c r="CE86" s="381"/>
      <c r="CF86" s="381"/>
      <c r="CG86" s="381"/>
      <c r="CH86" s="381" t="str">
        <f t="shared" si="68"/>
        <v/>
      </c>
      <c r="CI86" s="381" t="str">
        <f t="shared" si="69"/>
        <v/>
      </c>
      <c r="CJ86" s="381"/>
      <c r="CK86" s="381" t="str">
        <f t="shared" si="59"/>
        <v/>
      </c>
      <c r="CL86" s="971"/>
      <c r="CM86" s="387"/>
      <c r="CN86" s="381"/>
      <c r="CO86" s="381"/>
      <c r="CP86" s="387"/>
      <c r="CQ86" s="381"/>
      <c r="CR86" s="381"/>
      <c r="CS86" s="381" t="str">
        <f t="shared" si="74"/>
        <v/>
      </c>
      <c r="CT86" s="381" t="str">
        <f t="shared" si="75"/>
        <v/>
      </c>
      <c r="CU86" s="381"/>
      <c r="CV86" s="381" t="str">
        <f t="shared" si="77"/>
        <v/>
      </c>
      <c r="CW86" s="491"/>
      <c r="CX86" s="491"/>
      <c r="CY86" s="492"/>
      <c r="CZ86" s="492"/>
      <c r="DA86" s="391"/>
      <c r="DB86" s="391"/>
      <c r="DC86" s="391"/>
      <c r="DD86" s="391"/>
      <c r="DE86" s="391"/>
      <c r="DF86" s="391"/>
      <c r="DG86" s="391">
        <f t="shared" si="81"/>
        <v>0</v>
      </c>
      <c r="DH86" s="391">
        <f t="shared" si="82"/>
        <v>0</v>
      </c>
      <c r="DI86" s="391"/>
      <c r="DJ86" s="391">
        <f t="shared" si="60"/>
        <v>0</v>
      </c>
      <c r="DK86" s="385"/>
      <c r="DL86" s="391"/>
      <c r="DM86" s="391"/>
      <c r="DN86" s="385"/>
      <c r="DO86" s="391"/>
      <c r="DP86" s="391"/>
      <c r="DQ86" s="391">
        <f t="shared" si="88"/>
        <v>0</v>
      </c>
      <c r="DR86" s="391">
        <f t="shared" si="89"/>
        <v>0</v>
      </c>
      <c r="DS86" s="391"/>
      <c r="DT86" s="391">
        <f t="shared" si="91"/>
        <v>0</v>
      </c>
    </row>
    <row r="87" spans="1:124" s="146" customFormat="1" ht="21" customHeight="1" x14ac:dyDescent="0.25">
      <c r="A87" s="2208"/>
      <c r="B87" s="1023" t="s">
        <v>712</v>
      </c>
      <c r="C87" s="919">
        <f t="shared" si="99"/>
        <v>0</v>
      </c>
      <c r="D87" s="738">
        <f t="shared" si="100"/>
        <v>0</v>
      </c>
      <c r="E87" s="920">
        <f t="shared" si="100"/>
        <v>0</v>
      </c>
      <c r="F87" s="740"/>
      <c r="G87" s="741"/>
      <c r="H87" s="740"/>
      <c r="I87" s="741"/>
      <c r="J87" s="740"/>
      <c r="K87" s="741"/>
      <c r="L87" s="740"/>
      <c r="M87" s="741"/>
      <c r="N87" s="740"/>
      <c r="O87" s="741"/>
      <c r="P87" s="740"/>
      <c r="Q87" s="741"/>
      <c r="R87" s="740"/>
      <c r="S87" s="741"/>
      <c r="T87" s="740"/>
      <c r="U87" s="741"/>
      <c r="V87" s="740"/>
      <c r="W87" s="741"/>
      <c r="X87" s="740"/>
      <c r="Y87" s="741"/>
      <c r="Z87" s="740"/>
      <c r="AA87" s="741"/>
      <c r="AB87" s="740"/>
      <c r="AC87" s="741"/>
      <c r="AD87" s="740"/>
      <c r="AE87" s="741"/>
      <c r="AF87" s="740"/>
      <c r="AG87" s="741"/>
      <c r="AH87" s="740"/>
      <c r="AI87" s="741"/>
      <c r="AJ87" s="740"/>
      <c r="AK87" s="741"/>
      <c r="AL87" s="740"/>
      <c r="AM87" s="818"/>
      <c r="AN87" s="1154"/>
      <c r="AO87" s="1155"/>
      <c r="AP87" s="1155"/>
      <c r="AQ87" s="1155"/>
      <c r="AR87" s="812"/>
      <c r="AS87" s="741"/>
      <c r="AT87" s="741"/>
      <c r="AU87" s="741"/>
      <c r="AV87" s="741"/>
      <c r="AW87" s="741"/>
      <c r="AX87" s="741"/>
      <c r="AY87" s="1688" t="str">
        <f t="shared" si="64"/>
        <v/>
      </c>
      <c r="AZ87" s="186"/>
      <c r="BA87" s="186"/>
      <c r="BB87" s="186"/>
      <c r="CB87" s="381" t="str">
        <f>IF($AN87&gt;$E87,"* La celda 'Gestantes' debe ser menor o igual al Total de Mujeres en control. ","")</f>
        <v/>
      </c>
      <c r="CC87" s="381" t="str">
        <f t="shared" si="92"/>
        <v/>
      </c>
      <c r="CD87" s="381" t="str">
        <f t="shared" si="101"/>
        <v/>
      </c>
      <c r="CE87" s="381" t="str">
        <f t="shared" si="93"/>
        <v/>
      </c>
      <c r="CF87" s="381" t="str">
        <f t="shared" si="102"/>
        <v/>
      </c>
      <c r="CG87" s="381" t="str">
        <f t="shared" si="94"/>
        <v/>
      </c>
      <c r="CH87" s="381" t="str">
        <f t="shared" si="68"/>
        <v/>
      </c>
      <c r="CI87" s="381" t="str">
        <f t="shared" si="69"/>
        <v/>
      </c>
      <c r="CJ87" s="381" t="str">
        <f t="shared" ref="CJ87:CJ96" si="109">IF($AV87&gt;$C87,"* La celda 'Plan Cuidado Integral Elaborado' debe ser menor o igual al Total de Personas en control. ","")</f>
        <v/>
      </c>
      <c r="CK87" s="381" t="str">
        <f t="shared" si="59"/>
        <v/>
      </c>
      <c r="CL87" s="971"/>
      <c r="CM87" s="387"/>
      <c r="CN87" s="381" t="str">
        <f>IF(AND($C87&lt;&gt;0,$AN87=""),"* No olvide escribir en la celda de 'Gestantes' (Digite CERO si no tiene). ","")</f>
        <v/>
      </c>
      <c r="CO87" s="381" t="str">
        <f t="shared" si="95"/>
        <v/>
      </c>
      <c r="CP87" s="387"/>
      <c r="CQ87" s="381" t="str">
        <f t="shared" si="103"/>
        <v/>
      </c>
      <c r="CR87" s="381" t="str">
        <f t="shared" si="104"/>
        <v/>
      </c>
      <c r="CS87" s="381" t="str">
        <f t="shared" si="74"/>
        <v/>
      </c>
      <c r="CT87" s="381" t="str">
        <f t="shared" si="75"/>
        <v/>
      </c>
      <c r="CU87" s="381" t="str">
        <f t="shared" ref="CU87:CU96" si="110">IF(AND($C87&lt;&gt;0,$AV87=""),"* No olvide escribir en las celdas de 'Plan Cuidado Integral Elaborado' (Digite CERO si no tiene). ","")</f>
        <v/>
      </c>
      <c r="CV87" s="381" t="str">
        <f t="shared" si="77"/>
        <v/>
      </c>
      <c r="CW87" s="491"/>
      <c r="CX87" s="491"/>
      <c r="CY87" s="492"/>
      <c r="CZ87" s="492"/>
      <c r="DA87" s="391">
        <f>IF($AN87&gt;$E87,1,0)</f>
        <v>0</v>
      </c>
      <c r="DB87" s="391">
        <f t="shared" si="96"/>
        <v>0</v>
      </c>
      <c r="DC87" s="391">
        <f t="shared" si="105"/>
        <v>0</v>
      </c>
      <c r="DD87" s="391">
        <f t="shared" si="97"/>
        <v>0</v>
      </c>
      <c r="DE87" s="391">
        <f t="shared" si="106"/>
        <v>0</v>
      </c>
      <c r="DF87" s="391">
        <f t="shared" si="98"/>
        <v>0</v>
      </c>
      <c r="DG87" s="391">
        <f t="shared" si="81"/>
        <v>0</v>
      </c>
      <c r="DH87" s="391">
        <f t="shared" si="82"/>
        <v>0</v>
      </c>
      <c r="DI87" s="391">
        <f t="shared" ref="DI87:DI99" si="111">IF($AV87&gt;$C87,1,0)</f>
        <v>0</v>
      </c>
      <c r="DJ87" s="391">
        <f t="shared" si="60"/>
        <v>0</v>
      </c>
      <c r="DK87" s="385"/>
      <c r="DL87" s="391">
        <f>IF(AND($C87&lt;&gt;0,$AN87=""),1,0)</f>
        <v>0</v>
      </c>
      <c r="DM87" s="391">
        <f>IF(AND($C87&lt;&gt;0,$AO87=""),1,0)</f>
        <v>0</v>
      </c>
      <c r="DN87" s="385"/>
      <c r="DO87" s="391">
        <f t="shared" si="107"/>
        <v>0</v>
      </c>
      <c r="DP87" s="391">
        <f t="shared" si="108"/>
        <v>0</v>
      </c>
      <c r="DQ87" s="391">
        <f t="shared" si="88"/>
        <v>0</v>
      </c>
      <c r="DR87" s="391">
        <f t="shared" si="89"/>
        <v>0</v>
      </c>
      <c r="DS87" s="391">
        <f t="shared" ref="DS87:DS99" si="112">IF(AND($C87&lt;&gt;0,$AV87=""),1,0)</f>
        <v>0</v>
      </c>
      <c r="DT87" s="391">
        <f t="shared" si="91"/>
        <v>0</v>
      </c>
    </row>
    <row r="88" spans="1:124" s="146" customFormat="1" ht="26.45" customHeight="1" x14ac:dyDescent="0.25">
      <c r="A88" s="2211" t="s">
        <v>221</v>
      </c>
      <c r="B88" s="396" t="s">
        <v>222</v>
      </c>
      <c r="C88" s="714">
        <f t="shared" si="99"/>
        <v>0</v>
      </c>
      <c r="D88" s="729">
        <f t="shared" si="100"/>
        <v>0</v>
      </c>
      <c r="E88" s="922">
        <f t="shared" si="100"/>
        <v>0</v>
      </c>
      <c r="F88" s="755"/>
      <c r="G88" s="756"/>
      <c r="H88" s="755"/>
      <c r="I88" s="756"/>
      <c r="J88" s="731"/>
      <c r="K88" s="732"/>
      <c r="L88" s="731"/>
      <c r="M88" s="732"/>
      <c r="N88" s="731"/>
      <c r="O88" s="732"/>
      <c r="P88" s="731"/>
      <c r="Q88" s="732"/>
      <c r="R88" s="731"/>
      <c r="S88" s="732"/>
      <c r="T88" s="731"/>
      <c r="U88" s="732"/>
      <c r="V88" s="731"/>
      <c r="W88" s="732"/>
      <c r="X88" s="731"/>
      <c r="Y88" s="732"/>
      <c r="Z88" s="731"/>
      <c r="AA88" s="732"/>
      <c r="AB88" s="731"/>
      <c r="AC88" s="732"/>
      <c r="AD88" s="731"/>
      <c r="AE88" s="732"/>
      <c r="AF88" s="731"/>
      <c r="AG88" s="732"/>
      <c r="AH88" s="731"/>
      <c r="AI88" s="732"/>
      <c r="AJ88" s="731"/>
      <c r="AK88" s="732"/>
      <c r="AL88" s="755"/>
      <c r="AM88" s="931"/>
      <c r="AN88" s="1151"/>
      <c r="AO88" s="1532"/>
      <c r="AP88" s="1159"/>
      <c r="AQ88" s="1159"/>
      <c r="AR88" s="816"/>
      <c r="AS88" s="756"/>
      <c r="AT88" s="756"/>
      <c r="AU88" s="756"/>
      <c r="AV88" s="756"/>
      <c r="AW88" s="756"/>
      <c r="AX88" s="756"/>
      <c r="AY88" s="1688" t="str">
        <f t="shared" si="64"/>
        <v/>
      </c>
      <c r="AZ88" s="186"/>
      <c r="BA88" s="186"/>
      <c r="BB88" s="186"/>
      <c r="CB88" s="387"/>
      <c r="CC88" s="387"/>
      <c r="CD88" s="381" t="str">
        <f t="shared" si="101"/>
        <v/>
      </c>
      <c r="CE88" s="381" t="str">
        <f t="shared" si="93"/>
        <v/>
      </c>
      <c r="CF88" s="381" t="str">
        <f t="shared" si="102"/>
        <v/>
      </c>
      <c r="CG88" s="381" t="str">
        <f t="shared" si="94"/>
        <v/>
      </c>
      <c r="CH88" s="381" t="str">
        <f t="shared" si="68"/>
        <v/>
      </c>
      <c r="CI88" s="381" t="str">
        <f t="shared" si="69"/>
        <v/>
      </c>
      <c r="CJ88" s="381" t="str">
        <f t="shared" si="109"/>
        <v/>
      </c>
      <c r="CK88" s="381" t="str">
        <f t="shared" si="59"/>
        <v/>
      </c>
      <c r="CL88" s="971"/>
      <c r="CM88" s="387"/>
      <c r="CN88" s="387"/>
      <c r="CO88" s="387"/>
      <c r="CP88" s="387"/>
      <c r="CQ88" s="381" t="str">
        <f t="shared" si="103"/>
        <v/>
      </c>
      <c r="CR88" s="381" t="str">
        <f t="shared" si="104"/>
        <v/>
      </c>
      <c r="CS88" s="381" t="str">
        <f t="shared" si="74"/>
        <v/>
      </c>
      <c r="CT88" s="381" t="str">
        <f t="shared" si="75"/>
        <v/>
      </c>
      <c r="CU88" s="381" t="str">
        <f t="shared" si="110"/>
        <v/>
      </c>
      <c r="CV88" s="381" t="str">
        <f t="shared" si="77"/>
        <v/>
      </c>
      <c r="CW88" s="491"/>
      <c r="CX88" s="491"/>
      <c r="CY88" s="492"/>
      <c r="CZ88" s="492"/>
      <c r="DA88" s="385"/>
      <c r="DB88" s="385"/>
      <c r="DC88" s="391">
        <f t="shared" si="105"/>
        <v>0</v>
      </c>
      <c r="DD88" s="391">
        <f t="shared" si="97"/>
        <v>0</v>
      </c>
      <c r="DE88" s="391">
        <f t="shared" si="106"/>
        <v>0</v>
      </c>
      <c r="DF88" s="391">
        <f t="shared" si="98"/>
        <v>0</v>
      </c>
      <c r="DG88" s="391">
        <f t="shared" si="81"/>
        <v>0</v>
      </c>
      <c r="DH88" s="391">
        <f t="shared" si="82"/>
        <v>0</v>
      </c>
      <c r="DI88" s="391">
        <f t="shared" si="111"/>
        <v>0</v>
      </c>
      <c r="DJ88" s="391">
        <f t="shared" si="60"/>
        <v>0</v>
      </c>
      <c r="DK88" s="385"/>
      <c r="DL88" s="385"/>
      <c r="DM88" s="385"/>
      <c r="DN88" s="385"/>
      <c r="DO88" s="391">
        <f t="shared" si="107"/>
        <v>0</v>
      </c>
      <c r="DP88" s="391">
        <f t="shared" si="108"/>
        <v>0</v>
      </c>
      <c r="DQ88" s="391">
        <f t="shared" si="88"/>
        <v>0</v>
      </c>
      <c r="DR88" s="391">
        <f t="shared" si="89"/>
        <v>0</v>
      </c>
      <c r="DS88" s="391">
        <f t="shared" si="112"/>
        <v>0</v>
      </c>
      <c r="DT88" s="391">
        <f t="shared" si="91"/>
        <v>0</v>
      </c>
    </row>
    <row r="89" spans="1:124" s="146" customFormat="1" ht="26.45" customHeight="1" x14ac:dyDescent="0.25">
      <c r="A89" s="2212"/>
      <c r="B89" s="397" t="s">
        <v>223</v>
      </c>
      <c r="C89" s="716">
        <f t="shared" si="99"/>
        <v>0</v>
      </c>
      <c r="D89" s="734">
        <f t="shared" si="100"/>
        <v>0</v>
      </c>
      <c r="E89" s="917">
        <f t="shared" si="100"/>
        <v>0</v>
      </c>
      <c r="F89" s="755"/>
      <c r="G89" s="756"/>
      <c r="H89" s="755"/>
      <c r="I89" s="756"/>
      <c r="J89" s="735"/>
      <c r="K89" s="736"/>
      <c r="L89" s="735"/>
      <c r="M89" s="736"/>
      <c r="N89" s="735"/>
      <c r="O89" s="736"/>
      <c r="P89" s="735"/>
      <c r="Q89" s="736"/>
      <c r="R89" s="735"/>
      <c r="S89" s="736"/>
      <c r="T89" s="755"/>
      <c r="U89" s="756"/>
      <c r="V89" s="797"/>
      <c r="W89" s="798"/>
      <c r="X89" s="755"/>
      <c r="Y89" s="756"/>
      <c r="Z89" s="755"/>
      <c r="AA89" s="756"/>
      <c r="AB89" s="755"/>
      <c r="AC89" s="756"/>
      <c r="AD89" s="755"/>
      <c r="AE89" s="756"/>
      <c r="AF89" s="755"/>
      <c r="AG89" s="756"/>
      <c r="AH89" s="755"/>
      <c r="AI89" s="756"/>
      <c r="AJ89" s="755"/>
      <c r="AK89" s="756"/>
      <c r="AL89" s="755"/>
      <c r="AM89" s="931"/>
      <c r="AN89" s="803"/>
      <c r="AO89" s="1533"/>
      <c r="AP89" s="1159"/>
      <c r="AQ89" s="1159"/>
      <c r="AR89" s="816"/>
      <c r="AS89" s="756"/>
      <c r="AT89" s="756"/>
      <c r="AU89" s="756"/>
      <c r="AV89" s="756"/>
      <c r="AW89" s="756"/>
      <c r="AX89" s="756"/>
      <c r="AY89" s="1688" t="str">
        <f t="shared" si="64"/>
        <v/>
      </c>
      <c r="AZ89" s="186"/>
      <c r="BA89" s="186"/>
      <c r="BB89" s="186"/>
      <c r="CB89" s="387"/>
      <c r="CC89" s="387"/>
      <c r="CD89" s="381" t="str">
        <f t="shared" si="101"/>
        <v/>
      </c>
      <c r="CE89" s="381" t="str">
        <f t="shared" si="93"/>
        <v/>
      </c>
      <c r="CF89" s="381" t="str">
        <f t="shared" si="102"/>
        <v/>
      </c>
      <c r="CG89" s="381" t="str">
        <f t="shared" si="94"/>
        <v/>
      </c>
      <c r="CH89" s="381" t="str">
        <f t="shared" si="68"/>
        <v/>
      </c>
      <c r="CI89" s="381" t="str">
        <f t="shared" si="69"/>
        <v/>
      </c>
      <c r="CJ89" s="381" t="str">
        <f t="shared" si="109"/>
        <v/>
      </c>
      <c r="CK89" s="381" t="str">
        <f t="shared" si="59"/>
        <v/>
      </c>
      <c r="CL89" s="971"/>
      <c r="CM89" s="387"/>
      <c r="CN89" s="387"/>
      <c r="CO89" s="387"/>
      <c r="CP89" s="387"/>
      <c r="CQ89" s="381" t="str">
        <f t="shared" si="103"/>
        <v/>
      </c>
      <c r="CR89" s="381" t="str">
        <f t="shared" si="104"/>
        <v/>
      </c>
      <c r="CS89" s="381" t="str">
        <f t="shared" si="74"/>
        <v/>
      </c>
      <c r="CT89" s="381" t="str">
        <f t="shared" si="75"/>
        <v/>
      </c>
      <c r="CU89" s="381" t="str">
        <f t="shared" si="110"/>
        <v/>
      </c>
      <c r="CV89" s="381" t="str">
        <f t="shared" si="77"/>
        <v/>
      </c>
      <c r="CW89" s="491"/>
      <c r="CX89" s="491"/>
      <c r="CY89" s="492"/>
      <c r="CZ89" s="492"/>
      <c r="DA89" s="385"/>
      <c r="DB89" s="385"/>
      <c r="DC89" s="391">
        <f t="shared" si="105"/>
        <v>0</v>
      </c>
      <c r="DD89" s="391">
        <f t="shared" si="97"/>
        <v>0</v>
      </c>
      <c r="DE89" s="391">
        <f t="shared" si="106"/>
        <v>0</v>
      </c>
      <c r="DF89" s="391">
        <f t="shared" si="98"/>
        <v>0</v>
      </c>
      <c r="DG89" s="391">
        <f t="shared" si="81"/>
        <v>0</v>
      </c>
      <c r="DH89" s="391">
        <f t="shared" si="82"/>
        <v>0</v>
      </c>
      <c r="DI89" s="391">
        <f t="shared" si="111"/>
        <v>0</v>
      </c>
      <c r="DJ89" s="391">
        <f t="shared" si="60"/>
        <v>0</v>
      </c>
      <c r="DK89" s="385"/>
      <c r="DL89" s="385"/>
      <c r="DM89" s="385"/>
      <c r="DN89" s="385"/>
      <c r="DO89" s="391">
        <f t="shared" si="107"/>
        <v>0</v>
      </c>
      <c r="DP89" s="391">
        <f t="shared" si="108"/>
        <v>0</v>
      </c>
      <c r="DQ89" s="391">
        <f t="shared" si="88"/>
        <v>0</v>
      </c>
      <c r="DR89" s="391">
        <f t="shared" si="89"/>
        <v>0</v>
      </c>
      <c r="DS89" s="391">
        <f t="shared" si="112"/>
        <v>0</v>
      </c>
      <c r="DT89" s="391">
        <f t="shared" si="91"/>
        <v>0</v>
      </c>
    </row>
    <row r="90" spans="1:124" s="146" customFormat="1" ht="26.45" customHeight="1" x14ac:dyDescent="0.25">
      <c r="A90" s="2212"/>
      <c r="B90" s="397" t="s">
        <v>224</v>
      </c>
      <c r="C90" s="716">
        <f t="shared" si="99"/>
        <v>0</v>
      </c>
      <c r="D90" s="734">
        <f>+F90+H90+J90</f>
        <v>0</v>
      </c>
      <c r="E90" s="917">
        <f>+G90+I90+K90</f>
        <v>0</v>
      </c>
      <c r="F90" s="755"/>
      <c r="G90" s="756"/>
      <c r="H90" s="755"/>
      <c r="I90" s="756"/>
      <c r="J90" s="755"/>
      <c r="K90" s="736"/>
      <c r="L90" s="779"/>
      <c r="M90" s="780"/>
      <c r="N90" s="779"/>
      <c r="O90" s="780"/>
      <c r="P90" s="779"/>
      <c r="Q90" s="780"/>
      <c r="R90" s="779"/>
      <c r="S90" s="780"/>
      <c r="T90" s="779"/>
      <c r="U90" s="780"/>
      <c r="V90" s="932"/>
      <c r="W90" s="933"/>
      <c r="X90" s="779"/>
      <c r="Y90" s="780"/>
      <c r="Z90" s="779"/>
      <c r="AA90" s="780"/>
      <c r="AB90" s="779"/>
      <c r="AC90" s="780"/>
      <c r="AD90" s="779"/>
      <c r="AE90" s="780"/>
      <c r="AF90" s="779"/>
      <c r="AG90" s="780"/>
      <c r="AH90" s="779"/>
      <c r="AI90" s="780"/>
      <c r="AJ90" s="779"/>
      <c r="AK90" s="780"/>
      <c r="AL90" s="779"/>
      <c r="AM90" s="1529"/>
      <c r="AN90" s="803"/>
      <c r="AO90" s="1533"/>
      <c r="AP90" s="1159"/>
      <c r="AQ90" s="1159"/>
      <c r="AR90" s="816"/>
      <c r="AS90" s="756"/>
      <c r="AT90" s="756"/>
      <c r="AU90" s="756"/>
      <c r="AV90" s="756"/>
      <c r="AW90" s="756"/>
      <c r="AX90" s="756"/>
      <c r="AY90" s="1688" t="str">
        <f t="shared" si="64"/>
        <v/>
      </c>
      <c r="AZ90" s="186"/>
      <c r="BA90" s="186"/>
      <c r="BB90" s="186"/>
      <c r="CB90" s="387"/>
      <c r="CC90" s="387"/>
      <c r="CD90" s="381" t="str">
        <f t="shared" si="101"/>
        <v/>
      </c>
      <c r="CE90" s="381" t="str">
        <f t="shared" si="93"/>
        <v/>
      </c>
      <c r="CF90" s="381" t="str">
        <f t="shared" si="102"/>
        <v/>
      </c>
      <c r="CG90" s="381" t="str">
        <f t="shared" si="94"/>
        <v/>
      </c>
      <c r="CH90" s="381" t="str">
        <f t="shared" si="68"/>
        <v/>
      </c>
      <c r="CI90" s="381" t="str">
        <f t="shared" si="69"/>
        <v/>
      </c>
      <c r="CJ90" s="381" t="str">
        <f t="shared" si="109"/>
        <v/>
      </c>
      <c r="CK90" s="381" t="str">
        <f t="shared" si="59"/>
        <v/>
      </c>
      <c r="CL90" s="971"/>
      <c r="CM90" s="387"/>
      <c r="CN90" s="387"/>
      <c r="CO90" s="387"/>
      <c r="CP90" s="387"/>
      <c r="CQ90" s="381" t="str">
        <f t="shared" si="103"/>
        <v/>
      </c>
      <c r="CR90" s="381" t="str">
        <f t="shared" si="104"/>
        <v/>
      </c>
      <c r="CS90" s="381" t="str">
        <f t="shared" si="74"/>
        <v/>
      </c>
      <c r="CT90" s="381" t="str">
        <f t="shared" si="75"/>
        <v/>
      </c>
      <c r="CU90" s="381" t="str">
        <f t="shared" si="110"/>
        <v/>
      </c>
      <c r="CV90" s="381" t="str">
        <f t="shared" si="77"/>
        <v/>
      </c>
      <c r="CW90" s="491"/>
      <c r="CX90" s="491"/>
      <c r="CY90" s="492"/>
      <c r="CZ90" s="492"/>
      <c r="DA90" s="385"/>
      <c r="DB90" s="385"/>
      <c r="DC90" s="391">
        <f t="shared" si="105"/>
        <v>0</v>
      </c>
      <c r="DD90" s="391">
        <f t="shared" si="97"/>
        <v>0</v>
      </c>
      <c r="DE90" s="391">
        <f t="shared" si="106"/>
        <v>0</v>
      </c>
      <c r="DF90" s="391">
        <f t="shared" si="98"/>
        <v>0</v>
      </c>
      <c r="DG90" s="391">
        <f t="shared" si="81"/>
        <v>0</v>
      </c>
      <c r="DH90" s="391">
        <f t="shared" si="82"/>
        <v>0</v>
      </c>
      <c r="DI90" s="391">
        <f t="shared" si="111"/>
        <v>0</v>
      </c>
      <c r="DJ90" s="391">
        <f t="shared" si="60"/>
        <v>0</v>
      </c>
      <c r="DK90" s="385"/>
      <c r="DL90" s="385"/>
      <c r="DM90" s="385"/>
      <c r="DN90" s="385"/>
      <c r="DO90" s="391">
        <f t="shared" si="107"/>
        <v>0</v>
      </c>
      <c r="DP90" s="391">
        <f t="shared" si="108"/>
        <v>0</v>
      </c>
      <c r="DQ90" s="391">
        <f t="shared" si="88"/>
        <v>0</v>
      </c>
      <c r="DR90" s="391">
        <f t="shared" si="89"/>
        <v>0</v>
      </c>
      <c r="DS90" s="391">
        <f t="shared" si="112"/>
        <v>0</v>
      </c>
      <c r="DT90" s="391">
        <f t="shared" si="91"/>
        <v>0</v>
      </c>
    </row>
    <row r="91" spans="1:124" s="146" customFormat="1" ht="26.45" customHeight="1" x14ac:dyDescent="0.25">
      <c r="A91" s="2212"/>
      <c r="B91" s="397" t="s">
        <v>225</v>
      </c>
      <c r="C91" s="719">
        <f>SUM(D91:E91)</f>
        <v>0</v>
      </c>
      <c r="D91" s="728">
        <f>+F91+H91+J91+L91+N91</f>
        <v>0</v>
      </c>
      <c r="E91" s="914">
        <f>+G91+I91+K91+M91+O91</f>
        <v>0</v>
      </c>
      <c r="F91" s="740"/>
      <c r="G91" s="741"/>
      <c r="H91" s="740"/>
      <c r="I91" s="741"/>
      <c r="J91" s="740"/>
      <c r="K91" s="741"/>
      <c r="L91" s="740"/>
      <c r="M91" s="741"/>
      <c r="N91" s="740"/>
      <c r="O91" s="741"/>
      <c r="P91" s="782"/>
      <c r="Q91" s="783"/>
      <c r="R91" s="782"/>
      <c r="S91" s="783"/>
      <c r="T91" s="782"/>
      <c r="U91" s="783"/>
      <c r="V91" s="782"/>
      <c r="W91" s="783"/>
      <c r="X91" s="782"/>
      <c r="Y91" s="783"/>
      <c r="Z91" s="782"/>
      <c r="AA91" s="783"/>
      <c r="AB91" s="782"/>
      <c r="AC91" s="783"/>
      <c r="AD91" s="782"/>
      <c r="AE91" s="783"/>
      <c r="AF91" s="782"/>
      <c r="AG91" s="783"/>
      <c r="AH91" s="782"/>
      <c r="AI91" s="783"/>
      <c r="AJ91" s="782"/>
      <c r="AK91" s="783"/>
      <c r="AL91" s="782"/>
      <c r="AM91" s="1535"/>
      <c r="AN91" s="1154"/>
      <c r="AO91" s="1534"/>
      <c r="AP91" s="1155"/>
      <c r="AQ91" s="1155"/>
      <c r="AR91" s="812"/>
      <c r="AS91" s="741"/>
      <c r="AT91" s="741"/>
      <c r="AU91" s="741"/>
      <c r="AV91" s="741"/>
      <c r="AW91" s="741"/>
      <c r="AX91" s="741"/>
      <c r="AY91" s="1688" t="str">
        <f t="shared" si="64"/>
        <v/>
      </c>
      <c r="AZ91" s="186"/>
      <c r="BA91" s="186"/>
      <c r="BB91" s="186"/>
      <c r="CB91" s="387"/>
      <c r="CC91" s="387"/>
      <c r="CD91" s="381" t="str">
        <f t="shared" si="101"/>
        <v/>
      </c>
      <c r="CE91" s="381" t="str">
        <f t="shared" si="93"/>
        <v/>
      </c>
      <c r="CF91" s="381" t="str">
        <f t="shared" si="102"/>
        <v/>
      </c>
      <c r="CG91" s="381" t="str">
        <f t="shared" si="94"/>
        <v/>
      </c>
      <c r="CH91" s="381" t="str">
        <f t="shared" si="68"/>
        <v/>
      </c>
      <c r="CI91" s="381" t="str">
        <f t="shared" si="69"/>
        <v/>
      </c>
      <c r="CJ91" s="381" t="str">
        <f t="shared" si="109"/>
        <v/>
      </c>
      <c r="CK91" s="381" t="str">
        <f t="shared" si="59"/>
        <v/>
      </c>
      <c r="CL91" s="971"/>
      <c r="CM91" s="387"/>
      <c r="CN91" s="387"/>
      <c r="CO91" s="387"/>
      <c r="CP91" s="387"/>
      <c r="CQ91" s="381" t="str">
        <f t="shared" si="103"/>
        <v/>
      </c>
      <c r="CR91" s="381" t="str">
        <f t="shared" si="104"/>
        <v/>
      </c>
      <c r="CS91" s="381" t="str">
        <f t="shared" si="74"/>
        <v/>
      </c>
      <c r="CT91" s="381" t="str">
        <f t="shared" si="75"/>
        <v/>
      </c>
      <c r="CU91" s="381" t="str">
        <f t="shared" si="110"/>
        <v/>
      </c>
      <c r="CV91" s="381" t="str">
        <f t="shared" si="77"/>
        <v/>
      </c>
      <c r="CW91" s="491"/>
      <c r="CX91" s="491"/>
      <c r="CY91" s="492"/>
      <c r="CZ91" s="492"/>
      <c r="DA91" s="385"/>
      <c r="DB91" s="385"/>
      <c r="DC91" s="391">
        <f t="shared" si="105"/>
        <v>0</v>
      </c>
      <c r="DD91" s="391">
        <f t="shared" si="97"/>
        <v>0</v>
      </c>
      <c r="DE91" s="391">
        <f t="shared" si="106"/>
        <v>0</v>
      </c>
      <c r="DF91" s="391">
        <f t="shared" si="98"/>
        <v>0</v>
      </c>
      <c r="DG91" s="391">
        <f t="shared" si="81"/>
        <v>0</v>
      </c>
      <c r="DH91" s="391">
        <f t="shared" si="82"/>
        <v>0</v>
      </c>
      <c r="DI91" s="391">
        <f t="shared" si="111"/>
        <v>0</v>
      </c>
      <c r="DJ91" s="391">
        <f t="shared" si="60"/>
        <v>0</v>
      </c>
      <c r="DK91" s="385"/>
      <c r="DL91" s="385"/>
      <c r="DM91" s="385"/>
      <c r="DN91" s="385"/>
      <c r="DO91" s="391">
        <f t="shared" si="107"/>
        <v>0</v>
      </c>
      <c r="DP91" s="391">
        <f t="shared" si="108"/>
        <v>0</v>
      </c>
      <c r="DQ91" s="391">
        <f t="shared" si="88"/>
        <v>0</v>
      </c>
      <c r="DR91" s="391">
        <f t="shared" si="89"/>
        <v>0</v>
      </c>
      <c r="DS91" s="391">
        <f t="shared" si="112"/>
        <v>0</v>
      </c>
      <c r="DT91" s="391">
        <f t="shared" si="91"/>
        <v>0</v>
      </c>
    </row>
    <row r="92" spans="1:124" s="146" customFormat="1" ht="18" customHeight="1" x14ac:dyDescent="0.25">
      <c r="A92" s="2108" t="s">
        <v>226</v>
      </c>
      <c r="B92" s="396" t="s">
        <v>553</v>
      </c>
      <c r="C92" s="997">
        <f t="shared" si="99"/>
        <v>0</v>
      </c>
      <c r="D92" s="998">
        <f t="shared" ref="D92:E96" si="113">SUM(F92+H92+J92+L92+N92+P92+R92+T92+V92+X92+Z92+AB92+AD92+AF92+AH92+AJ92+AL92)</f>
        <v>0</v>
      </c>
      <c r="E92" s="999">
        <f t="shared" si="113"/>
        <v>0</v>
      </c>
      <c r="F92" s="755"/>
      <c r="G92" s="756"/>
      <c r="H92" s="755"/>
      <c r="I92" s="756"/>
      <c r="J92" s="755"/>
      <c r="K92" s="756"/>
      <c r="L92" s="755"/>
      <c r="M92" s="756"/>
      <c r="N92" s="755"/>
      <c r="O92" s="816"/>
      <c r="P92" s="755"/>
      <c r="Q92" s="816"/>
      <c r="R92" s="755"/>
      <c r="S92" s="816"/>
      <c r="T92" s="755"/>
      <c r="U92" s="816"/>
      <c r="V92" s="755"/>
      <c r="W92" s="816"/>
      <c r="X92" s="755"/>
      <c r="Y92" s="816"/>
      <c r="Z92" s="755"/>
      <c r="AA92" s="816"/>
      <c r="AB92" s="755"/>
      <c r="AC92" s="816"/>
      <c r="AD92" s="755"/>
      <c r="AE92" s="816"/>
      <c r="AF92" s="755"/>
      <c r="AG92" s="816"/>
      <c r="AH92" s="755"/>
      <c r="AI92" s="816"/>
      <c r="AJ92" s="755"/>
      <c r="AK92" s="816"/>
      <c r="AL92" s="755"/>
      <c r="AM92" s="757"/>
      <c r="AN92" s="803"/>
      <c r="AO92" s="1159"/>
      <c r="AP92" s="1159"/>
      <c r="AQ92" s="1159"/>
      <c r="AR92" s="816"/>
      <c r="AS92" s="756"/>
      <c r="AT92" s="756"/>
      <c r="AU92" s="756"/>
      <c r="AV92" s="756"/>
      <c r="AW92" s="756"/>
      <c r="AX92" s="756"/>
      <c r="AY92" s="1688" t="str">
        <f t="shared" si="64"/>
        <v/>
      </c>
      <c r="AZ92" s="186"/>
      <c r="BA92" s="186"/>
      <c r="BB92" s="186"/>
      <c r="CB92" s="381" t="str">
        <f t="shared" ref="CB92:CB110" si="114">IF($AN92&gt;$E92,"* La celda 'Gestantes' debe ser menor o igual al Total de Mujeres en control. ","")</f>
        <v/>
      </c>
      <c r="CC92" s="381" t="str">
        <f t="shared" ref="CC92:CC110" si="115">IF($AO92&gt;$E92,"* La celda 'Madres de Hijos menor de 5 años' debe ser menor o igual al Total de Mujeres en control. ","")</f>
        <v/>
      </c>
      <c r="CD92" s="381" t="str">
        <f t="shared" si="101"/>
        <v/>
      </c>
      <c r="CE92" s="381" t="str">
        <f t="shared" si="93"/>
        <v/>
      </c>
      <c r="CF92" s="381" t="str">
        <f t="shared" si="102"/>
        <v/>
      </c>
      <c r="CG92" s="381" t="str">
        <f t="shared" si="94"/>
        <v/>
      </c>
      <c r="CH92" s="381" t="str">
        <f t="shared" si="68"/>
        <v/>
      </c>
      <c r="CI92" s="381" t="str">
        <f t="shared" si="69"/>
        <v/>
      </c>
      <c r="CJ92" s="381" t="str">
        <f t="shared" si="109"/>
        <v/>
      </c>
      <c r="CK92" s="381" t="str">
        <f t="shared" si="59"/>
        <v/>
      </c>
      <c r="CL92" s="971"/>
      <c r="CM92" s="387"/>
      <c r="CN92" s="381" t="str">
        <f t="shared" ref="CN92:CN110" si="116">IF(AND($C92&lt;&gt;0,$AN92=""),"* No olvide escribir en la celda de 'Gestantes' (Digite CERO si no tiene). ","")</f>
        <v/>
      </c>
      <c r="CO92" s="381" t="str">
        <f t="shared" ref="CO92:CO110" si="117">IF(AND($C92&lt;&gt;0,$AO92=""),"* No olvide escribir en la celda de 'Madres de Hijos menor de 5 años' (Digite CERO si no tiene). ","")</f>
        <v/>
      </c>
      <c r="CP92" s="387"/>
      <c r="CQ92" s="381" t="str">
        <f t="shared" si="103"/>
        <v/>
      </c>
      <c r="CR92" s="381" t="str">
        <f t="shared" si="104"/>
        <v/>
      </c>
      <c r="CS92" s="381" t="str">
        <f t="shared" si="74"/>
        <v/>
      </c>
      <c r="CT92" s="381" t="str">
        <f t="shared" si="75"/>
        <v/>
      </c>
      <c r="CU92" s="381" t="str">
        <f t="shared" si="110"/>
        <v/>
      </c>
      <c r="CV92" s="381" t="str">
        <f t="shared" si="77"/>
        <v/>
      </c>
      <c r="CW92" s="491"/>
      <c r="CX92" s="491"/>
      <c r="CY92" s="492"/>
      <c r="CZ92" s="492"/>
      <c r="DA92" s="391">
        <f t="shared" ref="DA92:DA110" si="118">IF($AN92&gt;$E92,1,0)</f>
        <v>0</v>
      </c>
      <c r="DB92" s="391">
        <f t="shared" ref="DB92:DB110" si="119">IF($AO92&gt;$E92,1,0)</f>
        <v>0</v>
      </c>
      <c r="DC92" s="391">
        <f t="shared" si="105"/>
        <v>0</v>
      </c>
      <c r="DD92" s="391">
        <f t="shared" si="97"/>
        <v>0</v>
      </c>
      <c r="DE92" s="391">
        <f t="shared" si="106"/>
        <v>0</v>
      </c>
      <c r="DF92" s="391">
        <f t="shared" si="98"/>
        <v>0</v>
      </c>
      <c r="DG92" s="391">
        <f t="shared" si="81"/>
        <v>0</v>
      </c>
      <c r="DH92" s="391">
        <f t="shared" si="82"/>
        <v>0</v>
      </c>
      <c r="DI92" s="391">
        <f t="shared" si="111"/>
        <v>0</v>
      </c>
      <c r="DJ92" s="391">
        <f t="shared" si="60"/>
        <v>0</v>
      </c>
      <c r="DK92" s="385"/>
      <c r="DL92" s="391">
        <f t="shared" ref="DL92:DL110" si="120">IF(AND($C92&lt;&gt;0,$AN92=""),1,0)</f>
        <v>0</v>
      </c>
      <c r="DM92" s="391">
        <f t="shared" ref="DM92:DM110" si="121">IF(AND($C92&lt;&gt;0,$AO92=""),1,0)</f>
        <v>0</v>
      </c>
      <c r="DN92" s="385"/>
      <c r="DO92" s="391">
        <f t="shared" si="107"/>
        <v>0</v>
      </c>
      <c r="DP92" s="391">
        <f t="shared" si="108"/>
        <v>0</v>
      </c>
      <c r="DQ92" s="391">
        <f t="shared" si="88"/>
        <v>0</v>
      </c>
      <c r="DR92" s="391">
        <f t="shared" si="89"/>
        <v>0</v>
      </c>
      <c r="DS92" s="391">
        <f t="shared" si="112"/>
        <v>0</v>
      </c>
      <c r="DT92" s="391">
        <f t="shared" si="91"/>
        <v>0</v>
      </c>
    </row>
    <row r="93" spans="1:124" s="146" customFormat="1" ht="18" customHeight="1" x14ac:dyDescent="0.25">
      <c r="A93" s="1982"/>
      <c r="B93" s="1430" t="s">
        <v>702</v>
      </c>
      <c r="C93" s="1000">
        <f t="shared" si="99"/>
        <v>0</v>
      </c>
      <c r="D93" s="1001">
        <f t="shared" si="113"/>
        <v>0</v>
      </c>
      <c r="E93" s="1002">
        <f t="shared" si="113"/>
        <v>0</v>
      </c>
      <c r="F93" s="735"/>
      <c r="G93" s="736"/>
      <c r="H93" s="735"/>
      <c r="I93" s="736"/>
      <c r="J93" s="735"/>
      <c r="K93" s="736"/>
      <c r="L93" s="735"/>
      <c r="M93" s="736"/>
      <c r="N93" s="735"/>
      <c r="O93" s="813"/>
      <c r="P93" s="735"/>
      <c r="Q93" s="813"/>
      <c r="R93" s="735"/>
      <c r="S93" s="813"/>
      <c r="T93" s="735"/>
      <c r="U93" s="813"/>
      <c r="V93" s="735"/>
      <c r="W93" s="813"/>
      <c r="X93" s="735"/>
      <c r="Y93" s="813"/>
      <c r="Z93" s="735"/>
      <c r="AA93" s="813"/>
      <c r="AB93" s="735"/>
      <c r="AC93" s="813"/>
      <c r="AD93" s="735"/>
      <c r="AE93" s="813"/>
      <c r="AF93" s="735"/>
      <c r="AG93" s="813"/>
      <c r="AH93" s="735"/>
      <c r="AI93" s="813"/>
      <c r="AJ93" s="735"/>
      <c r="AK93" s="813"/>
      <c r="AL93" s="735"/>
      <c r="AM93" s="744"/>
      <c r="AN93" s="804"/>
      <c r="AO93" s="1153"/>
      <c r="AP93" s="1153"/>
      <c r="AQ93" s="1153"/>
      <c r="AR93" s="813"/>
      <c r="AS93" s="736"/>
      <c r="AT93" s="736"/>
      <c r="AU93" s="736"/>
      <c r="AV93" s="736"/>
      <c r="AW93" s="736"/>
      <c r="AX93" s="736"/>
      <c r="AY93" s="1688" t="str">
        <f t="shared" si="64"/>
        <v/>
      </c>
      <c r="AZ93" s="186"/>
      <c r="BA93" s="186"/>
      <c r="BB93" s="186"/>
      <c r="CB93" s="381" t="str">
        <f t="shared" si="114"/>
        <v/>
      </c>
      <c r="CC93" s="381" t="str">
        <f t="shared" si="115"/>
        <v/>
      </c>
      <c r="CD93" s="381" t="str">
        <f t="shared" si="101"/>
        <v/>
      </c>
      <c r="CE93" s="381" t="str">
        <f t="shared" si="93"/>
        <v/>
      </c>
      <c r="CF93" s="381" t="str">
        <f t="shared" si="102"/>
        <v/>
      </c>
      <c r="CG93" s="381" t="str">
        <f t="shared" si="94"/>
        <v/>
      </c>
      <c r="CH93" s="381" t="str">
        <f t="shared" si="68"/>
        <v/>
      </c>
      <c r="CI93" s="381" t="str">
        <f t="shared" si="69"/>
        <v/>
      </c>
      <c r="CJ93" s="381" t="str">
        <f t="shared" si="109"/>
        <v/>
      </c>
      <c r="CK93" s="381" t="str">
        <f t="shared" si="59"/>
        <v/>
      </c>
      <c r="CL93" s="971"/>
      <c r="CM93" s="387"/>
      <c r="CN93" s="381" t="str">
        <f t="shared" si="116"/>
        <v/>
      </c>
      <c r="CO93" s="381" t="str">
        <f t="shared" si="117"/>
        <v/>
      </c>
      <c r="CP93" s="387"/>
      <c r="CQ93" s="381" t="str">
        <f t="shared" si="103"/>
        <v/>
      </c>
      <c r="CR93" s="381" t="str">
        <f t="shared" si="104"/>
        <v/>
      </c>
      <c r="CS93" s="381" t="str">
        <f t="shared" si="74"/>
        <v/>
      </c>
      <c r="CT93" s="381" t="str">
        <f t="shared" si="75"/>
        <v/>
      </c>
      <c r="CU93" s="381" t="str">
        <f t="shared" si="110"/>
        <v/>
      </c>
      <c r="CV93" s="381" t="str">
        <f t="shared" si="77"/>
        <v/>
      </c>
      <c r="CW93" s="491"/>
      <c r="CX93" s="491"/>
      <c r="CY93" s="492"/>
      <c r="CZ93" s="492"/>
      <c r="DA93" s="391">
        <f t="shared" si="118"/>
        <v>0</v>
      </c>
      <c r="DB93" s="391">
        <f t="shared" si="119"/>
        <v>0</v>
      </c>
      <c r="DC93" s="391">
        <f t="shared" si="105"/>
        <v>0</v>
      </c>
      <c r="DD93" s="391">
        <f t="shared" si="97"/>
        <v>0</v>
      </c>
      <c r="DE93" s="391">
        <f t="shared" si="106"/>
        <v>0</v>
      </c>
      <c r="DF93" s="391">
        <f t="shared" si="98"/>
        <v>0</v>
      </c>
      <c r="DG93" s="391">
        <f t="shared" si="81"/>
        <v>0</v>
      </c>
      <c r="DH93" s="391">
        <f t="shared" si="82"/>
        <v>0</v>
      </c>
      <c r="DI93" s="391">
        <f t="shared" si="111"/>
        <v>0</v>
      </c>
      <c r="DJ93" s="391">
        <f t="shared" si="60"/>
        <v>0</v>
      </c>
      <c r="DK93" s="385"/>
      <c r="DL93" s="391">
        <f t="shared" si="120"/>
        <v>0</v>
      </c>
      <c r="DM93" s="391">
        <f t="shared" si="121"/>
        <v>0</v>
      </c>
      <c r="DN93" s="385"/>
      <c r="DO93" s="391">
        <f t="shared" si="107"/>
        <v>0</v>
      </c>
      <c r="DP93" s="391">
        <f t="shared" si="108"/>
        <v>0</v>
      </c>
      <c r="DQ93" s="391">
        <f t="shared" si="88"/>
        <v>0</v>
      </c>
      <c r="DR93" s="391">
        <f t="shared" si="89"/>
        <v>0</v>
      </c>
      <c r="DS93" s="391">
        <f t="shared" si="112"/>
        <v>0</v>
      </c>
      <c r="DT93" s="391">
        <f t="shared" si="91"/>
        <v>0</v>
      </c>
    </row>
    <row r="94" spans="1:124" ht="18" customHeight="1" x14ac:dyDescent="0.25">
      <c r="A94" s="1982"/>
      <c r="B94" s="403" t="s">
        <v>554</v>
      </c>
      <c r="C94" s="1000">
        <f t="shared" si="99"/>
        <v>0</v>
      </c>
      <c r="D94" s="1001">
        <f t="shared" si="113"/>
        <v>0</v>
      </c>
      <c r="E94" s="1002">
        <f t="shared" si="113"/>
        <v>0</v>
      </c>
      <c r="F94" s="735"/>
      <c r="G94" s="736"/>
      <c r="H94" s="735"/>
      <c r="I94" s="736"/>
      <c r="J94" s="735"/>
      <c r="K94" s="736"/>
      <c r="L94" s="735"/>
      <c r="M94" s="736"/>
      <c r="N94" s="735"/>
      <c r="O94" s="813"/>
      <c r="P94" s="735"/>
      <c r="Q94" s="813"/>
      <c r="R94" s="735"/>
      <c r="S94" s="813"/>
      <c r="T94" s="735"/>
      <c r="U94" s="813"/>
      <c r="V94" s="735"/>
      <c r="W94" s="813"/>
      <c r="X94" s="735"/>
      <c r="Y94" s="813"/>
      <c r="Z94" s="735"/>
      <c r="AA94" s="813"/>
      <c r="AB94" s="735"/>
      <c r="AC94" s="813"/>
      <c r="AD94" s="735"/>
      <c r="AE94" s="813"/>
      <c r="AF94" s="735"/>
      <c r="AG94" s="813"/>
      <c r="AH94" s="735"/>
      <c r="AI94" s="813"/>
      <c r="AJ94" s="735"/>
      <c r="AK94" s="813"/>
      <c r="AL94" s="735"/>
      <c r="AM94" s="744"/>
      <c r="AN94" s="804"/>
      <c r="AO94" s="1153"/>
      <c r="AP94" s="1153"/>
      <c r="AQ94" s="1153"/>
      <c r="AR94" s="813"/>
      <c r="AS94" s="736"/>
      <c r="AT94" s="736"/>
      <c r="AU94" s="736"/>
      <c r="AV94" s="736"/>
      <c r="AW94" s="736"/>
      <c r="AX94" s="736"/>
      <c r="AY94" s="1688" t="str">
        <f t="shared" si="64"/>
        <v/>
      </c>
      <c r="BC94" s="180"/>
      <c r="CB94" s="381" t="str">
        <f t="shared" si="114"/>
        <v/>
      </c>
      <c r="CC94" s="381" t="str">
        <f t="shared" si="115"/>
        <v/>
      </c>
      <c r="CD94" s="381" t="str">
        <f t="shared" si="101"/>
        <v/>
      </c>
      <c r="CE94" s="381" t="str">
        <f t="shared" si="93"/>
        <v/>
      </c>
      <c r="CF94" s="381" t="str">
        <f t="shared" si="102"/>
        <v/>
      </c>
      <c r="CG94" s="381" t="str">
        <f t="shared" si="94"/>
        <v/>
      </c>
      <c r="CH94" s="381" t="str">
        <f t="shared" si="68"/>
        <v/>
      </c>
      <c r="CI94" s="381" t="str">
        <f t="shared" si="69"/>
        <v/>
      </c>
      <c r="CJ94" s="381" t="str">
        <f t="shared" si="109"/>
        <v/>
      </c>
      <c r="CK94" s="381" t="str">
        <f t="shared" si="59"/>
        <v/>
      </c>
      <c r="CL94" s="971"/>
      <c r="CN94" s="381" t="str">
        <f t="shared" si="116"/>
        <v/>
      </c>
      <c r="CO94" s="381" t="str">
        <f t="shared" si="117"/>
        <v/>
      </c>
      <c r="CQ94" s="381" t="str">
        <f t="shared" si="103"/>
        <v/>
      </c>
      <c r="CR94" s="381" t="str">
        <f t="shared" si="104"/>
        <v/>
      </c>
      <c r="CS94" s="381" t="str">
        <f t="shared" si="74"/>
        <v/>
      </c>
      <c r="CT94" s="381" t="str">
        <f t="shared" si="75"/>
        <v/>
      </c>
      <c r="CU94" s="381" t="str">
        <f t="shared" si="110"/>
        <v/>
      </c>
      <c r="CV94" s="381" t="str">
        <f t="shared" si="77"/>
        <v/>
      </c>
      <c r="CY94" s="385"/>
      <c r="CZ94" s="385"/>
      <c r="DA94" s="391">
        <f t="shared" si="118"/>
        <v>0</v>
      </c>
      <c r="DB94" s="391">
        <f t="shared" si="119"/>
        <v>0</v>
      </c>
      <c r="DC94" s="391">
        <f t="shared" si="105"/>
        <v>0</v>
      </c>
      <c r="DD94" s="391">
        <f t="shared" si="97"/>
        <v>0</v>
      </c>
      <c r="DE94" s="391">
        <f t="shared" si="106"/>
        <v>0</v>
      </c>
      <c r="DF94" s="391">
        <f t="shared" si="98"/>
        <v>0</v>
      </c>
      <c r="DG94" s="391">
        <f t="shared" si="81"/>
        <v>0</v>
      </c>
      <c r="DH94" s="391">
        <f t="shared" si="82"/>
        <v>0</v>
      </c>
      <c r="DI94" s="391">
        <f t="shared" si="111"/>
        <v>0</v>
      </c>
      <c r="DJ94" s="391">
        <f t="shared" si="60"/>
        <v>0</v>
      </c>
      <c r="DK94" s="385"/>
      <c r="DL94" s="391">
        <f t="shared" si="120"/>
        <v>0</v>
      </c>
      <c r="DM94" s="391">
        <f t="shared" si="121"/>
        <v>0</v>
      </c>
      <c r="DN94" s="385"/>
      <c r="DO94" s="391">
        <f t="shared" si="107"/>
        <v>0</v>
      </c>
      <c r="DP94" s="391">
        <f t="shared" si="108"/>
        <v>0</v>
      </c>
      <c r="DQ94" s="391">
        <f t="shared" si="88"/>
        <v>0</v>
      </c>
      <c r="DR94" s="391">
        <f t="shared" si="89"/>
        <v>0</v>
      </c>
      <c r="DS94" s="391">
        <f t="shared" si="112"/>
        <v>0</v>
      </c>
      <c r="DT94" s="391">
        <f t="shared" si="91"/>
        <v>0</v>
      </c>
    </row>
    <row r="95" spans="1:124" ht="18" customHeight="1" x14ac:dyDescent="0.25">
      <c r="A95" s="1982"/>
      <c r="B95" s="403" t="s">
        <v>555</v>
      </c>
      <c r="C95" s="997">
        <f t="shared" si="99"/>
        <v>0</v>
      </c>
      <c r="D95" s="998">
        <f t="shared" si="113"/>
        <v>0</v>
      </c>
      <c r="E95" s="999">
        <f t="shared" si="113"/>
        <v>0</v>
      </c>
      <c r="F95" s="735"/>
      <c r="G95" s="736"/>
      <c r="H95" s="735"/>
      <c r="I95" s="736"/>
      <c r="J95" s="735"/>
      <c r="K95" s="736"/>
      <c r="L95" s="735"/>
      <c r="M95" s="736"/>
      <c r="N95" s="735"/>
      <c r="O95" s="813"/>
      <c r="P95" s="735"/>
      <c r="Q95" s="813"/>
      <c r="R95" s="735"/>
      <c r="S95" s="813"/>
      <c r="T95" s="735"/>
      <c r="U95" s="813"/>
      <c r="V95" s="735"/>
      <c r="W95" s="813"/>
      <c r="X95" s="735"/>
      <c r="Y95" s="813"/>
      <c r="Z95" s="735"/>
      <c r="AA95" s="813"/>
      <c r="AB95" s="735"/>
      <c r="AC95" s="813"/>
      <c r="AD95" s="735"/>
      <c r="AE95" s="813"/>
      <c r="AF95" s="735"/>
      <c r="AG95" s="813"/>
      <c r="AH95" s="735"/>
      <c r="AI95" s="813"/>
      <c r="AJ95" s="735"/>
      <c r="AK95" s="813"/>
      <c r="AL95" s="735"/>
      <c r="AM95" s="744"/>
      <c r="AN95" s="804"/>
      <c r="AO95" s="1153"/>
      <c r="AP95" s="1153"/>
      <c r="AQ95" s="1153"/>
      <c r="AR95" s="813"/>
      <c r="AS95" s="736"/>
      <c r="AT95" s="736"/>
      <c r="AU95" s="736"/>
      <c r="AV95" s="736"/>
      <c r="AW95" s="736"/>
      <c r="AX95" s="736"/>
      <c r="AY95" s="1688" t="str">
        <f t="shared" si="64"/>
        <v/>
      </c>
      <c r="BC95" s="180"/>
      <c r="CB95" s="381" t="str">
        <f t="shared" si="114"/>
        <v/>
      </c>
      <c r="CC95" s="381" t="str">
        <f t="shared" si="115"/>
        <v/>
      </c>
      <c r="CD95" s="381" t="str">
        <f t="shared" si="101"/>
        <v/>
      </c>
      <c r="CE95" s="381" t="str">
        <f t="shared" si="93"/>
        <v/>
      </c>
      <c r="CF95" s="381" t="str">
        <f t="shared" si="102"/>
        <v/>
      </c>
      <c r="CG95" s="381" t="str">
        <f t="shared" si="94"/>
        <v/>
      </c>
      <c r="CH95" s="381" t="str">
        <f t="shared" si="68"/>
        <v/>
      </c>
      <c r="CI95" s="381" t="str">
        <f t="shared" si="69"/>
        <v/>
      </c>
      <c r="CJ95" s="381" t="str">
        <f t="shared" si="109"/>
        <v/>
      </c>
      <c r="CK95" s="381" t="str">
        <f t="shared" si="59"/>
        <v/>
      </c>
      <c r="CL95" s="971"/>
      <c r="CN95" s="381" t="str">
        <f t="shared" si="116"/>
        <v/>
      </c>
      <c r="CO95" s="381" t="str">
        <f t="shared" si="117"/>
        <v/>
      </c>
      <c r="CQ95" s="381" t="str">
        <f t="shared" si="103"/>
        <v/>
      </c>
      <c r="CR95" s="381" t="str">
        <f t="shared" si="104"/>
        <v/>
      </c>
      <c r="CS95" s="381" t="str">
        <f t="shared" si="74"/>
        <v/>
      </c>
      <c r="CT95" s="381" t="str">
        <f t="shared" si="75"/>
        <v/>
      </c>
      <c r="CU95" s="381" t="str">
        <f t="shared" si="110"/>
        <v/>
      </c>
      <c r="CV95" s="381" t="str">
        <f t="shared" si="77"/>
        <v/>
      </c>
      <c r="CY95" s="385"/>
      <c r="CZ95" s="385"/>
      <c r="DA95" s="391">
        <f t="shared" si="118"/>
        <v>0</v>
      </c>
      <c r="DB95" s="391">
        <f t="shared" si="119"/>
        <v>0</v>
      </c>
      <c r="DC95" s="391">
        <f t="shared" si="105"/>
        <v>0</v>
      </c>
      <c r="DD95" s="391">
        <f t="shared" si="97"/>
        <v>0</v>
      </c>
      <c r="DE95" s="391">
        <f t="shared" si="106"/>
        <v>0</v>
      </c>
      <c r="DF95" s="391">
        <f t="shared" si="98"/>
        <v>0</v>
      </c>
      <c r="DG95" s="391">
        <f t="shared" si="81"/>
        <v>0</v>
      </c>
      <c r="DH95" s="391">
        <f t="shared" si="82"/>
        <v>0</v>
      </c>
      <c r="DI95" s="391">
        <f t="shared" si="111"/>
        <v>0</v>
      </c>
      <c r="DJ95" s="391">
        <f t="shared" si="60"/>
        <v>0</v>
      </c>
      <c r="DK95" s="385"/>
      <c r="DL95" s="391">
        <f t="shared" si="120"/>
        <v>0</v>
      </c>
      <c r="DM95" s="391">
        <f t="shared" si="121"/>
        <v>0</v>
      </c>
      <c r="DN95" s="385"/>
      <c r="DO95" s="391">
        <f t="shared" si="107"/>
        <v>0</v>
      </c>
      <c r="DP95" s="391">
        <f t="shared" si="108"/>
        <v>0</v>
      </c>
      <c r="DQ95" s="391">
        <f t="shared" si="88"/>
        <v>0</v>
      </c>
      <c r="DR95" s="391">
        <f t="shared" si="89"/>
        <v>0</v>
      </c>
      <c r="DS95" s="391">
        <f t="shared" si="112"/>
        <v>0</v>
      </c>
      <c r="DT95" s="391">
        <f t="shared" si="91"/>
        <v>0</v>
      </c>
    </row>
    <row r="96" spans="1:124" ht="18" customHeight="1" x14ac:dyDescent="0.25">
      <c r="A96" s="1737"/>
      <c r="B96" s="1006" t="s">
        <v>556</v>
      </c>
      <c r="C96" s="1021">
        <f t="shared" si="99"/>
        <v>0</v>
      </c>
      <c r="D96" s="1022">
        <f t="shared" si="113"/>
        <v>0</v>
      </c>
      <c r="E96" s="1023">
        <f t="shared" si="113"/>
        <v>0</v>
      </c>
      <c r="F96" s="740"/>
      <c r="G96" s="741"/>
      <c r="H96" s="740"/>
      <c r="I96" s="741"/>
      <c r="J96" s="740"/>
      <c r="K96" s="741"/>
      <c r="L96" s="740"/>
      <c r="M96" s="741"/>
      <c r="N96" s="740"/>
      <c r="O96" s="812"/>
      <c r="P96" s="740"/>
      <c r="Q96" s="812"/>
      <c r="R96" s="740"/>
      <c r="S96" s="812"/>
      <c r="T96" s="740"/>
      <c r="U96" s="812"/>
      <c r="V96" s="740"/>
      <c r="W96" s="812"/>
      <c r="X96" s="740"/>
      <c r="Y96" s="812"/>
      <c r="Z96" s="740"/>
      <c r="AA96" s="812"/>
      <c r="AB96" s="740"/>
      <c r="AC96" s="812"/>
      <c r="AD96" s="740"/>
      <c r="AE96" s="812"/>
      <c r="AF96" s="740"/>
      <c r="AG96" s="812"/>
      <c r="AH96" s="740"/>
      <c r="AI96" s="812"/>
      <c r="AJ96" s="740"/>
      <c r="AK96" s="812"/>
      <c r="AL96" s="740"/>
      <c r="AM96" s="771"/>
      <c r="AN96" s="1154"/>
      <c r="AO96" s="1155"/>
      <c r="AP96" s="1155"/>
      <c r="AQ96" s="1155"/>
      <c r="AR96" s="812"/>
      <c r="AS96" s="741"/>
      <c r="AT96" s="741"/>
      <c r="AU96" s="741"/>
      <c r="AV96" s="741"/>
      <c r="AW96" s="741"/>
      <c r="AX96" s="741"/>
      <c r="AY96" s="1688" t="str">
        <f t="shared" si="64"/>
        <v/>
      </c>
      <c r="BC96" s="180"/>
      <c r="CB96" s="381" t="str">
        <f t="shared" si="114"/>
        <v/>
      </c>
      <c r="CC96" s="381" t="str">
        <f t="shared" si="115"/>
        <v/>
      </c>
      <c r="CD96" s="381" t="str">
        <f t="shared" si="101"/>
        <v/>
      </c>
      <c r="CE96" s="381" t="str">
        <f t="shared" si="93"/>
        <v/>
      </c>
      <c r="CF96" s="381" t="str">
        <f t="shared" si="102"/>
        <v/>
      </c>
      <c r="CG96" s="381" t="str">
        <f t="shared" si="94"/>
        <v/>
      </c>
      <c r="CH96" s="381" t="str">
        <f t="shared" si="68"/>
        <v/>
      </c>
      <c r="CI96" s="381" t="str">
        <f t="shared" si="69"/>
        <v/>
      </c>
      <c r="CJ96" s="381" t="str">
        <f t="shared" si="109"/>
        <v/>
      </c>
      <c r="CK96" s="381" t="str">
        <f t="shared" si="59"/>
        <v/>
      </c>
      <c r="CL96" s="971"/>
      <c r="CN96" s="381" t="str">
        <f t="shared" si="116"/>
        <v/>
      </c>
      <c r="CO96" s="381" t="str">
        <f t="shared" si="117"/>
        <v/>
      </c>
      <c r="CQ96" s="381" t="str">
        <f t="shared" si="103"/>
        <v/>
      </c>
      <c r="CR96" s="381" t="str">
        <f t="shared" si="104"/>
        <v/>
      </c>
      <c r="CS96" s="381" t="str">
        <f t="shared" si="74"/>
        <v/>
      </c>
      <c r="CT96" s="381" t="str">
        <f t="shared" si="75"/>
        <v/>
      </c>
      <c r="CU96" s="381" t="str">
        <f t="shared" si="110"/>
        <v/>
      </c>
      <c r="CV96" s="381" t="str">
        <f t="shared" si="77"/>
        <v/>
      </c>
      <c r="CY96" s="385"/>
      <c r="CZ96" s="385"/>
      <c r="DA96" s="391">
        <f t="shared" si="118"/>
        <v>0</v>
      </c>
      <c r="DB96" s="391">
        <f t="shared" si="119"/>
        <v>0</v>
      </c>
      <c r="DC96" s="391">
        <f t="shared" si="105"/>
        <v>0</v>
      </c>
      <c r="DD96" s="391">
        <f t="shared" si="97"/>
        <v>0</v>
      </c>
      <c r="DE96" s="391">
        <f t="shared" si="106"/>
        <v>0</v>
      </c>
      <c r="DF96" s="391">
        <f t="shared" si="98"/>
        <v>0</v>
      </c>
      <c r="DG96" s="391">
        <f t="shared" si="81"/>
        <v>0</v>
      </c>
      <c r="DH96" s="391">
        <f t="shared" si="82"/>
        <v>0</v>
      </c>
      <c r="DI96" s="391">
        <f t="shared" si="111"/>
        <v>0</v>
      </c>
      <c r="DJ96" s="391">
        <f t="shared" si="60"/>
        <v>0</v>
      </c>
      <c r="DK96" s="385"/>
      <c r="DL96" s="391">
        <f t="shared" si="120"/>
        <v>0</v>
      </c>
      <c r="DM96" s="391">
        <f t="shared" si="121"/>
        <v>0</v>
      </c>
      <c r="DN96" s="385"/>
      <c r="DO96" s="391">
        <f t="shared" si="107"/>
        <v>0</v>
      </c>
      <c r="DP96" s="391">
        <f t="shared" si="108"/>
        <v>0</v>
      </c>
      <c r="DQ96" s="391">
        <f t="shared" si="88"/>
        <v>0</v>
      </c>
      <c r="DR96" s="391">
        <f t="shared" si="89"/>
        <v>0</v>
      </c>
      <c r="DS96" s="391">
        <f t="shared" si="112"/>
        <v>0</v>
      </c>
      <c r="DT96" s="391">
        <f t="shared" si="91"/>
        <v>0</v>
      </c>
    </row>
    <row r="97" spans="1:124" ht="17.45" customHeight="1" x14ac:dyDescent="0.25">
      <c r="A97" s="2108" t="s">
        <v>561</v>
      </c>
      <c r="B97" s="187" t="s">
        <v>112</v>
      </c>
      <c r="C97" s="722">
        <f t="shared" ref="C97:C111" si="122">SUM(D97:E97)</f>
        <v>0</v>
      </c>
      <c r="D97" s="723">
        <f t="shared" ref="D97:D109" si="123">+F97+H97+J97+L97+N97+P97+R97+T97+V97+X97+Z97+AB97+AD97+AF97+AH97+AJ97+AL97</f>
        <v>0</v>
      </c>
      <c r="E97" s="913">
        <f>+G97+I97+K97+M97+O97+Q97+S97+U97+W97+Y97+AA97+AC97+AE97+AG97+AI97+AK97+AM97</f>
        <v>0</v>
      </c>
      <c r="F97" s="755"/>
      <c r="G97" s="756"/>
      <c r="H97" s="755"/>
      <c r="I97" s="756"/>
      <c r="J97" s="755"/>
      <c r="K97" s="756"/>
      <c r="L97" s="755"/>
      <c r="M97" s="756"/>
      <c r="N97" s="755"/>
      <c r="O97" s="756"/>
      <c r="P97" s="755"/>
      <c r="Q97" s="756"/>
      <c r="R97" s="755"/>
      <c r="S97" s="756"/>
      <c r="T97" s="755"/>
      <c r="U97" s="756"/>
      <c r="V97" s="755"/>
      <c r="W97" s="756"/>
      <c r="X97" s="755"/>
      <c r="Y97" s="756"/>
      <c r="Z97" s="755"/>
      <c r="AA97" s="756"/>
      <c r="AB97" s="755"/>
      <c r="AC97" s="756"/>
      <c r="AD97" s="755"/>
      <c r="AE97" s="756"/>
      <c r="AF97" s="755"/>
      <c r="AG97" s="756"/>
      <c r="AH97" s="755"/>
      <c r="AI97" s="756"/>
      <c r="AJ97" s="755"/>
      <c r="AK97" s="756"/>
      <c r="AL97" s="755"/>
      <c r="AM97" s="756"/>
      <c r="AN97" s="1536"/>
      <c r="AO97" s="1537"/>
      <c r="AP97" s="1159"/>
      <c r="AQ97" s="1159"/>
      <c r="AR97" s="816"/>
      <c r="AS97" s="756"/>
      <c r="AT97" s="756"/>
      <c r="AU97" s="756"/>
      <c r="AV97" s="756"/>
      <c r="AW97" s="756"/>
      <c r="AX97" s="756"/>
      <c r="AY97" s="1688" t="str">
        <f t="shared" si="64"/>
        <v/>
      </c>
      <c r="BC97" s="180"/>
      <c r="CB97" s="381" t="str">
        <f t="shared" si="114"/>
        <v/>
      </c>
      <c r="CC97" s="381" t="str">
        <f t="shared" si="115"/>
        <v/>
      </c>
      <c r="CD97" s="381" t="str">
        <f t="shared" si="101"/>
        <v/>
      </c>
      <c r="CE97" s="381" t="str">
        <f t="shared" si="93"/>
        <v/>
      </c>
      <c r="CF97" s="381" t="str">
        <f t="shared" si="102"/>
        <v/>
      </c>
      <c r="CG97" s="381" t="str">
        <f t="shared" si="94"/>
        <v/>
      </c>
      <c r="CH97" s="381" t="str">
        <f t="shared" si="68"/>
        <v/>
      </c>
      <c r="CI97" s="381" t="str">
        <f t="shared" si="69"/>
        <v/>
      </c>
      <c r="CJ97" s="381"/>
      <c r="CK97" s="381" t="str">
        <f t="shared" si="59"/>
        <v/>
      </c>
      <c r="CL97" s="971"/>
      <c r="CN97" s="381"/>
      <c r="CO97" s="381"/>
      <c r="CQ97" s="381"/>
      <c r="CR97" s="381"/>
      <c r="CS97" s="381" t="str">
        <f t="shared" si="74"/>
        <v/>
      </c>
      <c r="CT97" s="381" t="str">
        <f t="shared" si="75"/>
        <v/>
      </c>
      <c r="CU97" s="381"/>
      <c r="CV97" s="381" t="str">
        <f t="shared" si="77"/>
        <v/>
      </c>
      <c r="CY97" s="385"/>
      <c r="CZ97" s="385"/>
      <c r="DA97" s="391">
        <f t="shared" si="118"/>
        <v>0</v>
      </c>
      <c r="DB97" s="391">
        <f t="shared" si="119"/>
        <v>0</v>
      </c>
      <c r="DC97" s="391">
        <f t="shared" si="105"/>
        <v>0</v>
      </c>
      <c r="DD97" s="391">
        <f t="shared" si="97"/>
        <v>0</v>
      </c>
      <c r="DE97" s="391">
        <f t="shared" si="106"/>
        <v>0</v>
      </c>
      <c r="DF97" s="391">
        <f t="shared" si="98"/>
        <v>0</v>
      </c>
      <c r="DG97" s="391">
        <f t="shared" si="81"/>
        <v>0</v>
      </c>
      <c r="DH97" s="391">
        <f t="shared" si="82"/>
        <v>0</v>
      </c>
      <c r="DI97" s="391">
        <f t="shared" si="111"/>
        <v>0</v>
      </c>
      <c r="DJ97" s="391">
        <f t="shared" si="60"/>
        <v>0</v>
      </c>
      <c r="DK97" s="385"/>
      <c r="DL97" s="391"/>
      <c r="DM97" s="391"/>
      <c r="DN97" s="385"/>
      <c r="DO97" s="391">
        <f t="shared" si="107"/>
        <v>0</v>
      </c>
      <c r="DP97" s="391">
        <f t="shared" si="108"/>
        <v>0</v>
      </c>
      <c r="DQ97" s="391">
        <f t="shared" si="88"/>
        <v>0</v>
      </c>
      <c r="DR97" s="391">
        <f t="shared" si="89"/>
        <v>0</v>
      </c>
      <c r="DS97" s="391">
        <f t="shared" si="112"/>
        <v>0</v>
      </c>
      <c r="DT97" s="391">
        <f t="shared" si="91"/>
        <v>0</v>
      </c>
    </row>
    <row r="98" spans="1:124" ht="17.45" customHeight="1" x14ac:dyDescent="0.25">
      <c r="A98" s="1982"/>
      <c r="B98" s="188" t="s">
        <v>113</v>
      </c>
      <c r="C98" s="722">
        <f t="shared" si="122"/>
        <v>0</v>
      </c>
      <c r="D98" s="723">
        <f t="shared" si="123"/>
        <v>0</v>
      </c>
      <c r="E98" s="913">
        <f t="shared" ref="E98:E109" si="124">+G98+I98+K98+M98+O98+Q98+S98+U98+W98+Y98+AA98+AC98+AE98+AG98+AI98+AK98+AM98</f>
        <v>0</v>
      </c>
      <c r="F98" s="735"/>
      <c r="G98" s="736"/>
      <c r="H98" s="735"/>
      <c r="I98" s="736"/>
      <c r="J98" s="735"/>
      <c r="K98" s="736"/>
      <c r="L98" s="735"/>
      <c r="M98" s="736"/>
      <c r="N98" s="735"/>
      <c r="O98" s="736"/>
      <c r="P98" s="735"/>
      <c r="Q98" s="736"/>
      <c r="R98" s="735"/>
      <c r="S98" s="736"/>
      <c r="T98" s="735"/>
      <c r="U98" s="736"/>
      <c r="V98" s="735"/>
      <c r="W98" s="736"/>
      <c r="X98" s="735"/>
      <c r="Y98" s="736"/>
      <c r="Z98" s="735"/>
      <c r="AA98" s="736"/>
      <c r="AB98" s="735"/>
      <c r="AC98" s="736"/>
      <c r="AD98" s="735"/>
      <c r="AE98" s="736"/>
      <c r="AF98" s="735"/>
      <c r="AG98" s="736"/>
      <c r="AH98" s="735"/>
      <c r="AI98" s="736"/>
      <c r="AJ98" s="735"/>
      <c r="AK98" s="736"/>
      <c r="AL98" s="735"/>
      <c r="AM98" s="736"/>
      <c r="AN98" s="1530"/>
      <c r="AO98" s="1531"/>
      <c r="AP98" s="1153"/>
      <c r="AQ98" s="1153"/>
      <c r="AR98" s="813"/>
      <c r="AS98" s="736"/>
      <c r="AT98" s="736"/>
      <c r="AU98" s="736"/>
      <c r="AV98" s="736"/>
      <c r="AW98" s="736"/>
      <c r="AX98" s="736"/>
      <c r="AY98" s="1688" t="str">
        <f t="shared" si="64"/>
        <v/>
      </c>
      <c r="BC98" s="180"/>
      <c r="CB98" s="381" t="str">
        <f t="shared" si="114"/>
        <v/>
      </c>
      <c r="CC98" s="381" t="str">
        <f t="shared" si="115"/>
        <v/>
      </c>
      <c r="CD98" s="381" t="str">
        <f t="shared" si="101"/>
        <v/>
      </c>
      <c r="CE98" s="381" t="str">
        <f t="shared" si="93"/>
        <v/>
      </c>
      <c r="CF98" s="381" t="str">
        <f t="shared" si="102"/>
        <v/>
      </c>
      <c r="CG98" s="381" t="str">
        <f t="shared" si="94"/>
        <v/>
      </c>
      <c r="CH98" s="381" t="str">
        <f t="shared" si="68"/>
        <v/>
      </c>
      <c r="CI98" s="381" t="str">
        <f t="shared" si="69"/>
        <v/>
      </c>
      <c r="CJ98" s="381" t="str">
        <f>IF($AV98&gt;$C98,"* La celda 'Plan Cuidado Integral Elaborado' debe ser menor o igual al Total de Personas en control. ","")</f>
        <v/>
      </c>
      <c r="CK98" s="381" t="str">
        <f t="shared" si="59"/>
        <v/>
      </c>
      <c r="CL98" s="971"/>
      <c r="CN98" s="381"/>
      <c r="CO98" s="381"/>
      <c r="CQ98" s="381"/>
      <c r="CR98" s="381"/>
      <c r="CS98" s="381" t="str">
        <f t="shared" si="74"/>
        <v/>
      </c>
      <c r="CT98" s="381" t="str">
        <f t="shared" si="75"/>
        <v/>
      </c>
      <c r="CU98" s="381" t="str">
        <f>IF(AND($C98&lt;&gt;0,$AV98=""),"* No olvide escribir en las celdas de 'Plan Cuidado Integral Elaborado' (Digite CERO si no tiene). ","")</f>
        <v/>
      </c>
      <c r="CV98" s="381" t="str">
        <f t="shared" si="77"/>
        <v/>
      </c>
      <c r="CY98" s="385"/>
      <c r="CZ98" s="385"/>
      <c r="DA98" s="391">
        <f t="shared" si="118"/>
        <v>0</v>
      </c>
      <c r="DB98" s="391">
        <f t="shared" si="119"/>
        <v>0</v>
      </c>
      <c r="DC98" s="391">
        <f t="shared" si="105"/>
        <v>0</v>
      </c>
      <c r="DD98" s="391">
        <f t="shared" si="97"/>
        <v>0</v>
      </c>
      <c r="DE98" s="391">
        <f t="shared" si="106"/>
        <v>0</v>
      </c>
      <c r="DF98" s="391">
        <f t="shared" si="98"/>
        <v>0</v>
      </c>
      <c r="DG98" s="391">
        <f t="shared" si="81"/>
        <v>0</v>
      </c>
      <c r="DH98" s="391">
        <f t="shared" si="82"/>
        <v>0</v>
      </c>
      <c r="DI98" s="391">
        <f t="shared" si="111"/>
        <v>0</v>
      </c>
      <c r="DJ98" s="391">
        <f t="shared" si="60"/>
        <v>0</v>
      </c>
      <c r="DK98" s="385"/>
      <c r="DL98" s="391"/>
      <c r="DM98" s="391"/>
      <c r="DN98" s="385"/>
      <c r="DO98" s="391">
        <f t="shared" si="107"/>
        <v>0</v>
      </c>
      <c r="DP98" s="391">
        <f t="shared" si="108"/>
        <v>0</v>
      </c>
      <c r="DQ98" s="391">
        <f t="shared" si="88"/>
        <v>0</v>
      </c>
      <c r="DR98" s="391">
        <f t="shared" si="89"/>
        <v>0</v>
      </c>
      <c r="DS98" s="391">
        <f t="shared" si="112"/>
        <v>0</v>
      </c>
      <c r="DT98" s="391">
        <f t="shared" si="91"/>
        <v>0</v>
      </c>
    </row>
    <row r="99" spans="1:124" ht="17.45" customHeight="1" x14ac:dyDescent="0.25">
      <c r="A99" s="1737"/>
      <c r="B99" s="189" t="s">
        <v>399</v>
      </c>
      <c r="C99" s="745">
        <f t="shared" si="122"/>
        <v>0</v>
      </c>
      <c r="D99" s="923">
        <f t="shared" si="123"/>
        <v>0</v>
      </c>
      <c r="E99" s="924">
        <f t="shared" si="124"/>
        <v>0</v>
      </c>
      <c r="F99" s="740"/>
      <c r="G99" s="741"/>
      <c r="H99" s="740"/>
      <c r="I99" s="741"/>
      <c r="J99" s="740"/>
      <c r="K99" s="741"/>
      <c r="L99" s="740"/>
      <c r="M99" s="741"/>
      <c r="N99" s="740"/>
      <c r="O99" s="741"/>
      <c r="P99" s="740"/>
      <c r="Q99" s="741"/>
      <c r="R99" s="740"/>
      <c r="S99" s="741"/>
      <c r="T99" s="740"/>
      <c r="U99" s="741"/>
      <c r="V99" s="740"/>
      <c r="W99" s="741"/>
      <c r="X99" s="740"/>
      <c r="Y99" s="741"/>
      <c r="Z99" s="740"/>
      <c r="AA99" s="741"/>
      <c r="AB99" s="740"/>
      <c r="AC99" s="741"/>
      <c r="AD99" s="740"/>
      <c r="AE99" s="741"/>
      <c r="AF99" s="740"/>
      <c r="AG99" s="741"/>
      <c r="AH99" s="740"/>
      <c r="AI99" s="741"/>
      <c r="AJ99" s="740"/>
      <c r="AK99" s="741"/>
      <c r="AL99" s="740"/>
      <c r="AM99" s="741"/>
      <c r="AN99" s="1538"/>
      <c r="AO99" s="1539"/>
      <c r="AP99" s="1155"/>
      <c r="AQ99" s="1155"/>
      <c r="AR99" s="812"/>
      <c r="AS99" s="741"/>
      <c r="AT99" s="741"/>
      <c r="AU99" s="741"/>
      <c r="AV99" s="741"/>
      <c r="AW99" s="741"/>
      <c r="AX99" s="741"/>
      <c r="AY99" s="1688" t="str">
        <f t="shared" si="64"/>
        <v/>
      </c>
      <c r="BC99" s="180"/>
      <c r="CB99" s="381" t="str">
        <f t="shared" si="114"/>
        <v/>
      </c>
      <c r="CC99" s="381" t="str">
        <f t="shared" si="115"/>
        <v/>
      </c>
      <c r="CD99" s="381" t="str">
        <f t="shared" si="101"/>
        <v/>
      </c>
      <c r="CE99" s="381" t="str">
        <f t="shared" si="93"/>
        <v/>
      </c>
      <c r="CF99" s="381" t="str">
        <f t="shared" si="102"/>
        <v/>
      </c>
      <c r="CG99" s="381" t="str">
        <f t="shared" si="94"/>
        <v/>
      </c>
      <c r="CH99" s="381" t="str">
        <f t="shared" si="68"/>
        <v/>
      </c>
      <c r="CI99" s="381" t="str">
        <f t="shared" si="69"/>
        <v/>
      </c>
      <c r="CJ99" s="381" t="str">
        <f>IF($AV99&gt;$C99,"* La celda 'Plan Cuidado Integral Elaborado' debe ser menor o igual al Total de Personas en control. ","")</f>
        <v/>
      </c>
      <c r="CK99" s="381" t="str">
        <f t="shared" si="59"/>
        <v/>
      </c>
      <c r="CL99" s="971"/>
      <c r="CN99" s="381"/>
      <c r="CO99" s="381"/>
      <c r="CQ99" s="381"/>
      <c r="CR99" s="381"/>
      <c r="CS99" s="381" t="str">
        <f t="shared" si="74"/>
        <v/>
      </c>
      <c r="CT99" s="381" t="str">
        <f t="shared" si="75"/>
        <v/>
      </c>
      <c r="CU99" s="381" t="str">
        <f>IF(AND($C99&lt;&gt;0,$AV99=""),"* No olvide escribir en las celdas de 'Plan Cuidado Integral Elaborado' (Digite CERO si no tiene). ","")</f>
        <v/>
      </c>
      <c r="CV99" s="381" t="str">
        <f t="shared" si="77"/>
        <v/>
      </c>
      <c r="CY99" s="385"/>
      <c r="CZ99" s="385"/>
      <c r="DA99" s="391">
        <f t="shared" si="118"/>
        <v>0</v>
      </c>
      <c r="DB99" s="391">
        <f t="shared" si="119"/>
        <v>0</v>
      </c>
      <c r="DC99" s="391">
        <f t="shared" si="105"/>
        <v>0</v>
      </c>
      <c r="DD99" s="391">
        <f t="shared" si="97"/>
        <v>0</v>
      </c>
      <c r="DE99" s="391">
        <f t="shared" si="106"/>
        <v>0</v>
      </c>
      <c r="DF99" s="391">
        <f t="shared" si="98"/>
        <v>0</v>
      </c>
      <c r="DG99" s="391">
        <f t="shared" si="81"/>
        <v>0</v>
      </c>
      <c r="DH99" s="391">
        <f t="shared" si="82"/>
        <v>0</v>
      </c>
      <c r="DI99" s="391">
        <f t="shared" si="111"/>
        <v>0</v>
      </c>
      <c r="DJ99" s="391">
        <f t="shared" si="60"/>
        <v>0</v>
      </c>
      <c r="DK99" s="385"/>
      <c r="DL99" s="391"/>
      <c r="DM99" s="391"/>
      <c r="DN99" s="385"/>
      <c r="DO99" s="391">
        <f t="shared" si="107"/>
        <v>0</v>
      </c>
      <c r="DP99" s="391">
        <f t="shared" si="108"/>
        <v>0</v>
      </c>
      <c r="DQ99" s="391">
        <f t="shared" si="88"/>
        <v>0</v>
      </c>
      <c r="DR99" s="391">
        <f t="shared" si="89"/>
        <v>0</v>
      </c>
      <c r="DS99" s="391">
        <f t="shared" si="112"/>
        <v>0</v>
      </c>
      <c r="DT99" s="391">
        <f t="shared" si="91"/>
        <v>0</v>
      </c>
    </row>
    <row r="100" spans="1:124" ht="19.899999999999999" customHeight="1" x14ac:dyDescent="0.25">
      <c r="A100" s="2194" t="s">
        <v>850</v>
      </c>
      <c r="B100" s="2195"/>
      <c r="C100" s="734">
        <f t="shared" ref="C100" si="125">SUM(D100:E100)</f>
        <v>0</v>
      </c>
      <c r="D100" s="734">
        <f t="shared" ref="D100" si="126">+F100+H100+J100+L100+N100+P100+R100+T100+V100+X100+Z100+AB100+AD100+AF100+AH100+AJ100+AL100</f>
        <v>0</v>
      </c>
      <c r="E100" s="734">
        <f t="shared" ref="E100" si="127">+G100+I100+K100+M100+O100+Q100+S100+U100+W100+Y100+AA100+AC100+AE100+AG100+AI100+AK100+AM100</f>
        <v>0</v>
      </c>
      <c r="F100" s="755"/>
      <c r="G100" s="756"/>
      <c r="H100" s="755"/>
      <c r="I100" s="756"/>
      <c r="J100" s="755"/>
      <c r="K100" s="756"/>
      <c r="L100" s="755"/>
      <c r="M100" s="756"/>
      <c r="N100" s="755"/>
      <c r="O100" s="756"/>
      <c r="P100" s="755"/>
      <c r="Q100" s="756"/>
      <c r="R100" s="755"/>
      <c r="S100" s="756"/>
      <c r="T100" s="755"/>
      <c r="U100" s="756"/>
      <c r="V100" s="755"/>
      <c r="W100" s="756"/>
      <c r="X100" s="755"/>
      <c r="Y100" s="756"/>
      <c r="Z100" s="755"/>
      <c r="AA100" s="756"/>
      <c r="AB100" s="755"/>
      <c r="AC100" s="756"/>
      <c r="AD100" s="755"/>
      <c r="AE100" s="756"/>
      <c r="AF100" s="755"/>
      <c r="AG100" s="756"/>
      <c r="AH100" s="755"/>
      <c r="AI100" s="756"/>
      <c r="AJ100" s="755"/>
      <c r="AK100" s="756"/>
      <c r="AL100" s="755"/>
      <c r="AM100" s="756"/>
      <c r="AN100" s="803"/>
      <c r="AO100" s="1159"/>
      <c r="AP100" s="1159"/>
      <c r="AQ100" s="1159"/>
      <c r="AR100" s="816"/>
      <c r="AS100" s="756"/>
      <c r="AT100" s="756"/>
      <c r="AU100" s="756"/>
      <c r="AV100" s="756"/>
      <c r="AW100" s="756"/>
      <c r="AX100" s="756"/>
      <c r="AY100" s="1688" t="str">
        <f t="shared" si="64"/>
        <v/>
      </c>
      <c r="BC100" s="180"/>
      <c r="CB100" s="381"/>
      <c r="CC100" s="381"/>
      <c r="CD100" s="381"/>
      <c r="CE100" s="381"/>
      <c r="CF100" s="381"/>
      <c r="CG100" s="381"/>
      <c r="CH100" s="381" t="str">
        <f t="shared" si="68"/>
        <v/>
      </c>
      <c r="CI100" s="381" t="str">
        <f t="shared" si="69"/>
        <v/>
      </c>
      <c r="CJ100" s="381"/>
      <c r="CK100" s="381" t="str">
        <f t="shared" si="59"/>
        <v/>
      </c>
      <c r="CL100" s="971"/>
      <c r="CN100" s="381"/>
      <c r="CO100" s="381"/>
      <c r="CQ100" s="381"/>
      <c r="CR100" s="381"/>
      <c r="CS100" s="381" t="str">
        <f t="shared" si="74"/>
        <v/>
      </c>
      <c r="CT100" s="381" t="str">
        <f t="shared" si="75"/>
        <v/>
      </c>
      <c r="CU100" s="381"/>
      <c r="CV100" s="381" t="str">
        <f t="shared" si="77"/>
        <v/>
      </c>
      <c r="CY100" s="385"/>
      <c r="CZ100" s="385"/>
      <c r="DA100" s="391"/>
      <c r="DB100" s="391"/>
      <c r="DC100" s="391"/>
      <c r="DD100" s="391"/>
      <c r="DE100" s="391"/>
      <c r="DF100" s="391"/>
      <c r="DG100" s="391">
        <f t="shared" si="81"/>
        <v>0</v>
      </c>
      <c r="DH100" s="391">
        <f t="shared" si="82"/>
        <v>0</v>
      </c>
      <c r="DI100" s="391"/>
      <c r="DJ100" s="391">
        <f t="shared" si="60"/>
        <v>0</v>
      </c>
      <c r="DK100" s="385"/>
      <c r="DL100" s="391"/>
      <c r="DM100" s="391"/>
      <c r="DN100" s="385"/>
      <c r="DO100" s="391"/>
      <c r="DP100" s="391"/>
      <c r="DQ100" s="391">
        <f t="shared" si="88"/>
        <v>0</v>
      </c>
      <c r="DR100" s="391">
        <f t="shared" si="89"/>
        <v>0</v>
      </c>
      <c r="DS100" s="391"/>
      <c r="DT100" s="391">
        <f t="shared" si="91"/>
        <v>0</v>
      </c>
    </row>
    <row r="101" spans="1:124" ht="19.899999999999999" customHeight="1" x14ac:dyDescent="0.25">
      <c r="A101" s="1427" t="s">
        <v>703</v>
      </c>
      <c r="B101" s="1288"/>
      <c r="C101" s="723">
        <f t="shared" si="122"/>
        <v>0</v>
      </c>
      <c r="D101" s="723">
        <f t="shared" si="123"/>
        <v>0</v>
      </c>
      <c r="E101" s="913">
        <f t="shared" si="124"/>
        <v>0</v>
      </c>
      <c r="F101" s="755"/>
      <c r="G101" s="756"/>
      <c r="H101" s="755"/>
      <c r="I101" s="756"/>
      <c r="J101" s="755"/>
      <c r="K101" s="756"/>
      <c r="L101" s="755"/>
      <c r="M101" s="756"/>
      <c r="N101" s="755"/>
      <c r="O101" s="756"/>
      <c r="P101" s="755"/>
      <c r="Q101" s="756"/>
      <c r="R101" s="755"/>
      <c r="S101" s="756"/>
      <c r="T101" s="755"/>
      <c r="U101" s="756"/>
      <c r="V101" s="755"/>
      <c r="W101" s="756"/>
      <c r="X101" s="755"/>
      <c r="Y101" s="756"/>
      <c r="Z101" s="755"/>
      <c r="AA101" s="756"/>
      <c r="AB101" s="755"/>
      <c r="AC101" s="756"/>
      <c r="AD101" s="755"/>
      <c r="AE101" s="756"/>
      <c r="AF101" s="755"/>
      <c r="AG101" s="756"/>
      <c r="AH101" s="755"/>
      <c r="AI101" s="756"/>
      <c r="AJ101" s="755"/>
      <c r="AK101" s="756"/>
      <c r="AL101" s="755"/>
      <c r="AM101" s="756"/>
      <c r="AN101" s="803"/>
      <c r="AO101" s="1159"/>
      <c r="AP101" s="1159"/>
      <c r="AQ101" s="1159"/>
      <c r="AR101" s="816"/>
      <c r="AS101" s="756"/>
      <c r="AT101" s="756"/>
      <c r="AU101" s="756"/>
      <c r="AV101" s="756"/>
      <c r="AW101" s="756"/>
      <c r="AX101" s="756"/>
      <c r="AY101" s="1688" t="str">
        <f t="shared" si="64"/>
        <v/>
      </c>
      <c r="BC101" s="180"/>
      <c r="CB101" s="381"/>
      <c r="CC101" s="381"/>
      <c r="CD101" s="381"/>
      <c r="CE101" s="381"/>
      <c r="CF101" s="381"/>
      <c r="CG101" s="381"/>
      <c r="CH101" s="381" t="str">
        <f t="shared" si="68"/>
        <v/>
      </c>
      <c r="CI101" s="381" t="str">
        <f t="shared" si="69"/>
        <v/>
      </c>
      <c r="CJ101" s="381"/>
      <c r="CK101" s="381" t="str">
        <f t="shared" si="59"/>
        <v/>
      </c>
      <c r="CL101" s="971"/>
      <c r="CN101" s="381"/>
      <c r="CO101" s="381"/>
      <c r="CQ101" s="381"/>
      <c r="CR101" s="381"/>
      <c r="CS101" s="381" t="str">
        <f t="shared" si="74"/>
        <v/>
      </c>
      <c r="CT101" s="381" t="str">
        <f t="shared" si="75"/>
        <v/>
      </c>
      <c r="CU101" s="381"/>
      <c r="CV101" s="381" t="str">
        <f t="shared" si="77"/>
        <v/>
      </c>
      <c r="CY101" s="385"/>
      <c r="CZ101" s="385"/>
      <c r="DA101" s="391"/>
      <c r="DB101" s="391"/>
      <c r="DC101" s="391"/>
      <c r="DD101" s="391"/>
      <c r="DE101" s="391"/>
      <c r="DF101" s="391"/>
      <c r="DG101" s="391">
        <f t="shared" si="81"/>
        <v>0</v>
      </c>
      <c r="DH101" s="391">
        <f t="shared" si="82"/>
        <v>0</v>
      </c>
      <c r="DI101" s="391"/>
      <c r="DJ101" s="391">
        <f t="shared" si="60"/>
        <v>0</v>
      </c>
      <c r="DK101" s="385"/>
      <c r="DL101" s="391"/>
      <c r="DM101" s="391"/>
      <c r="DN101" s="385"/>
      <c r="DO101" s="391"/>
      <c r="DP101" s="391"/>
      <c r="DQ101" s="391">
        <f t="shared" si="88"/>
        <v>0</v>
      </c>
      <c r="DR101" s="391">
        <f t="shared" si="89"/>
        <v>0</v>
      </c>
      <c r="DS101" s="391"/>
      <c r="DT101" s="391">
        <f t="shared" si="91"/>
        <v>0</v>
      </c>
    </row>
    <row r="102" spans="1:124" ht="19.899999999999999" customHeight="1" x14ac:dyDescent="0.25">
      <c r="A102" s="2225" t="s">
        <v>227</v>
      </c>
      <c r="B102" s="2226"/>
      <c r="C102" s="734">
        <f t="shared" si="122"/>
        <v>0</v>
      </c>
      <c r="D102" s="734">
        <f t="shared" si="123"/>
        <v>0</v>
      </c>
      <c r="E102" s="917">
        <f t="shared" si="124"/>
        <v>0</v>
      </c>
      <c r="F102" s="735"/>
      <c r="G102" s="736"/>
      <c r="H102" s="735"/>
      <c r="I102" s="736"/>
      <c r="J102" s="735"/>
      <c r="K102" s="736"/>
      <c r="L102" s="735"/>
      <c r="M102" s="736"/>
      <c r="N102" s="735"/>
      <c r="O102" s="736"/>
      <c r="P102" s="735"/>
      <c r="Q102" s="736"/>
      <c r="R102" s="735"/>
      <c r="S102" s="736"/>
      <c r="T102" s="735"/>
      <c r="U102" s="736"/>
      <c r="V102" s="735"/>
      <c r="W102" s="736"/>
      <c r="X102" s="735"/>
      <c r="Y102" s="736"/>
      <c r="Z102" s="735"/>
      <c r="AA102" s="736"/>
      <c r="AB102" s="735"/>
      <c r="AC102" s="736"/>
      <c r="AD102" s="735"/>
      <c r="AE102" s="736"/>
      <c r="AF102" s="735"/>
      <c r="AG102" s="736"/>
      <c r="AH102" s="735"/>
      <c r="AI102" s="736"/>
      <c r="AJ102" s="735"/>
      <c r="AK102" s="736"/>
      <c r="AL102" s="735"/>
      <c r="AM102" s="736"/>
      <c r="AN102" s="804"/>
      <c r="AO102" s="1153"/>
      <c r="AP102" s="1153"/>
      <c r="AQ102" s="1153"/>
      <c r="AR102" s="813"/>
      <c r="AS102" s="736"/>
      <c r="AT102" s="736"/>
      <c r="AU102" s="736"/>
      <c r="AV102" s="736"/>
      <c r="AW102" s="736"/>
      <c r="AX102" s="736"/>
      <c r="AY102" s="1688" t="str">
        <f t="shared" si="64"/>
        <v/>
      </c>
      <c r="BC102" s="180"/>
      <c r="CB102" s="381" t="str">
        <f t="shared" si="114"/>
        <v/>
      </c>
      <c r="CC102" s="381" t="str">
        <f t="shared" si="115"/>
        <v/>
      </c>
      <c r="CD102" s="381" t="str">
        <f t="shared" si="101"/>
        <v/>
      </c>
      <c r="CE102" s="381" t="str">
        <f t="shared" si="93"/>
        <v/>
      </c>
      <c r="CF102" s="381" t="str">
        <f t="shared" si="102"/>
        <v/>
      </c>
      <c r="CG102" s="381" t="str">
        <f t="shared" si="94"/>
        <v/>
      </c>
      <c r="CH102" s="381" t="str">
        <f t="shared" si="68"/>
        <v/>
      </c>
      <c r="CI102" s="381" t="str">
        <f t="shared" si="69"/>
        <v/>
      </c>
      <c r="CJ102" s="381" t="str">
        <f>IF($AV102&gt;$C102,"* La celda 'Plan Cuidado Integral Elaborado' debe ser menor o igual al Total de Personas en control. ","")</f>
        <v/>
      </c>
      <c r="CK102" s="381" t="str">
        <f t="shared" si="59"/>
        <v/>
      </c>
      <c r="CL102" s="971"/>
      <c r="CN102" s="381" t="str">
        <f t="shared" si="116"/>
        <v/>
      </c>
      <c r="CO102" s="381" t="str">
        <f t="shared" si="117"/>
        <v/>
      </c>
      <c r="CQ102" s="381" t="str">
        <f t="shared" si="103"/>
        <v/>
      </c>
      <c r="CR102" s="381" t="str">
        <f t="shared" si="104"/>
        <v/>
      </c>
      <c r="CS102" s="381" t="str">
        <f t="shared" si="74"/>
        <v/>
      </c>
      <c r="CT102" s="381" t="str">
        <f t="shared" si="75"/>
        <v/>
      </c>
      <c r="CU102" s="381" t="str">
        <f>IF(AND($C102&lt;&gt;0,$AV102=""),"* No olvide escribir en las celdas de 'Plan Cuidado Integral Elaborado' (Digite CERO si no tiene). ","")</f>
        <v/>
      </c>
      <c r="CV102" s="381" t="str">
        <f t="shared" si="77"/>
        <v/>
      </c>
      <c r="CY102" s="385"/>
      <c r="CZ102" s="385"/>
      <c r="DA102" s="391">
        <f t="shared" si="118"/>
        <v>0</v>
      </c>
      <c r="DB102" s="391">
        <f t="shared" si="119"/>
        <v>0</v>
      </c>
      <c r="DC102" s="391">
        <f t="shared" si="105"/>
        <v>0</v>
      </c>
      <c r="DD102" s="391">
        <f t="shared" si="97"/>
        <v>0</v>
      </c>
      <c r="DE102" s="391">
        <f t="shared" si="106"/>
        <v>0</v>
      </c>
      <c r="DF102" s="391">
        <f t="shared" si="98"/>
        <v>0</v>
      </c>
      <c r="DG102" s="391">
        <f t="shared" si="81"/>
        <v>0</v>
      </c>
      <c r="DH102" s="391">
        <f t="shared" si="82"/>
        <v>0</v>
      </c>
      <c r="DI102" s="391">
        <f>IF($AV102&gt;$C102,1,0)</f>
        <v>0</v>
      </c>
      <c r="DJ102" s="391">
        <f t="shared" si="60"/>
        <v>0</v>
      </c>
      <c r="DK102" s="385"/>
      <c r="DL102" s="391">
        <f t="shared" si="120"/>
        <v>0</v>
      </c>
      <c r="DM102" s="391">
        <f t="shared" si="121"/>
        <v>0</v>
      </c>
      <c r="DN102" s="385"/>
      <c r="DO102" s="391">
        <f t="shared" si="107"/>
        <v>0</v>
      </c>
      <c r="DP102" s="391">
        <f t="shared" si="108"/>
        <v>0</v>
      </c>
      <c r="DQ102" s="391">
        <f t="shared" si="88"/>
        <v>0</v>
      </c>
      <c r="DR102" s="391">
        <f t="shared" si="89"/>
        <v>0</v>
      </c>
      <c r="DS102" s="391">
        <f>IF(AND($C102&lt;&gt;0,$AV102=""),1,0)</f>
        <v>0</v>
      </c>
      <c r="DT102" s="391">
        <f t="shared" si="91"/>
        <v>0</v>
      </c>
    </row>
    <row r="103" spans="1:124" ht="19.899999999999999" customHeight="1" x14ac:dyDescent="0.25">
      <c r="A103" s="2225" t="s">
        <v>228</v>
      </c>
      <c r="B103" s="2226"/>
      <c r="C103" s="734">
        <f t="shared" si="122"/>
        <v>0</v>
      </c>
      <c r="D103" s="734">
        <f t="shared" si="123"/>
        <v>0</v>
      </c>
      <c r="E103" s="917">
        <f t="shared" si="124"/>
        <v>0</v>
      </c>
      <c r="F103" s="735"/>
      <c r="G103" s="736"/>
      <c r="H103" s="735"/>
      <c r="I103" s="736"/>
      <c r="J103" s="735"/>
      <c r="K103" s="736"/>
      <c r="L103" s="735"/>
      <c r="M103" s="736"/>
      <c r="N103" s="735"/>
      <c r="O103" s="736"/>
      <c r="P103" s="735"/>
      <c r="Q103" s="736"/>
      <c r="R103" s="735"/>
      <c r="S103" s="736"/>
      <c r="T103" s="735"/>
      <c r="U103" s="736"/>
      <c r="V103" s="735"/>
      <c r="W103" s="736"/>
      <c r="X103" s="735"/>
      <c r="Y103" s="736"/>
      <c r="Z103" s="735"/>
      <c r="AA103" s="736"/>
      <c r="AB103" s="735"/>
      <c r="AC103" s="736"/>
      <c r="AD103" s="735"/>
      <c r="AE103" s="736"/>
      <c r="AF103" s="735"/>
      <c r="AG103" s="736"/>
      <c r="AH103" s="735"/>
      <c r="AI103" s="736"/>
      <c r="AJ103" s="735"/>
      <c r="AK103" s="736"/>
      <c r="AL103" s="735"/>
      <c r="AM103" s="736"/>
      <c r="AN103" s="804"/>
      <c r="AO103" s="1153"/>
      <c r="AP103" s="1153"/>
      <c r="AQ103" s="1153"/>
      <c r="AR103" s="813"/>
      <c r="AS103" s="736"/>
      <c r="AT103" s="736"/>
      <c r="AU103" s="736"/>
      <c r="AV103" s="736"/>
      <c r="AW103" s="736"/>
      <c r="AX103" s="736"/>
      <c r="AY103" s="1688" t="str">
        <f t="shared" si="64"/>
        <v/>
      </c>
      <c r="BC103" s="180"/>
      <c r="CB103" s="381" t="str">
        <f t="shared" si="114"/>
        <v/>
      </c>
      <c r="CC103" s="381" t="str">
        <f t="shared" si="115"/>
        <v/>
      </c>
      <c r="CD103" s="381" t="str">
        <f t="shared" si="101"/>
        <v/>
      </c>
      <c r="CE103" s="381" t="str">
        <f t="shared" si="93"/>
        <v/>
      </c>
      <c r="CF103" s="381" t="str">
        <f t="shared" si="102"/>
        <v/>
      </c>
      <c r="CG103" s="381" t="str">
        <f t="shared" si="94"/>
        <v/>
      </c>
      <c r="CH103" s="381" t="str">
        <f t="shared" si="68"/>
        <v/>
      </c>
      <c r="CI103" s="381" t="str">
        <f t="shared" si="69"/>
        <v/>
      </c>
      <c r="CJ103" s="381" t="str">
        <f>IF($AV103&gt;$C103,"* La celda 'Plan Cuidado Integral Elaborado' debe ser menor o igual al Total de Personas en control. ","")</f>
        <v/>
      </c>
      <c r="CK103" s="381" t="str">
        <f t="shared" si="59"/>
        <v/>
      </c>
      <c r="CL103" s="971"/>
      <c r="CN103" s="381" t="str">
        <f t="shared" si="116"/>
        <v/>
      </c>
      <c r="CO103" s="381" t="str">
        <f t="shared" si="117"/>
        <v/>
      </c>
      <c r="CQ103" s="381" t="str">
        <f t="shared" si="103"/>
        <v/>
      </c>
      <c r="CR103" s="381" t="str">
        <f t="shared" si="104"/>
        <v/>
      </c>
      <c r="CS103" s="381" t="str">
        <f t="shared" si="74"/>
        <v/>
      </c>
      <c r="CT103" s="381" t="str">
        <f t="shared" si="75"/>
        <v/>
      </c>
      <c r="CU103" s="381" t="str">
        <f>IF(AND($C103&lt;&gt;0,$AV103=""),"* No olvide escribir en las celdas de 'Plan Cuidado Integral Elaborado' (Digite CERO si no tiene). ","")</f>
        <v/>
      </c>
      <c r="CV103" s="381" t="str">
        <f t="shared" si="77"/>
        <v/>
      </c>
      <c r="CY103" s="385"/>
      <c r="CZ103" s="385"/>
      <c r="DA103" s="391">
        <f t="shared" si="118"/>
        <v>0</v>
      </c>
      <c r="DB103" s="391">
        <f t="shared" si="119"/>
        <v>0</v>
      </c>
      <c r="DC103" s="391">
        <f t="shared" si="105"/>
        <v>0</v>
      </c>
      <c r="DD103" s="391">
        <f t="shared" si="97"/>
        <v>0</v>
      </c>
      <c r="DE103" s="391">
        <f t="shared" si="106"/>
        <v>0</v>
      </c>
      <c r="DF103" s="391">
        <f t="shared" si="98"/>
        <v>0</v>
      </c>
      <c r="DG103" s="391">
        <f t="shared" si="81"/>
        <v>0</v>
      </c>
      <c r="DH103" s="391">
        <f t="shared" si="82"/>
        <v>0</v>
      </c>
      <c r="DI103" s="391">
        <f>IF($AV103&gt;$C103,1,0)</f>
        <v>0</v>
      </c>
      <c r="DJ103" s="391">
        <f t="shared" si="60"/>
        <v>0</v>
      </c>
      <c r="DK103" s="385"/>
      <c r="DL103" s="391">
        <f t="shared" si="120"/>
        <v>0</v>
      </c>
      <c r="DM103" s="391">
        <f t="shared" si="121"/>
        <v>0</v>
      </c>
      <c r="DN103" s="385"/>
      <c r="DO103" s="391">
        <f t="shared" si="107"/>
        <v>0</v>
      </c>
      <c r="DP103" s="391">
        <f t="shared" si="108"/>
        <v>0</v>
      </c>
      <c r="DQ103" s="391">
        <f t="shared" si="88"/>
        <v>0</v>
      </c>
      <c r="DR103" s="391">
        <f t="shared" si="89"/>
        <v>0</v>
      </c>
      <c r="DS103" s="391">
        <f>IF(AND($C103&lt;&gt;0,$AV103=""),1,0)</f>
        <v>0</v>
      </c>
      <c r="DT103" s="391">
        <f t="shared" si="91"/>
        <v>0</v>
      </c>
    </row>
    <row r="104" spans="1:124" ht="19.899999999999999" customHeight="1" x14ac:dyDescent="0.25">
      <c r="A104" s="2227" t="s">
        <v>229</v>
      </c>
      <c r="B104" s="2228"/>
      <c r="C104" s="719">
        <f t="shared" si="122"/>
        <v>0</v>
      </c>
      <c r="D104" s="728">
        <f t="shared" si="123"/>
        <v>0</v>
      </c>
      <c r="E104" s="914">
        <f t="shared" si="124"/>
        <v>0</v>
      </c>
      <c r="F104" s="740"/>
      <c r="G104" s="741"/>
      <c r="H104" s="740"/>
      <c r="I104" s="741"/>
      <c r="J104" s="740"/>
      <c r="K104" s="741"/>
      <c r="L104" s="740"/>
      <c r="M104" s="741"/>
      <c r="N104" s="740"/>
      <c r="O104" s="741"/>
      <c r="P104" s="740"/>
      <c r="Q104" s="741"/>
      <c r="R104" s="740"/>
      <c r="S104" s="741"/>
      <c r="T104" s="740"/>
      <c r="U104" s="741"/>
      <c r="V104" s="740"/>
      <c r="W104" s="741"/>
      <c r="X104" s="740"/>
      <c r="Y104" s="741"/>
      <c r="Z104" s="740"/>
      <c r="AA104" s="741"/>
      <c r="AB104" s="740"/>
      <c r="AC104" s="741"/>
      <c r="AD104" s="740"/>
      <c r="AE104" s="741"/>
      <c r="AF104" s="740"/>
      <c r="AG104" s="741"/>
      <c r="AH104" s="740"/>
      <c r="AI104" s="741"/>
      <c r="AJ104" s="740"/>
      <c r="AK104" s="741"/>
      <c r="AL104" s="740"/>
      <c r="AM104" s="741"/>
      <c r="AN104" s="1154"/>
      <c r="AO104" s="1155"/>
      <c r="AP104" s="1155"/>
      <c r="AQ104" s="1155"/>
      <c r="AR104" s="812"/>
      <c r="AS104" s="741"/>
      <c r="AT104" s="741"/>
      <c r="AU104" s="741"/>
      <c r="AV104" s="741"/>
      <c r="AW104" s="741"/>
      <c r="AX104" s="741"/>
      <c r="AY104" s="1688" t="str">
        <f t="shared" si="64"/>
        <v/>
      </c>
      <c r="BC104" s="180"/>
      <c r="CB104" s="381" t="str">
        <f t="shared" si="114"/>
        <v/>
      </c>
      <c r="CC104" s="381" t="str">
        <f t="shared" si="115"/>
        <v/>
      </c>
      <c r="CD104" s="381" t="str">
        <f t="shared" si="101"/>
        <v/>
      </c>
      <c r="CE104" s="381" t="str">
        <f t="shared" si="93"/>
        <v/>
      </c>
      <c r="CF104" s="381" t="str">
        <f t="shared" si="102"/>
        <v/>
      </c>
      <c r="CG104" s="381" t="str">
        <f t="shared" si="94"/>
        <v/>
      </c>
      <c r="CH104" s="381" t="str">
        <f t="shared" si="68"/>
        <v/>
      </c>
      <c r="CI104" s="381" t="str">
        <f t="shared" si="69"/>
        <v/>
      </c>
      <c r="CJ104" s="381" t="str">
        <f>IF($AV104&gt;$C104,"* La celda 'Plan Cuidado Integral Elaborado' debe ser menor o igual al Total de Personas en control. ","")</f>
        <v/>
      </c>
      <c r="CK104" s="381" t="str">
        <f t="shared" si="59"/>
        <v/>
      </c>
      <c r="CL104" s="971"/>
      <c r="CN104" s="381" t="str">
        <f t="shared" si="116"/>
        <v/>
      </c>
      <c r="CO104" s="381" t="str">
        <f t="shared" si="117"/>
        <v/>
      </c>
      <c r="CQ104" s="381" t="str">
        <f t="shared" si="103"/>
        <v/>
      </c>
      <c r="CR104" s="381" t="str">
        <f t="shared" si="104"/>
        <v/>
      </c>
      <c r="CS104" s="381" t="str">
        <f t="shared" si="74"/>
        <v/>
      </c>
      <c r="CT104" s="381" t="str">
        <f t="shared" si="75"/>
        <v/>
      </c>
      <c r="CU104" s="381" t="str">
        <f>IF(AND($C104&lt;&gt;0,$AV104=""),"* No olvide escribir en las celdas de 'Plan Cuidado Integral Elaborado' (Digite CERO si no tiene). ","")</f>
        <v/>
      </c>
      <c r="CV104" s="381" t="str">
        <f t="shared" si="77"/>
        <v/>
      </c>
      <c r="CY104" s="385"/>
      <c r="CZ104" s="385"/>
      <c r="DA104" s="391">
        <f t="shared" si="118"/>
        <v>0</v>
      </c>
      <c r="DB104" s="391">
        <f t="shared" si="119"/>
        <v>0</v>
      </c>
      <c r="DC104" s="391">
        <f t="shared" si="105"/>
        <v>0</v>
      </c>
      <c r="DD104" s="391">
        <f t="shared" si="97"/>
        <v>0</v>
      </c>
      <c r="DE104" s="391">
        <f t="shared" si="106"/>
        <v>0</v>
      </c>
      <c r="DF104" s="391">
        <f t="shared" si="98"/>
        <v>0</v>
      </c>
      <c r="DG104" s="391">
        <f t="shared" si="81"/>
        <v>0</v>
      </c>
      <c r="DH104" s="391">
        <f t="shared" si="82"/>
        <v>0</v>
      </c>
      <c r="DI104" s="391">
        <f>IF($AV104&gt;$C104,1,0)</f>
        <v>0</v>
      </c>
      <c r="DJ104" s="391">
        <f t="shared" si="60"/>
        <v>0</v>
      </c>
      <c r="DK104" s="385"/>
      <c r="DL104" s="391">
        <f t="shared" si="120"/>
        <v>0</v>
      </c>
      <c r="DM104" s="391">
        <f t="shared" si="121"/>
        <v>0</v>
      </c>
      <c r="DN104" s="385"/>
      <c r="DO104" s="391">
        <f t="shared" si="107"/>
        <v>0</v>
      </c>
      <c r="DP104" s="391">
        <f t="shared" si="108"/>
        <v>0</v>
      </c>
      <c r="DQ104" s="391">
        <f t="shared" si="88"/>
        <v>0</v>
      </c>
      <c r="DR104" s="391">
        <f t="shared" si="89"/>
        <v>0</v>
      </c>
      <c r="DS104" s="391">
        <f>IF(AND($C104&lt;&gt;0,$AV104=""),1,0)</f>
        <v>0</v>
      </c>
      <c r="DT104" s="391">
        <f t="shared" si="91"/>
        <v>0</v>
      </c>
    </row>
    <row r="105" spans="1:124" ht="15" customHeight="1" x14ac:dyDescent="0.25">
      <c r="A105" s="2232" t="s">
        <v>230</v>
      </c>
      <c r="B105" s="1248" t="s">
        <v>607</v>
      </c>
      <c r="C105" s="726">
        <f t="shared" ref="C105:C108" si="128">SUM(D105:E105)</f>
        <v>0</v>
      </c>
      <c r="D105" s="726">
        <f t="shared" ref="D105:D108" si="129">+F105+H105+J105+L105+N105+P105+R105+T105+V105+X105+Z105+AB105+AD105+AF105+AH105+AJ105+AL105</f>
        <v>0</v>
      </c>
      <c r="E105" s="996">
        <f t="shared" ref="E105:E108" si="130">+G105+I105+K105+M105+O105+Q105+S105+U105+W105+Y105+AA105+AC105+AE105+AG105+AI105+AK105+AM105</f>
        <v>0</v>
      </c>
      <c r="F105" s="755"/>
      <c r="G105" s="756"/>
      <c r="H105" s="755"/>
      <c r="I105" s="756"/>
      <c r="J105" s="755"/>
      <c r="K105" s="756"/>
      <c r="L105" s="755"/>
      <c r="M105" s="756"/>
      <c r="N105" s="755"/>
      <c r="O105" s="756"/>
      <c r="P105" s="755"/>
      <c r="Q105" s="756"/>
      <c r="R105" s="755"/>
      <c r="S105" s="756"/>
      <c r="T105" s="755"/>
      <c r="U105" s="756"/>
      <c r="V105" s="755"/>
      <c r="W105" s="756"/>
      <c r="X105" s="755"/>
      <c r="Y105" s="756"/>
      <c r="Z105" s="755"/>
      <c r="AA105" s="756"/>
      <c r="AB105" s="755"/>
      <c r="AC105" s="756"/>
      <c r="AD105" s="755"/>
      <c r="AE105" s="756"/>
      <c r="AF105" s="755"/>
      <c r="AG105" s="756"/>
      <c r="AH105" s="755"/>
      <c r="AI105" s="756"/>
      <c r="AJ105" s="755"/>
      <c r="AK105" s="756"/>
      <c r="AL105" s="755"/>
      <c r="AM105" s="756"/>
      <c r="AN105" s="803"/>
      <c r="AO105" s="1159"/>
      <c r="AP105" s="1159"/>
      <c r="AQ105" s="1159"/>
      <c r="AR105" s="816"/>
      <c r="AS105" s="756"/>
      <c r="AT105" s="756"/>
      <c r="AU105" s="756"/>
      <c r="AV105" s="756"/>
      <c r="AW105" s="756"/>
      <c r="AX105" s="756"/>
      <c r="AY105" s="1688" t="str">
        <f t="shared" si="64"/>
        <v/>
      </c>
      <c r="BC105" s="180"/>
      <c r="CB105" s="381"/>
      <c r="CC105" s="381"/>
      <c r="CD105" s="381"/>
      <c r="CE105" s="381"/>
      <c r="CF105" s="381"/>
      <c r="CG105" s="381"/>
      <c r="CH105" s="381" t="str">
        <f t="shared" si="68"/>
        <v/>
      </c>
      <c r="CI105" s="381" t="str">
        <f t="shared" si="69"/>
        <v/>
      </c>
      <c r="CJ105" s="381"/>
      <c r="CK105" s="381" t="str">
        <f t="shared" si="59"/>
        <v/>
      </c>
      <c r="CL105" s="971"/>
      <c r="CN105" s="381"/>
      <c r="CO105" s="381"/>
      <c r="CQ105" s="381"/>
      <c r="CR105" s="381"/>
      <c r="CS105" s="381" t="str">
        <f t="shared" si="74"/>
        <v/>
      </c>
      <c r="CT105" s="381" t="str">
        <f t="shared" si="75"/>
        <v/>
      </c>
      <c r="CU105" s="381"/>
      <c r="CV105" s="381" t="str">
        <f t="shared" si="77"/>
        <v/>
      </c>
      <c r="CY105" s="385"/>
      <c r="CZ105" s="385"/>
      <c r="DA105" s="391"/>
      <c r="DB105" s="391"/>
      <c r="DC105" s="391"/>
      <c r="DD105" s="391"/>
      <c r="DE105" s="391"/>
      <c r="DF105" s="391"/>
      <c r="DG105" s="391">
        <f t="shared" si="81"/>
        <v>0</v>
      </c>
      <c r="DH105" s="391">
        <f t="shared" si="82"/>
        <v>0</v>
      </c>
      <c r="DI105" s="391"/>
      <c r="DJ105" s="391">
        <f t="shared" si="60"/>
        <v>0</v>
      </c>
      <c r="DK105" s="385"/>
      <c r="DL105" s="391"/>
      <c r="DM105" s="391"/>
      <c r="DN105" s="385"/>
      <c r="DO105" s="391"/>
      <c r="DP105" s="391"/>
      <c r="DQ105" s="391">
        <f t="shared" si="88"/>
        <v>0</v>
      </c>
      <c r="DR105" s="391">
        <f t="shared" si="89"/>
        <v>0</v>
      </c>
      <c r="DS105" s="391"/>
      <c r="DT105" s="391">
        <f t="shared" si="91"/>
        <v>0</v>
      </c>
    </row>
    <row r="106" spans="1:124" ht="15" customHeight="1" x14ac:dyDescent="0.25">
      <c r="A106" s="2113"/>
      <c r="B106" s="1249" t="s">
        <v>608</v>
      </c>
      <c r="C106" s="738">
        <f t="shared" si="128"/>
        <v>0</v>
      </c>
      <c r="D106" s="738">
        <f t="shared" si="129"/>
        <v>0</v>
      </c>
      <c r="E106" s="920">
        <f t="shared" si="130"/>
        <v>0</v>
      </c>
      <c r="F106" s="735"/>
      <c r="G106" s="736"/>
      <c r="H106" s="735"/>
      <c r="I106" s="736"/>
      <c r="J106" s="735"/>
      <c r="K106" s="736"/>
      <c r="L106" s="735"/>
      <c r="M106" s="736"/>
      <c r="N106" s="735"/>
      <c r="O106" s="736"/>
      <c r="P106" s="735"/>
      <c r="Q106" s="736"/>
      <c r="R106" s="735"/>
      <c r="S106" s="736"/>
      <c r="T106" s="735"/>
      <c r="U106" s="736"/>
      <c r="V106" s="735"/>
      <c r="W106" s="736"/>
      <c r="X106" s="735"/>
      <c r="Y106" s="736"/>
      <c r="Z106" s="735"/>
      <c r="AA106" s="736"/>
      <c r="AB106" s="735"/>
      <c r="AC106" s="736"/>
      <c r="AD106" s="735"/>
      <c r="AE106" s="736"/>
      <c r="AF106" s="735"/>
      <c r="AG106" s="736"/>
      <c r="AH106" s="735"/>
      <c r="AI106" s="736"/>
      <c r="AJ106" s="735"/>
      <c r="AK106" s="736"/>
      <c r="AL106" s="735"/>
      <c r="AM106" s="736"/>
      <c r="AN106" s="804"/>
      <c r="AO106" s="1153"/>
      <c r="AP106" s="1153"/>
      <c r="AQ106" s="1153"/>
      <c r="AR106" s="813"/>
      <c r="AS106" s="736"/>
      <c r="AT106" s="736"/>
      <c r="AU106" s="736"/>
      <c r="AV106" s="736"/>
      <c r="AW106" s="736"/>
      <c r="AX106" s="736"/>
      <c r="AY106" s="1688" t="str">
        <f t="shared" si="64"/>
        <v/>
      </c>
      <c r="BC106" s="180"/>
      <c r="CB106" s="381"/>
      <c r="CC106" s="381"/>
      <c r="CD106" s="381"/>
      <c r="CE106" s="381"/>
      <c r="CF106" s="381"/>
      <c r="CG106" s="381"/>
      <c r="CH106" s="381" t="str">
        <f t="shared" si="68"/>
        <v/>
      </c>
      <c r="CI106" s="381" t="str">
        <f t="shared" si="69"/>
        <v/>
      </c>
      <c r="CJ106" s="381"/>
      <c r="CK106" s="381" t="str">
        <f t="shared" si="59"/>
        <v/>
      </c>
      <c r="CL106" s="971"/>
      <c r="CN106" s="381"/>
      <c r="CO106" s="381"/>
      <c r="CQ106" s="381"/>
      <c r="CR106" s="381"/>
      <c r="CS106" s="381" t="str">
        <f t="shared" si="74"/>
        <v/>
      </c>
      <c r="CT106" s="381" t="str">
        <f t="shared" si="75"/>
        <v/>
      </c>
      <c r="CU106" s="381"/>
      <c r="CV106" s="381" t="str">
        <f t="shared" si="77"/>
        <v/>
      </c>
      <c r="CY106" s="385"/>
      <c r="CZ106" s="385"/>
      <c r="DA106" s="391"/>
      <c r="DB106" s="391"/>
      <c r="DC106" s="391"/>
      <c r="DD106" s="391"/>
      <c r="DE106" s="391"/>
      <c r="DF106" s="391"/>
      <c r="DG106" s="391">
        <f t="shared" si="81"/>
        <v>0</v>
      </c>
      <c r="DH106" s="391">
        <f t="shared" si="82"/>
        <v>0</v>
      </c>
      <c r="DI106" s="391"/>
      <c r="DJ106" s="391">
        <f t="shared" si="60"/>
        <v>0</v>
      </c>
      <c r="DK106" s="385"/>
      <c r="DL106" s="391"/>
      <c r="DM106" s="391"/>
      <c r="DN106" s="385"/>
      <c r="DO106" s="391"/>
      <c r="DP106" s="391"/>
      <c r="DQ106" s="391">
        <f t="shared" si="88"/>
        <v>0</v>
      </c>
      <c r="DR106" s="391">
        <f t="shared" si="89"/>
        <v>0</v>
      </c>
      <c r="DS106" s="391"/>
      <c r="DT106" s="391">
        <f t="shared" si="91"/>
        <v>0</v>
      </c>
    </row>
    <row r="107" spans="1:124" ht="15" customHeight="1" x14ac:dyDescent="0.25">
      <c r="A107" s="2113"/>
      <c r="B107" s="1249" t="s">
        <v>609</v>
      </c>
      <c r="C107" s="738">
        <f t="shared" si="128"/>
        <v>0</v>
      </c>
      <c r="D107" s="738">
        <f t="shared" si="129"/>
        <v>0</v>
      </c>
      <c r="E107" s="920">
        <f t="shared" si="130"/>
        <v>0</v>
      </c>
      <c r="F107" s="735"/>
      <c r="G107" s="736"/>
      <c r="H107" s="735"/>
      <c r="I107" s="736"/>
      <c r="J107" s="735"/>
      <c r="K107" s="736"/>
      <c r="L107" s="735"/>
      <c r="M107" s="736"/>
      <c r="N107" s="735"/>
      <c r="O107" s="736"/>
      <c r="P107" s="735"/>
      <c r="Q107" s="736"/>
      <c r="R107" s="735"/>
      <c r="S107" s="736"/>
      <c r="T107" s="735"/>
      <c r="U107" s="736"/>
      <c r="V107" s="735"/>
      <c r="W107" s="736"/>
      <c r="X107" s="735"/>
      <c r="Y107" s="736"/>
      <c r="Z107" s="735"/>
      <c r="AA107" s="736"/>
      <c r="AB107" s="735"/>
      <c r="AC107" s="736"/>
      <c r="AD107" s="735"/>
      <c r="AE107" s="736"/>
      <c r="AF107" s="735"/>
      <c r="AG107" s="736"/>
      <c r="AH107" s="735"/>
      <c r="AI107" s="736"/>
      <c r="AJ107" s="735"/>
      <c r="AK107" s="736"/>
      <c r="AL107" s="735"/>
      <c r="AM107" s="736"/>
      <c r="AN107" s="804"/>
      <c r="AO107" s="1153"/>
      <c r="AP107" s="1153"/>
      <c r="AQ107" s="1153"/>
      <c r="AR107" s="813"/>
      <c r="AS107" s="736"/>
      <c r="AT107" s="736"/>
      <c r="AU107" s="736"/>
      <c r="AV107" s="736"/>
      <c r="AW107" s="736"/>
      <c r="AX107" s="736"/>
      <c r="AY107" s="1688" t="str">
        <f t="shared" si="64"/>
        <v/>
      </c>
      <c r="BC107" s="180"/>
      <c r="CB107" s="381"/>
      <c r="CC107" s="381"/>
      <c r="CD107" s="381"/>
      <c r="CE107" s="381"/>
      <c r="CF107" s="381"/>
      <c r="CG107" s="381"/>
      <c r="CH107" s="381" t="str">
        <f t="shared" si="68"/>
        <v/>
      </c>
      <c r="CI107" s="381" t="str">
        <f t="shared" si="69"/>
        <v/>
      </c>
      <c r="CJ107" s="381"/>
      <c r="CK107" s="381" t="str">
        <f t="shared" si="59"/>
        <v/>
      </c>
      <c r="CL107" s="971"/>
      <c r="CN107" s="381"/>
      <c r="CO107" s="381"/>
      <c r="CQ107" s="381"/>
      <c r="CR107" s="381"/>
      <c r="CS107" s="381" t="str">
        <f t="shared" si="74"/>
        <v/>
      </c>
      <c r="CT107" s="381" t="str">
        <f t="shared" si="75"/>
        <v/>
      </c>
      <c r="CU107" s="381"/>
      <c r="CV107" s="381" t="str">
        <f t="shared" si="77"/>
        <v/>
      </c>
      <c r="CY107" s="385"/>
      <c r="CZ107" s="385"/>
      <c r="DA107" s="391"/>
      <c r="DB107" s="391"/>
      <c r="DC107" s="391"/>
      <c r="DD107" s="391"/>
      <c r="DE107" s="391"/>
      <c r="DF107" s="391"/>
      <c r="DG107" s="391">
        <f t="shared" si="81"/>
        <v>0</v>
      </c>
      <c r="DH107" s="391">
        <f t="shared" si="82"/>
        <v>0</v>
      </c>
      <c r="DI107" s="391"/>
      <c r="DJ107" s="391">
        <f t="shared" si="60"/>
        <v>0</v>
      </c>
      <c r="DK107" s="385"/>
      <c r="DL107" s="391"/>
      <c r="DM107" s="391"/>
      <c r="DN107" s="385"/>
      <c r="DO107" s="391"/>
      <c r="DP107" s="391"/>
      <c r="DQ107" s="391">
        <f t="shared" si="88"/>
        <v>0</v>
      </c>
      <c r="DR107" s="391">
        <f t="shared" si="89"/>
        <v>0</v>
      </c>
      <c r="DS107" s="391"/>
      <c r="DT107" s="391">
        <f t="shared" si="91"/>
        <v>0</v>
      </c>
    </row>
    <row r="108" spans="1:124" ht="15" customHeight="1" x14ac:dyDescent="0.25">
      <c r="A108" s="2113"/>
      <c r="B108" s="1249" t="s">
        <v>610</v>
      </c>
      <c r="C108" s="738">
        <f t="shared" si="128"/>
        <v>0</v>
      </c>
      <c r="D108" s="738">
        <f t="shared" si="129"/>
        <v>0</v>
      </c>
      <c r="E108" s="920">
        <f t="shared" si="130"/>
        <v>0</v>
      </c>
      <c r="F108" s="735"/>
      <c r="G108" s="736"/>
      <c r="H108" s="735"/>
      <c r="I108" s="736"/>
      <c r="J108" s="735"/>
      <c r="K108" s="736"/>
      <c r="L108" s="735"/>
      <c r="M108" s="736"/>
      <c r="N108" s="735"/>
      <c r="O108" s="736"/>
      <c r="P108" s="735"/>
      <c r="Q108" s="736"/>
      <c r="R108" s="735"/>
      <c r="S108" s="736"/>
      <c r="T108" s="735"/>
      <c r="U108" s="736"/>
      <c r="V108" s="735"/>
      <c r="W108" s="736"/>
      <c r="X108" s="735"/>
      <c r="Y108" s="736"/>
      <c r="Z108" s="735"/>
      <c r="AA108" s="736"/>
      <c r="AB108" s="735"/>
      <c r="AC108" s="736"/>
      <c r="AD108" s="735"/>
      <c r="AE108" s="736"/>
      <c r="AF108" s="735"/>
      <c r="AG108" s="736"/>
      <c r="AH108" s="735"/>
      <c r="AI108" s="736"/>
      <c r="AJ108" s="735"/>
      <c r="AK108" s="736"/>
      <c r="AL108" s="735"/>
      <c r="AM108" s="736"/>
      <c r="AN108" s="804"/>
      <c r="AO108" s="1153"/>
      <c r="AP108" s="1153"/>
      <c r="AQ108" s="1153"/>
      <c r="AR108" s="813"/>
      <c r="AS108" s="736"/>
      <c r="AT108" s="736"/>
      <c r="AU108" s="736"/>
      <c r="AV108" s="736"/>
      <c r="AW108" s="736"/>
      <c r="AX108" s="736"/>
      <c r="AY108" s="1688" t="str">
        <f t="shared" si="64"/>
        <v/>
      </c>
      <c r="BC108" s="180"/>
      <c r="CB108" s="381"/>
      <c r="CC108" s="381"/>
      <c r="CD108" s="381"/>
      <c r="CE108" s="381"/>
      <c r="CF108" s="381"/>
      <c r="CG108" s="381"/>
      <c r="CH108" s="381" t="str">
        <f t="shared" si="68"/>
        <v/>
      </c>
      <c r="CI108" s="381" t="str">
        <f t="shared" si="69"/>
        <v/>
      </c>
      <c r="CJ108" s="381"/>
      <c r="CK108" s="381" t="str">
        <f t="shared" si="59"/>
        <v/>
      </c>
      <c r="CL108" s="971"/>
      <c r="CN108" s="381"/>
      <c r="CO108" s="381"/>
      <c r="CQ108" s="381"/>
      <c r="CR108" s="381"/>
      <c r="CS108" s="381" t="str">
        <f t="shared" si="74"/>
        <v/>
      </c>
      <c r="CT108" s="381" t="str">
        <f t="shared" si="75"/>
        <v/>
      </c>
      <c r="CU108" s="381"/>
      <c r="CV108" s="381" t="str">
        <f t="shared" si="77"/>
        <v/>
      </c>
      <c r="CY108" s="385"/>
      <c r="CZ108" s="385"/>
      <c r="DA108" s="391"/>
      <c r="DB108" s="391"/>
      <c r="DC108" s="391"/>
      <c r="DD108" s="391"/>
      <c r="DE108" s="391"/>
      <c r="DF108" s="391"/>
      <c r="DG108" s="391">
        <f t="shared" si="81"/>
        <v>0</v>
      </c>
      <c r="DH108" s="391">
        <f t="shared" si="82"/>
        <v>0</v>
      </c>
      <c r="DI108" s="391"/>
      <c r="DJ108" s="391">
        <f t="shared" si="60"/>
        <v>0</v>
      </c>
      <c r="DK108" s="385"/>
      <c r="DL108" s="391"/>
      <c r="DM108" s="391"/>
      <c r="DN108" s="385"/>
      <c r="DO108" s="391"/>
      <c r="DP108" s="391"/>
      <c r="DQ108" s="391">
        <f t="shared" si="88"/>
        <v>0</v>
      </c>
      <c r="DR108" s="391">
        <f t="shared" si="89"/>
        <v>0</v>
      </c>
      <c r="DS108" s="391"/>
      <c r="DT108" s="391">
        <f t="shared" si="91"/>
        <v>0</v>
      </c>
    </row>
    <row r="109" spans="1:124" ht="15" customHeight="1" x14ac:dyDescent="0.25">
      <c r="A109" s="1799"/>
      <c r="B109" s="1250" t="s">
        <v>611</v>
      </c>
      <c r="C109" s="719">
        <f t="shared" si="122"/>
        <v>0</v>
      </c>
      <c r="D109" s="728">
        <f t="shared" si="123"/>
        <v>0</v>
      </c>
      <c r="E109" s="914">
        <f t="shared" si="124"/>
        <v>0</v>
      </c>
      <c r="F109" s="740"/>
      <c r="G109" s="741"/>
      <c r="H109" s="740"/>
      <c r="I109" s="741"/>
      <c r="J109" s="740"/>
      <c r="K109" s="741"/>
      <c r="L109" s="740"/>
      <c r="M109" s="741"/>
      <c r="N109" s="740"/>
      <c r="O109" s="741"/>
      <c r="P109" s="740"/>
      <c r="Q109" s="741"/>
      <c r="R109" s="740"/>
      <c r="S109" s="741"/>
      <c r="T109" s="740"/>
      <c r="U109" s="741"/>
      <c r="V109" s="740"/>
      <c r="W109" s="741"/>
      <c r="X109" s="740"/>
      <c r="Y109" s="741"/>
      <c r="Z109" s="740"/>
      <c r="AA109" s="741"/>
      <c r="AB109" s="740"/>
      <c r="AC109" s="741"/>
      <c r="AD109" s="740"/>
      <c r="AE109" s="741"/>
      <c r="AF109" s="740"/>
      <c r="AG109" s="741"/>
      <c r="AH109" s="740"/>
      <c r="AI109" s="741"/>
      <c r="AJ109" s="740"/>
      <c r="AK109" s="741"/>
      <c r="AL109" s="740"/>
      <c r="AM109" s="741"/>
      <c r="AN109" s="1154"/>
      <c r="AO109" s="1155"/>
      <c r="AP109" s="1155"/>
      <c r="AQ109" s="1155"/>
      <c r="AR109" s="812"/>
      <c r="AS109" s="741"/>
      <c r="AT109" s="741"/>
      <c r="AU109" s="741"/>
      <c r="AV109" s="741"/>
      <c r="AW109" s="741"/>
      <c r="AX109" s="741"/>
      <c r="AY109" s="1688" t="str">
        <f t="shared" si="64"/>
        <v/>
      </c>
      <c r="BC109" s="180"/>
      <c r="CB109" s="381" t="str">
        <f t="shared" si="114"/>
        <v/>
      </c>
      <c r="CC109" s="381" t="str">
        <f t="shared" si="115"/>
        <v/>
      </c>
      <c r="CD109" s="381" t="str">
        <f t="shared" si="101"/>
        <v/>
      </c>
      <c r="CE109" s="381" t="str">
        <f t="shared" si="93"/>
        <v/>
      </c>
      <c r="CF109" s="381" t="str">
        <f t="shared" si="102"/>
        <v/>
      </c>
      <c r="CG109" s="381" t="str">
        <f t="shared" si="94"/>
        <v/>
      </c>
      <c r="CH109" s="381" t="str">
        <f t="shared" si="68"/>
        <v/>
      </c>
      <c r="CI109" s="381" t="str">
        <f t="shared" si="69"/>
        <v/>
      </c>
      <c r="CJ109" s="381" t="str">
        <f>IF($AV109&gt;$C109,"* La celda 'Plan Cuidado Integral Elaborado' debe ser menor o igual al Total de Personas en control. ","")</f>
        <v/>
      </c>
      <c r="CK109" s="381" t="str">
        <f t="shared" si="59"/>
        <v/>
      </c>
      <c r="CL109" s="971"/>
      <c r="CN109" s="381" t="str">
        <f t="shared" si="116"/>
        <v/>
      </c>
      <c r="CO109" s="381" t="str">
        <f t="shared" si="117"/>
        <v/>
      </c>
      <c r="CQ109" s="381" t="str">
        <f t="shared" si="103"/>
        <v/>
      </c>
      <c r="CR109" s="381" t="str">
        <f t="shared" si="104"/>
        <v/>
      </c>
      <c r="CS109" s="381" t="str">
        <f t="shared" si="74"/>
        <v/>
      </c>
      <c r="CT109" s="381" t="str">
        <f t="shared" si="75"/>
        <v/>
      </c>
      <c r="CU109" s="381" t="str">
        <f>IF(AND($C109&lt;&gt;0,$AV109=""),"* No olvide escribir en las celdas de 'Plan Cuidado Integral Elaborado' (Digite CERO si no tiene). ","")</f>
        <v/>
      </c>
      <c r="CV109" s="381" t="str">
        <f t="shared" si="77"/>
        <v/>
      </c>
      <c r="CY109" s="385"/>
      <c r="CZ109" s="385"/>
      <c r="DA109" s="391">
        <f t="shared" si="118"/>
        <v>0</v>
      </c>
      <c r="DB109" s="391">
        <f t="shared" si="119"/>
        <v>0</v>
      </c>
      <c r="DC109" s="391">
        <f t="shared" si="105"/>
        <v>0</v>
      </c>
      <c r="DD109" s="391">
        <f t="shared" si="97"/>
        <v>0</v>
      </c>
      <c r="DE109" s="391">
        <f t="shared" si="106"/>
        <v>0</v>
      </c>
      <c r="DF109" s="391">
        <f t="shared" si="98"/>
        <v>0</v>
      </c>
      <c r="DG109" s="391">
        <f t="shared" si="81"/>
        <v>0</v>
      </c>
      <c r="DH109" s="391">
        <f t="shared" si="82"/>
        <v>0</v>
      </c>
      <c r="DI109" s="391">
        <f>IF($AV109&gt;$C109,1,0)</f>
        <v>0</v>
      </c>
      <c r="DJ109" s="391">
        <f t="shared" si="60"/>
        <v>0</v>
      </c>
      <c r="DK109" s="385"/>
      <c r="DL109" s="391">
        <f t="shared" si="120"/>
        <v>0</v>
      </c>
      <c r="DM109" s="391">
        <f t="shared" si="121"/>
        <v>0</v>
      </c>
      <c r="DN109" s="385"/>
      <c r="DO109" s="391">
        <f t="shared" si="107"/>
        <v>0</v>
      </c>
      <c r="DP109" s="391">
        <f t="shared" si="108"/>
        <v>0</v>
      </c>
      <c r="DQ109" s="391">
        <f t="shared" si="88"/>
        <v>0</v>
      </c>
      <c r="DR109" s="391">
        <f t="shared" si="89"/>
        <v>0</v>
      </c>
      <c r="DS109" s="391">
        <f>IF(AND($C109&lt;&gt;0,$AV109=""),1,0)</f>
        <v>0</v>
      </c>
      <c r="DT109" s="391">
        <f t="shared" si="91"/>
        <v>0</v>
      </c>
    </row>
    <row r="110" spans="1:124" ht="13.15" customHeight="1" x14ac:dyDescent="0.25">
      <c r="A110" s="1109" t="s">
        <v>557</v>
      </c>
      <c r="B110" s="1007"/>
      <c r="C110" s="726">
        <f>SUM(D110+E110)</f>
        <v>0</v>
      </c>
      <c r="D110" s="726">
        <f>SUM(F110+H110+J110+L110+N110+P110+R110+T110+V110+X110+Z110+AB110+AD110+AF110+AH110+AJ110+AL110)</f>
        <v>0</v>
      </c>
      <c r="E110" s="996">
        <f>SUM(G110+I110+K110+M110+O110+Q110+S110+U110+W110+Y110+AA110+AC110+AE110+AG110+AI110+AK110+AM110)</f>
        <v>0</v>
      </c>
      <c r="F110" s="797"/>
      <c r="G110" s="798"/>
      <c r="H110" s="797"/>
      <c r="I110" s="798"/>
      <c r="J110" s="797"/>
      <c r="K110" s="798"/>
      <c r="L110" s="797"/>
      <c r="M110" s="798"/>
      <c r="N110" s="797"/>
      <c r="O110" s="798"/>
      <c r="P110" s="797"/>
      <c r="Q110" s="798"/>
      <c r="R110" s="797"/>
      <c r="S110" s="798"/>
      <c r="T110" s="797"/>
      <c r="U110" s="798"/>
      <c r="V110" s="797"/>
      <c r="W110" s="798"/>
      <c r="X110" s="797"/>
      <c r="Y110" s="798"/>
      <c r="Z110" s="797"/>
      <c r="AA110" s="798"/>
      <c r="AB110" s="797"/>
      <c r="AC110" s="798"/>
      <c r="AD110" s="797"/>
      <c r="AE110" s="798"/>
      <c r="AF110" s="797"/>
      <c r="AG110" s="798"/>
      <c r="AH110" s="797"/>
      <c r="AI110" s="798"/>
      <c r="AJ110" s="797"/>
      <c r="AK110" s="798"/>
      <c r="AL110" s="797"/>
      <c r="AM110" s="798"/>
      <c r="AN110" s="1157"/>
      <c r="AO110" s="1158"/>
      <c r="AP110" s="1158"/>
      <c r="AQ110" s="1158"/>
      <c r="AR110" s="1175"/>
      <c r="AS110" s="798"/>
      <c r="AT110" s="798"/>
      <c r="AU110" s="798"/>
      <c r="AV110" s="798"/>
      <c r="AW110" s="798"/>
      <c r="AX110" s="798"/>
      <c r="AY110" s="1688" t="str">
        <f t="shared" si="64"/>
        <v/>
      </c>
      <c r="BC110" s="180"/>
      <c r="CB110" s="381" t="str">
        <f t="shared" si="114"/>
        <v/>
      </c>
      <c r="CC110" s="381" t="str">
        <f t="shared" si="115"/>
        <v/>
      </c>
      <c r="CD110" s="381" t="str">
        <f t="shared" si="101"/>
        <v/>
      </c>
      <c r="CE110" s="381" t="str">
        <f t="shared" si="93"/>
        <v/>
      </c>
      <c r="CF110" s="381" t="str">
        <f t="shared" si="102"/>
        <v/>
      </c>
      <c r="CG110" s="381" t="str">
        <f t="shared" si="94"/>
        <v/>
      </c>
      <c r="CH110" s="381" t="str">
        <f t="shared" si="68"/>
        <v/>
      </c>
      <c r="CI110" s="381" t="str">
        <f t="shared" si="69"/>
        <v/>
      </c>
      <c r="CJ110" s="381" t="str">
        <f>IF($AV110&gt;$C110,"* La celda 'Plan Cuidado Integral Elaborado' debe ser menor o igual al Total de Personas en control. ","")</f>
        <v/>
      </c>
      <c r="CK110" s="381" t="str">
        <f t="shared" si="59"/>
        <v/>
      </c>
      <c r="CL110" s="971"/>
      <c r="CN110" s="381" t="str">
        <f t="shared" si="116"/>
        <v/>
      </c>
      <c r="CO110" s="381" t="str">
        <f t="shared" si="117"/>
        <v/>
      </c>
      <c r="CQ110" s="381" t="str">
        <f t="shared" si="103"/>
        <v/>
      </c>
      <c r="CR110" s="381" t="str">
        <f t="shared" si="104"/>
        <v/>
      </c>
      <c r="CS110" s="381" t="str">
        <f t="shared" si="74"/>
        <v/>
      </c>
      <c r="CT110" s="381" t="str">
        <f t="shared" si="75"/>
        <v/>
      </c>
      <c r="CU110" s="381" t="str">
        <f>IF(AND($C110&lt;&gt;0,$AV110=""),"* No olvide escribir en las celdas de 'Plan Cuidado Integral Elaborado' (Digite CERO si no tiene). ","")</f>
        <v/>
      </c>
      <c r="CV110" s="381" t="str">
        <f t="shared" si="77"/>
        <v/>
      </c>
      <c r="DA110" s="391">
        <f t="shared" si="118"/>
        <v>0</v>
      </c>
      <c r="DB110" s="391">
        <f t="shared" si="119"/>
        <v>0</v>
      </c>
      <c r="DC110" s="391">
        <f t="shared" si="105"/>
        <v>0</v>
      </c>
      <c r="DD110" s="391">
        <f t="shared" si="97"/>
        <v>0</v>
      </c>
      <c r="DE110" s="391">
        <f t="shared" si="106"/>
        <v>0</v>
      </c>
      <c r="DF110" s="391">
        <f t="shared" si="98"/>
        <v>0</v>
      </c>
      <c r="DG110" s="391">
        <f t="shared" si="81"/>
        <v>0</v>
      </c>
      <c r="DH110" s="391">
        <f t="shared" si="82"/>
        <v>0</v>
      </c>
      <c r="DI110" s="391">
        <f>IF($AV110&gt;$C110,1,0)</f>
        <v>0</v>
      </c>
      <c r="DJ110" s="391">
        <f t="shared" si="60"/>
        <v>0</v>
      </c>
      <c r="DK110" s="385"/>
      <c r="DL110" s="391">
        <f t="shared" si="120"/>
        <v>0</v>
      </c>
      <c r="DM110" s="391">
        <f t="shared" si="121"/>
        <v>0</v>
      </c>
      <c r="DN110" s="385"/>
      <c r="DO110" s="391">
        <f t="shared" si="107"/>
        <v>0</v>
      </c>
      <c r="DP110" s="391">
        <f t="shared" si="108"/>
        <v>0</v>
      </c>
      <c r="DQ110" s="391">
        <f t="shared" si="88"/>
        <v>0</v>
      </c>
      <c r="DR110" s="391">
        <f t="shared" si="89"/>
        <v>0</v>
      </c>
      <c r="DS110" s="391">
        <f>IF(AND($C110&lt;&gt;0,$AV110=""),1,0)</f>
        <v>0</v>
      </c>
      <c r="DT110" s="391">
        <f t="shared" si="91"/>
        <v>0</v>
      </c>
    </row>
    <row r="111" spans="1:124" ht="18.600000000000001" customHeight="1" x14ac:dyDescent="0.25">
      <c r="A111" s="2227" t="s">
        <v>357</v>
      </c>
      <c r="B111" s="2228"/>
      <c r="C111" s="719">
        <f t="shared" si="122"/>
        <v>0</v>
      </c>
      <c r="D111" s="728">
        <f>+F111+H111+J111+L111+N111+P111+R111+T111+V111+X111+Z111+AB111+AD111+AF111+AH111+AJ111+AL111</f>
        <v>0</v>
      </c>
      <c r="E111" s="721">
        <f>+G111+I111+K111+M111+O111+Q111+S111+U111+W111+Y111+AA111+AC111+AE111+AG111+AI111+AK111+AM111</f>
        <v>0</v>
      </c>
      <c r="F111" s="740"/>
      <c r="G111" s="741"/>
      <c r="H111" s="740"/>
      <c r="I111" s="741"/>
      <c r="J111" s="740"/>
      <c r="K111" s="741"/>
      <c r="L111" s="740"/>
      <c r="M111" s="741"/>
      <c r="N111" s="740"/>
      <c r="O111" s="741"/>
      <c r="P111" s="740"/>
      <c r="Q111" s="741"/>
      <c r="R111" s="740"/>
      <c r="S111" s="741"/>
      <c r="T111" s="740"/>
      <c r="U111" s="741"/>
      <c r="V111" s="740"/>
      <c r="W111" s="741"/>
      <c r="X111" s="740"/>
      <c r="Y111" s="741"/>
      <c r="Z111" s="740"/>
      <c r="AA111" s="741"/>
      <c r="AB111" s="740"/>
      <c r="AC111" s="741"/>
      <c r="AD111" s="740"/>
      <c r="AE111" s="741"/>
      <c r="AF111" s="740"/>
      <c r="AG111" s="741"/>
      <c r="AH111" s="740"/>
      <c r="AI111" s="741"/>
      <c r="AJ111" s="740"/>
      <c r="AK111" s="741"/>
      <c r="AL111" s="740"/>
      <c r="AM111" s="741"/>
      <c r="AN111" s="1154"/>
      <c r="AO111" s="1155"/>
      <c r="AP111" s="1155"/>
      <c r="AQ111" s="1155"/>
      <c r="AR111" s="812"/>
      <c r="AS111" s="741"/>
      <c r="AT111" s="741"/>
      <c r="AU111" s="741"/>
      <c r="AV111" s="741"/>
      <c r="AW111" s="741"/>
      <c r="AX111" s="741"/>
      <c r="AY111" s="1688" t="str">
        <f t="shared" si="64"/>
        <v/>
      </c>
      <c r="BC111" s="180"/>
      <c r="CD111" s="381" t="str">
        <f t="shared" si="101"/>
        <v/>
      </c>
      <c r="CE111" s="381" t="str">
        <f t="shared" si="93"/>
        <v/>
      </c>
      <c r="CF111" s="381" t="str">
        <f t="shared" si="102"/>
        <v/>
      </c>
      <c r="CG111" s="381" t="str">
        <f t="shared" si="94"/>
        <v/>
      </c>
      <c r="CH111" s="381" t="str">
        <f t="shared" si="68"/>
        <v/>
      </c>
      <c r="CI111" s="381" t="str">
        <f t="shared" si="69"/>
        <v/>
      </c>
      <c r="CJ111" s="381" t="str">
        <f>IF($AV111&gt;$C111,"* La celda 'Plan Cuidado Integral Elaborado' debe ser menor o igual al Total de Personas en control. ","")</f>
        <v/>
      </c>
      <c r="CK111" s="381" t="str">
        <f t="shared" si="59"/>
        <v/>
      </c>
      <c r="CL111" s="971"/>
      <c r="CQ111" s="381" t="str">
        <f t="shared" si="103"/>
        <v/>
      </c>
      <c r="CR111" s="381" t="str">
        <f t="shared" si="104"/>
        <v/>
      </c>
      <c r="CS111" s="381" t="str">
        <f t="shared" si="74"/>
        <v/>
      </c>
      <c r="CT111" s="381" t="str">
        <f t="shared" si="75"/>
        <v/>
      </c>
      <c r="CU111" s="381" t="str">
        <f>IF(AND($C111&lt;&gt;0,$AV111=""),"* No olvide escribir en las celdas de 'Plan Cuidado Integral Elaborado' (Digite CERO si no tiene). ","")</f>
        <v/>
      </c>
      <c r="CV111" s="381" t="str">
        <f t="shared" si="77"/>
        <v/>
      </c>
      <c r="DA111" s="385"/>
      <c r="DB111" s="385"/>
      <c r="DC111" s="391">
        <f t="shared" si="105"/>
        <v>0</v>
      </c>
      <c r="DD111" s="391">
        <f t="shared" si="97"/>
        <v>0</v>
      </c>
      <c r="DE111" s="391">
        <f t="shared" si="106"/>
        <v>0</v>
      </c>
      <c r="DF111" s="391">
        <f t="shared" si="98"/>
        <v>0</v>
      </c>
      <c r="DG111" s="391">
        <f t="shared" si="81"/>
        <v>0</v>
      </c>
      <c r="DH111" s="391">
        <f t="shared" si="82"/>
        <v>0</v>
      </c>
      <c r="DI111" s="391">
        <f>IF($AV111&gt;$C111,1,0)</f>
        <v>0</v>
      </c>
      <c r="DJ111" s="391">
        <f t="shared" si="60"/>
        <v>0</v>
      </c>
      <c r="DK111" s="385"/>
      <c r="DL111" s="385"/>
      <c r="DM111" s="385"/>
      <c r="DN111" s="385"/>
      <c r="DO111" s="391">
        <f t="shared" si="107"/>
        <v>0</v>
      </c>
      <c r="DP111" s="391">
        <f t="shared" si="108"/>
        <v>0</v>
      </c>
      <c r="DQ111" s="391">
        <f t="shared" si="88"/>
        <v>0</v>
      </c>
      <c r="DR111" s="391">
        <f t="shared" si="89"/>
        <v>0</v>
      </c>
      <c r="DS111" s="391">
        <f>IF(AND($C111&lt;&gt;0,$AV111=""),1,0)</f>
        <v>0</v>
      </c>
      <c r="DT111" s="391">
        <f t="shared" si="91"/>
        <v>0</v>
      </c>
    </row>
    <row r="112" spans="1:124" ht="33" customHeight="1" x14ac:dyDescent="0.25">
      <c r="A112" s="485" t="s">
        <v>237</v>
      </c>
      <c r="B112" s="476"/>
      <c r="C112" s="476"/>
      <c r="D112" s="476"/>
      <c r="E112" s="476"/>
      <c r="F112" s="476"/>
      <c r="G112" s="476"/>
      <c r="H112" s="476"/>
      <c r="I112" s="476"/>
      <c r="J112" s="476"/>
      <c r="K112" s="476"/>
      <c r="L112" s="476"/>
      <c r="M112" s="476"/>
      <c r="N112" s="476"/>
      <c r="O112" s="476"/>
      <c r="V112" s="57"/>
      <c r="AT112" s="450"/>
    </row>
    <row r="113" spans="1:234" x14ac:dyDescent="0.25">
      <c r="A113" s="2202" t="s">
        <v>231</v>
      </c>
      <c r="B113" s="2202" t="s">
        <v>232</v>
      </c>
      <c r="C113" s="2019" t="s">
        <v>104</v>
      </c>
      <c r="D113" s="2019"/>
      <c r="E113" s="2019"/>
      <c r="F113" s="2019" t="s">
        <v>14</v>
      </c>
      <c r="G113" s="2019"/>
      <c r="H113" s="2019"/>
      <c r="I113" s="2019"/>
      <c r="J113" s="2019"/>
      <c r="K113" s="2019"/>
      <c r="L113" s="2019"/>
      <c r="M113" s="2019"/>
      <c r="N113" s="2019"/>
      <c r="O113" s="2019"/>
      <c r="P113" s="2019"/>
      <c r="Q113" s="2019"/>
      <c r="R113" s="2019"/>
      <c r="S113" s="2019"/>
      <c r="T113" s="2019"/>
      <c r="U113" s="2019"/>
      <c r="V113" s="2019"/>
      <c r="W113" s="2019"/>
      <c r="X113" s="2019"/>
      <c r="Y113" s="2019"/>
      <c r="Z113" s="2019"/>
      <c r="AA113" s="2019"/>
      <c r="AB113" s="2019"/>
      <c r="AC113" s="2019"/>
      <c r="AD113" s="2019"/>
      <c r="AE113" s="2019"/>
      <c r="AF113" s="2019"/>
      <c r="AG113" s="2019"/>
      <c r="AH113" s="2019"/>
      <c r="AI113" s="2019"/>
      <c r="AJ113" s="2019"/>
      <c r="AK113" s="2019"/>
      <c r="AL113" s="2019"/>
      <c r="AM113" s="2019"/>
      <c r="AT113" s="450"/>
    </row>
    <row r="114" spans="1:234" ht="21" customHeight="1" x14ac:dyDescent="0.25">
      <c r="A114" s="2202"/>
      <c r="B114" s="2202"/>
      <c r="C114" s="2019"/>
      <c r="D114" s="2019"/>
      <c r="E114" s="2019"/>
      <c r="F114" s="2019" t="s">
        <v>206</v>
      </c>
      <c r="G114" s="2019"/>
      <c r="H114" s="2019" t="s">
        <v>207</v>
      </c>
      <c r="I114" s="2019"/>
      <c r="J114" s="1916" t="s">
        <v>128</v>
      </c>
      <c r="K114" s="1916"/>
      <c r="L114" s="1916" t="s">
        <v>17</v>
      </c>
      <c r="M114" s="1916"/>
      <c r="N114" s="1916" t="s">
        <v>18</v>
      </c>
      <c r="O114" s="1916"/>
      <c r="P114" s="1916" t="s">
        <v>19</v>
      </c>
      <c r="Q114" s="1916"/>
      <c r="R114" s="1916" t="s">
        <v>20</v>
      </c>
      <c r="S114" s="1916"/>
      <c r="T114" s="1916" t="s">
        <v>21</v>
      </c>
      <c r="U114" s="1916"/>
      <c r="V114" s="1916" t="s">
        <v>22</v>
      </c>
      <c r="W114" s="1916"/>
      <c r="X114" s="1916" t="s">
        <v>23</v>
      </c>
      <c r="Y114" s="1916"/>
      <c r="Z114" s="1916" t="s">
        <v>24</v>
      </c>
      <c r="AA114" s="1916"/>
      <c r="AB114" s="1916" t="s">
        <v>208</v>
      </c>
      <c r="AC114" s="1916"/>
      <c r="AD114" s="1916" t="s">
        <v>209</v>
      </c>
      <c r="AE114" s="1916"/>
      <c r="AF114" s="2248" t="s">
        <v>181</v>
      </c>
      <c r="AG114" s="2248"/>
      <c r="AH114" s="2248" t="s">
        <v>182</v>
      </c>
      <c r="AI114" s="2248"/>
      <c r="AJ114" s="2248" t="s">
        <v>183</v>
      </c>
      <c r="AK114" s="2248"/>
      <c r="AL114" s="2140" t="s">
        <v>195</v>
      </c>
      <c r="AM114" s="2140"/>
    </row>
    <row r="115" spans="1:234" ht="27.75" customHeight="1" x14ac:dyDescent="0.25">
      <c r="A115" s="2202"/>
      <c r="B115" s="2202"/>
      <c r="C115" s="181" t="s">
        <v>93</v>
      </c>
      <c r="D115" s="62" t="s">
        <v>31</v>
      </c>
      <c r="E115" s="390" t="s">
        <v>94</v>
      </c>
      <c r="F115" s="389" t="s">
        <v>31</v>
      </c>
      <c r="G115" s="390" t="s">
        <v>94</v>
      </c>
      <c r="H115" s="389" t="s">
        <v>31</v>
      </c>
      <c r="I115" s="390" t="s">
        <v>94</v>
      </c>
      <c r="J115" s="389" t="s">
        <v>31</v>
      </c>
      <c r="K115" s="390" t="s">
        <v>94</v>
      </c>
      <c r="L115" s="389" t="s">
        <v>31</v>
      </c>
      <c r="M115" s="390" t="s">
        <v>94</v>
      </c>
      <c r="N115" s="389" t="s">
        <v>31</v>
      </c>
      <c r="O115" s="390" t="s">
        <v>94</v>
      </c>
      <c r="P115" s="389" t="s">
        <v>31</v>
      </c>
      <c r="Q115" s="390" t="s">
        <v>94</v>
      </c>
      <c r="R115" s="389" t="s">
        <v>31</v>
      </c>
      <c r="S115" s="390" t="s">
        <v>94</v>
      </c>
      <c r="T115" s="389" t="s">
        <v>31</v>
      </c>
      <c r="U115" s="390" t="s">
        <v>94</v>
      </c>
      <c r="V115" s="389" t="s">
        <v>31</v>
      </c>
      <c r="W115" s="390" t="s">
        <v>94</v>
      </c>
      <c r="X115" s="389" t="s">
        <v>31</v>
      </c>
      <c r="Y115" s="390" t="s">
        <v>94</v>
      </c>
      <c r="Z115" s="389" t="s">
        <v>31</v>
      </c>
      <c r="AA115" s="390" t="s">
        <v>94</v>
      </c>
      <c r="AB115" s="389" t="s">
        <v>31</v>
      </c>
      <c r="AC115" s="390" t="s">
        <v>94</v>
      </c>
      <c r="AD115" s="389" t="s">
        <v>31</v>
      </c>
      <c r="AE115" s="390" t="s">
        <v>94</v>
      </c>
      <c r="AF115" s="389" t="s">
        <v>31</v>
      </c>
      <c r="AG115" s="390" t="s">
        <v>94</v>
      </c>
      <c r="AH115" s="389" t="s">
        <v>31</v>
      </c>
      <c r="AI115" s="390" t="s">
        <v>94</v>
      </c>
      <c r="AJ115" s="389" t="s">
        <v>31</v>
      </c>
      <c r="AK115" s="390" t="s">
        <v>94</v>
      </c>
      <c r="AL115" s="389" t="s">
        <v>31</v>
      </c>
      <c r="AM115" s="390" t="s">
        <v>94</v>
      </c>
    </row>
    <row r="116" spans="1:234" ht="21" x14ac:dyDescent="0.25">
      <c r="A116" s="190" t="s">
        <v>233</v>
      </c>
      <c r="B116" s="191" t="s">
        <v>210</v>
      </c>
      <c r="C116" s="295">
        <f>SUM(D116:E116)</f>
        <v>0</v>
      </c>
      <c r="D116" s="296">
        <f>+F116+H116+J116+L116+N116+P116+R116+T116+V116+X116+Z116+AB116+AD116+AF116+AH116+AJ116+AL116</f>
        <v>0</v>
      </c>
      <c r="E116" s="297">
        <f>+G116+I116+K116+M116+O116+Q116+S116+U116+W116+Y116+AA116+AC116+AE116+AG116+AI116+AK116+AM116</f>
        <v>0</v>
      </c>
      <c r="F116" s="926"/>
      <c r="G116" s="927"/>
      <c r="H116" s="926"/>
      <c r="I116" s="927"/>
      <c r="J116" s="926"/>
      <c r="K116" s="928"/>
      <c r="L116" s="926"/>
      <c r="M116" s="928"/>
      <c r="N116" s="926"/>
      <c r="O116" s="928"/>
      <c r="P116" s="926"/>
      <c r="Q116" s="927"/>
      <c r="R116" s="926"/>
      <c r="S116" s="927"/>
      <c r="T116" s="926"/>
      <c r="U116" s="928"/>
      <c r="V116" s="926"/>
      <c r="W116" s="928"/>
      <c r="X116" s="926"/>
      <c r="Y116" s="928"/>
      <c r="Z116" s="926"/>
      <c r="AA116" s="927"/>
      <c r="AB116" s="926"/>
      <c r="AC116" s="927"/>
      <c r="AD116" s="926"/>
      <c r="AE116" s="928"/>
      <c r="AF116" s="926"/>
      <c r="AG116" s="928"/>
      <c r="AH116" s="926"/>
      <c r="AI116" s="928"/>
      <c r="AJ116" s="926"/>
      <c r="AK116" s="928"/>
      <c r="AL116" s="926"/>
      <c r="AM116" s="936"/>
      <c r="AN116" s="1689"/>
    </row>
    <row r="117" spans="1:234" ht="21" x14ac:dyDescent="0.25">
      <c r="A117" s="190" t="s">
        <v>234</v>
      </c>
      <c r="B117" s="191" t="s">
        <v>210</v>
      </c>
      <c r="C117" s="295">
        <f>SUM(D117:E117)</f>
        <v>0</v>
      </c>
      <c r="D117" s="296">
        <f>+F117+H117+J117+L117+N117+P117+R117+T117+V117+X117+Z117+AB117+AD117+AF117+AH117+AJ117+AL117</f>
        <v>0</v>
      </c>
      <c r="E117" s="297">
        <f>+G117+I117+K117+M117+O117+Q117+S117+U117+W117+Y117+AA117+AC117+AE117+AG117+AI117+AK117+AM117</f>
        <v>0</v>
      </c>
      <c r="F117" s="926"/>
      <c r="G117" s="927"/>
      <c r="H117" s="926"/>
      <c r="I117" s="927"/>
      <c r="J117" s="926"/>
      <c r="K117" s="928"/>
      <c r="L117" s="926"/>
      <c r="M117" s="928"/>
      <c r="N117" s="926"/>
      <c r="O117" s="928"/>
      <c r="P117" s="926"/>
      <c r="Q117" s="927"/>
      <c r="R117" s="926"/>
      <c r="S117" s="927"/>
      <c r="T117" s="926"/>
      <c r="U117" s="928"/>
      <c r="V117" s="926"/>
      <c r="W117" s="928"/>
      <c r="X117" s="926"/>
      <c r="Y117" s="928"/>
      <c r="Z117" s="926"/>
      <c r="AA117" s="927"/>
      <c r="AB117" s="926"/>
      <c r="AC117" s="927"/>
      <c r="AD117" s="926"/>
      <c r="AE117" s="928"/>
      <c r="AF117" s="926"/>
      <c r="AG117" s="928"/>
      <c r="AH117" s="926"/>
      <c r="AI117" s="928"/>
      <c r="AJ117" s="926"/>
      <c r="AK117" s="928"/>
      <c r="AL117" s="926"/>
      <c r="AM117" s="936"/>
      <c r="AN117" s="1689"/>
    </row>
    <row r="123" spans="1:234" s="387" customFormat="1" x14ac:dyDescent="0.25">
      <c r="A123" s="180"/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  <c r="AA123" s="180"/>
      <c r="AB123" s="180"/>
      <c r="AC123" s="180"/>
      <c r="AD123" s="180"/>
      <c r="AE123" s="180"/>
      <c r="AF123" s="180"/>
      <c r="AG123" s="180"/>
      <c r="AH123" s="180"/>
      <c r="AI123" s="180"/>
      <c r="AJ123" s="180"/>
      <c r="AK123" s="180"/>
      <c r="AL123" s="180"/>
      <c r="AM123" s="180"/>
      <c r="AN123" s="180"/>
      <c r="AO123" s="180"/>
      <c r="AP123" s="180"/>
      <c r="AQ123" s="180"/>
      <c r="AR123" s="180"/>
      <c r="AS123" s="180"/>
      <c r="AT123" s="180"/>
      <c r="AU123" s="180"/>
      <c r="AV123" s="180"/>
      <c r="AW123" s="180"/>
      <c r="AX123" s="180"/>
      <c r="AY123" s="180"/>
      <c r="AZ123" s="180"/>
      <c r="BA123" s="180"/>
      <c r="BB123" s="180"/>
      <c r="BC123" s="1050"/>
      <c r="BD123" s="1050"/>
      <c r="BE123" s="1050"/>
      <c r="BF123" s="1050"/>
      <c r="BG123" s="1050"/>
      <c r="BH123" s="1050"/>
      <c r="BI123" s="1050"/>
      <c r="BJ123" s="1050"/>
      <c r="BK123" s="1050"/>
      <c r="BL123" s="1050"/>
      <c r="BM123" s="1050"/>
      <c r="BN123" s="1050"/>
      <c r="BO123" s="1050"/>
      <c r="BP123" s="1050"/>
      <c r="BQ123" s="1050"/>
      <c r="BR123" s="1050"/>
      <c r="BS123" s="1050"/>
      <c r="BT123" s="1050"/>
      <c r="BU123" s="1050"/>
      <c r="BV123" s="1050"/>
      <c r="BW123" s="1050"/>
      <c r="BX123" s="1050"/>
      <c r="BY123" s="1050"/>
      <c r="BZ123" s="1050"/>
      <c r="CA123" s="1050"/>
      <c r="CB123" s="1050"/>
      <c r="CC123" s="1050"/>
      <c r="CD123" s="1050"/>
      <c r="CE123" s="1050"/>
      <c r="CF123" s="1050"/>
      <c r="CG123" s="1050"/>
      <c r="CH123" s="1050"/>
      <c r="CI123" s="1050"/>
      <c r="CJ123" s="1050"/>
      <c r="CK123" s="1050"/>
      <c r="CL123" s="1050"/>
      <c r="CM123" s="1050"/>
      <c r="CN123" s="1050"/>
      <c r="CO123" s="1050"/>
      <c r="CP123" s="1050"/>
      <c r="CQ123" s="1050"/>
      <c r="CR123" s="1050"/>
      <c r="CS123" s="1050"/>
      <c r="CT123" s="1050"/>
      <c r="CU123" s="1050"/>
      <c r="CV123" s="1050"/>
      <c r="CW123" s="1050"/>
      <c r="CX123" s="1050"/>
      <c r="CY123" s="1050"/>
      <c r="CZ123" s="1050"/>
      <c r="DA123" s="1050"/>
      <c r="DB123" s="1050"/>
      <c r="DC123" s="1050"/>
      <c r="DD123" s="1050"/>
      <c r="DE123" s="1050"/>
      <c r="DF123" s="1050"/>
      <c r="DG123" s="1050"/>
      <c r="DH123" s="1050"/>
      <c r="DI123" s="1050"/>
      <c r="DJ123" s="1050"/>
      <c r="DK123" s="1050"/>
      <c r="DL123" s="1050"/>
      <c r="DM123" s="1050"/>
      <c r="DN123" s="1050"/>
      <c r="DO123" s="1050"/>
      <c r="DP123" s="1050"/>
      <c r="DQ123" s="1050"/>
      <c r="DR123" s="1050"/>
      <c r="DS123" s="1050"/>
      <c r="DT123" s="1050"/>
      <c r="DU123" s="1050"/>
      <c r="DV123" s="1050"/>
      <c r="DW123" s="1050"/>
      <c r="DX123" s="1050"/>
      <c r="DY123" s="1050"/>
      <c r="DZ123" s="1050"/>
      <c r="EA123" s="1050"/>
      <c r="EB123" s="1050"/>
      <c r="EC123" s="1050"/>
      <c r="ED123" s="1050"/>
      <c r="EE123" s="1050"/>
      <c r="EF123" s="1050"/>
      <c r="EG123" s="1050"/>
      <c r="EH123" s="1050"/>
      <c r="EI123" s="1050"/>
      <c r="EJ123" s="1050"/>
      <c r="EK123" s="1050"/>
      <c r="EL123" s="1050"/>
      <c r="EM123" s="1050"/>
      <c r="EN123" s="1050"/>
      <c r="EO123" s="1050"/>
      <c r="EP123" s="1050"/>
      <c r="EQ123" s="1050"/>
      <c r="ER123" s="1050"/>
      <c r="ES123" s="1050"/>
      <c r="ET123" s="1050"/>
      <c r="EU123" s="1050"/>
      <c r="EV123" s="1050"/>
      <c r="EW123" s="1050"/>
      <c r="EX123" s="1050"/>
      <c r="EY123" s="1050"/>
      <c r="EZ123" s="1050"/>
      <c r="FA123" s="1050"/>
      <c r="FB123" s="1050"/>
      <c r="FC123" s="1050"/>
      <c r="FD123" s="1050"/>
      <c r="FE123" s="1050"/>
      <c r="FF123" s="1050"/>
      <c r="FG123" s="1050"/>
      <c r="FH123" s="1050"/>
      <c r="FI123" s="1050"/>
      <c r="FJ123" s="1050"/>
      <c r="FK123" s="1050"/>
      <c r="FL123" s="1050"/>
      <c r="FM123" s="1050"/>
      <c r="FN123" s="1050"/>
      <c r="FO123" s="1050"/>
      <c r="FP123" s="1050"/>
      <c r="FQ123" s="1050"/>
      <c r="FR123" s="1050"/>
      <c r="FS123" s="1050"/>
      <c r="FT123" s="1050"/>
      <c r="FU123" s="1050"/>
      <c r="FV123" s="1050"/>
      <c r="FW123" s="1050"/>
      <c r="FX123" s="1050"/>
      <c r="FY123" s="1050"/>
      <c r="FZ123" s="1050"/>
      <c r="GA123" s="1050"/>
      <c r="GB123" s="1050"/>
      <c r="GC123" s="1050"/>
      <c r="GD123" s="1050"/>
      <c r="GE123" s="1050"/>
      <c r="GF123" s="1050"/>
      <c r="GG123" s="1050"/>
      <c r="GH123" s="1050"/>
      <c r="GI123" s="1050"/>
      <c r="GJ123" s="1050"/>
      <c r="GK123" s="1050"/>
      <c r="GL123" s="1050"/>
      <c r="GM123" s="1050"/>
      <c r="GN123" s="1050"/>
      <c r="GO123" s="1050"/>
      <c r="GP123" s="1050"/>
      <c r="GQ123" s="1050"/>
      <c r="GR123" s="1050"/>
      <c r="GS123" s="1050"/>
      <c r="GT123" s="1050"/>
      <c r="GU123" s="1050"/>
      <c r="GV123" s="1050"/>
      <c r="GW123" s="1050"/>
      <c r="GX123" s="1050"/>
      <c r="GY123" s="1050"/>
      <c r="GZ123" s="1050"/>
      <c r="HA123" s="1050"/>
      <c r="HB123" s="1050"/>
      <c r="HC123" s="1050"/>
      <c r="HD123" s="1050"/>
      <c r="HE123" s="1050"/>
      <c r="HF123" s="1050"/>
      <c r="HG123" s="1050"/>
      <c r="HH123" s="1050"/>
      <c r="HI123" s="1050"/>
      <c r="HJ123" s="1050"/>
      <c r="HK123" s="1050"/>
      <c r="HL123" s="1050"/>
      <c r="HM123" s="1050"/>
      <c r="HN123" s="1050"/>
      <c r="HO123" s="1050"/>
      <c r="HP123" s="1050"/>
      <c r="HQ123" s="1050"/>
      <c r="HR123" s="1050"/>
      <c r="HS123" s="1050"/>
      <c r="HT123" s="1050"/>
      <c r="HU123" s="1050"/>
      <c r="HV123" s="1050"/>
      <c r="HW123" s="1050"/>
      <c r="HX123" s="1050"/>
      <c r="HY123" s="1050"/>
      <c r="HZ123" s="1050"/>
    </row>
    <row r="124" spans="1:234" s="387" customFormat="1" x14ac:dyDescent="0.25">
      <c r="A124" s="180"/>
      <c r="B124" s="180"/>
      <c r="C124" s="180"/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  <c r="O124" s="180"/>
      <c r="P124" s="180"/>
      <c r="Q124" s="180"/>
      <c r="R124" s="180"/>
      <c r="S124" s="180"/>
      <c r="T124" s="180"/>
      <c r="U124" s="180"/>
      <c r="V124" s="180"/>
      <c r="W124" s="180"/>
      <c r="X124" s="180"/>
      <c r="Y124" s="180"/>
      <c r="Z124" s="180"/>
      <c r="AA124" s="180"/>
      <c r="AB124" s="180"/>
      <c r="AC124" s="180"/>
      <c r="AD124" s="180"/>
      <c r="AE124" s="180"/>
      <c r="AF124" s="180"/>
      <c r="AG124" s="180"/>
      <c r="AH124" s="180"/>
      <c r="AI124" s="180"/>
      <c r="AJ124" s="180"/>
      <c r="AK124" s="180"/>
      <c r="AL124" s="180"/>
      <c r="AM124" s="180"/>
      <c r="AN124" s="180"/>
      <c r="AO124" s="180"/>
      <c r="AP124" s="180"/>
      <c r="AQ124" s="180"/>
      <c r="AR124" s="180"/>
      <c r="AS124" s="180"/>
      <c r="AT124" s="180"/>
      <c r="AU124" s="180"/>
      <c r="AV124" s="180"/>
      <c r="AW124" s="180"/>
      <c r="AX124" s="180"/>
      <c r="AY124" s="180"/>
      <c r="AZ124" s="180"/>
      <c r="BA124" s="180"/>
      <c r="BB124" s="180"/>
      <c r="BC124" s="1050"/>
      <c r="BD124" s="1050"/>
      <c r="BE124" s="1050"/>
      <c r="BF124" s="1050"/>
      <c r="BG124" s="1050"/>
      <c r="BH124" s="1050"/>
      <c r="BI124" s="1050"/>
      <c r="BJ124" s="1050"/>
      <c r="BK124" s="1050"/>
      <c r="BL124" s="1050"/>
      <c r="BM124" s="1050"/>
      <c r="BN124" s="1050"/>
      <c r="BO124" s="1050"/>
      <c r="BP124" s="1050"/>
      <c r="BQ124" s="1050"/>
      <c r="BR124" s="1050"/>
      <c r="BS124" s="1050"/>
      <c r="BT124" s="1050"/>
      <c r="BU124" s="1050"/>
      <c r="BV124" s="1050"/>
      <c r="BW124" s="1050"/>
      <c r="BX124" s="1050"/>
      <c r="BY124" s="1050"/>
      <c r="BZ124" s="1050"/>
      <c r="CA124" s="1050"/>
      <c r="CB124" s="1050"/>
      <c r="CC124" s="1050"/>
      <c r="CD124" s="1050"/>
      <c r="CE124" s="1050"/>
      <c r="CF124" s="1050"/>
      <c r="CG124" s="1050"/>
      <c r="CH124" s="1050"/>
      <c r="CI124" s="1050"/>
      <c r="CJ124" s="1050"/>
      <c r="CK124" s="1050"/>
      <c r="CL124" s="1050"/>
      <c r="CM124" s="1050"/>
      <c r="CN124" s="1050"/>
      <c r="CO124" s="1050"/>
      <c r="CP124" s="1050"/>
      <c r="CQ124" s="1050"/>
      <c r="CR124" s="1050"/>
      <c r="CS124" s="1050"/>
      <c r="CT124" s="1050"/>
      <c r="CU124" s="1050"/>
      <c r="CV124" s="1050"/>
      <c r="CW124" s="1050"/>
      <c r="CX124" s="1050"/>
      <c r="CY124" s="1050"/>
      <c r="CZ124" s="1050"/>
      <c r="DA124" s="1050"/>
      <c r="DB124" s="1050"/>
      <c r="DC124" s="1050"/>
      <c r="DD124" s="1050"/>
      <c r="DE124" s="1050"/>
      <c r="DF124" s="1050"/>
      <c r="DG124" s="1050"/>
      <c r="DH124" s="1050"/>
      <c r="DI124" s="1050"/>
      <c r="DJ124" s="1050"/>
      <c r="DK124" s="1050"/>
      <c r="DL124" s="1050"/>
      <c r="DM124" s="1050"/>
      <c r="DN124" s="1050"/>
      <c r="DO124" s="1050"/>
      <c r="DP124" s="1050"/>
      <c r="DQ124" s="1050"/>
      <c r="DR124" s="1050"/>
      <c r="DS124" s="1050"/>
      <c r="DT124" s="1050"/>
      <c r="DU124" s="1050"/>
      <c r="DV124" s="1050"/>
      <c r="DW124" s="1050"/>
      <c r="DX124" s="1050"/>
      <c r="DY124" s="1050"/>
      <c r="DZ124" s="1050"/>
      <c r="EA124" s="1050"/>
      <c r="EB124" s="1050"/>
      <c r="EC124" s="1050"/>
      <c r="ED124" s="1050"/>
      <c r="EE124" s="1050"/>
      <c r="EF124" s="1050"/>
      <c r="EG124" s="1050"/>
      <c r="EH124" s="1050"/>
      <c r="EI124" s="1050"/>
      <c r="EJ124" s="1050"/>
      <c r="EK124" s="1050"/>
      <c r="EL124" s="1050"/>
      <c r="EM124" s="1050"/>
      <c r="EN124" s="1050"/>
      <c r="EO124" s="1050"/>
      <c r="EP124" s="1050"/>
      <c r="EQ124" s="1050"/>
      <c r="ER124" s="1050"/>
      <c r="ES124" s="1050"/>
      <c r="ET124" s="1050"/>
      <c r="EU124" s="1050"/>
      <c r="EV124" s="1050"/>
      <c r="EW124" s="1050"/>
      <c r="EX124" s="1050"/>
      <c r="EY124" s="1050"/>
      <c r="EZ124" s="1050"/>
      <c r="FA124" s="1050"/>
      <c r="FB124" s="1050"/>
      <c r="FC124" s="1050"/>
      <c r="FD124" s="1050"/>
      <c r="FE124" s="1050"/>
      <c r="FF124" s="1050"/>
      <c r="FG124" s="1050"/>
      <c r="FH124" s="1050"/>
      <c r="FI124" s="1050"/>
      <c r="FJ124" s="1050"/>
      <c r="FK124" s="1050"/>
      <c r="FL124" s="1050"/>
      <c r="FM124" s="1050"/>
      <c r="FN124" s="1050"/>
      <c r="FO124" s="1050"/>
      <c r="FP124" s="1050"/>
      <c r="FQ124" s="1050"/>
      <c r="FR124" s="1050"/>
      <c r="FS124" s="1050"/>
      <c r="FT124" s="1050"/>
      <c r="FU124" s="1050"/>
      <c r="FV124" s="1050"/>
      <c r="FW124" s="1050"/>
      <c r="FX124" s="1050"/>
      <c r="FY124" s="1050"/>
      <c r="FZ124" s="1050"/>
      <c r="GA124" s="1050"/>
      <c r="GB124" s="1050"/>
      <c r="GC124" s="1050"/>
      <c r="GD124" s="1050"/>
      <c r="GE124" s="1050"/>
      <c r="GF124" s="1050"/>
      <c r="GG124" s="1050"/>
      <c r="GH124" s="1050"/>
      <c r="GI124" s="1050"/>
      <c r="GJ124" s="1050"/>
      <c r="GK124" s="1050"/>
      <c r="GL124" s="1050"/>
      <c r="GM124" s="1050"/>
      <c r="GN124" s="1050"/>
      <c r="GO124" s="1050"/>
      <c r="GP124" s="1050"/>
      <c r="GQ124" s="1050"/>
      <c r="GR124" s="1050"/>
      <c r="GS124" s="1050"/>
      <c r="GT124" s="1050"/>
      <c r="GU124" s="1050"/>
      <c r="GV124" s="1050"/>
      <c r="GW124" s="1050"/>
      <c r="GX124" s="1050"/>
      <c r="GY124" s="1050"/>
      <c r="GZ124" s="1050"/>
      <c r="HA124" s="1050"/>
      <c r="HB124" s="1050"/>
      <c r="HC124" s="1050"/>
      <c r="HD124" s="1050"/>
      <c r="HE124" s="1050"/>
      <c r="HF124" s="1050"/>
      <c r="HG124" s="1050"/>
      <c r="HH124" s="1050"/>
      <c r="HI124" s="1050"/>
      <c r="HJ124" s="1050"/>
      <c r="HK124" s="1050"/>
      <c r="HL124" s="1050"/>
      <c r="HM124" s="1050"/>
      <c r="HN124" s="1050"/>
      <c r="HO124" s="1050"/>
      <c r="HP124" s="1050"/>
      <c r="HQ124" s="1050"/>
      <c r="HR124" s="1050"/>
      <c r="HS124" s="1050"/>
      <c r="HT124" s="1050"/>
      <c r="HU124" s="1050"/>
      <c r="HV124" s="1050"/>
      <c r="HW124" s="1050"/>
      <c r="HX124" s="1050"/>
      <c r="HY124" s="1050"/>
      <c r="HZ124" s="1050"/>
    </row>
    <row r="134" spans="1:46" ht="19.5" customHeight="1" x14ac:dyDescent="0.25"/>
    <row r="136" spans="1:46" ht="15" customHeight="1" x14ac:dyDescent="0.25"/>
    <row r="137" spans="1:46" ht="15" hidden="1" customHeight="1" x14ac:dyDescent="0.25">
      <c r="A137" s="1617">
        <f>SUM(A13:AX117)</f>
        <v>0</v>
      </c>
      <c r="B137" s="387" t="s">
        <v>317</v>
      </c>
      <c r="C137" s="387"/>
      <c r="D137" s="387"/>
      <c r="E137" s="387"/>
      <c r="F137" s="387"/>
      <c r="G137" s="387"/>
      <c r="H137" s="387"/>
      <c r="I137" s="387"/>
      <c r="J137" s="387"/>
      <c r="K137" s="387"/>
      <c r="L137" s="387"/>
      <c r="M137" s="387"/>
      <c r="N137" s="387"/>
      <c r="O137" s="387"/>
      <c r="P137" s="387"/>
      <c r="Q137" s="387"/>
      <c r="R137" s="387"/>
      <c r="S137" s="387"/>
      <c r="T137" s="387"/>
      <c r="U137" s="387"/>
      <c r="V137" s="387"/>
      <c r="W137" s="387"/>
      <c r="X137" s="387"/>
      <c r="Y137" s="387"/>
      <c r="Z137" s="387"/>
      <c r="AA137" s="387"/>
      <c r="AB137" s="387"/>
      <c r="AC137" s="387"/>
      <c r="AD137" s="387"/>
      <c r="AE137" s="387"/>
      <c r="AF137" s="387"/>
      <c r="AG137" s="387"/>
      <c r="AH137" s="387"/>
      <c r="AI137" s="387"/>
      <c r="AJ137" s="387"/>
      <c r="AK137" s="387"/>
      <c r="AL137" s="387"/>
      <c r="AM137" s="387"/>
      <c r="AN137" s="387"/>
      <c r="AO137" s="387"/>
      <c r="AP137" s="387"/>
      <c r="AQ137" s="387"/>
      <c r="AR137" s="387"/>
      <c r="AS137" s="387"/>
      <c r="AT137" s="387"/>
    </row>
    <row r="138" spans="1:46" ht="15" hidden="1" customHeight="1" x14ac:dyDescent="0.25">
      <c r="A138" s="1617">
        <f>SUM(CY10:DT117)</f>
        <v>0</v>
      </c>
      <c r="B138" s="387" t="s">
        <v>318</v>
      </c>
      <c r="C138" s="387"/>
      <c r="D138" s="387"/>
      <c r="E138" s="387"/>
      <c r="F138" s="387"/>
      <c r="G138" s="387"/>
      <c r="H138" s="387"/>
      <c r="I138" s="387"/>
      <c r="J138" s="387"/>
      <c r="K138" s="387"/>
      <c r="L138" s="387"/>
      <c r="M138" s="387"/>
      <c r="N138" s="387"/>
      <c r="O138" s="387"/>
      <c r="P138" s="387"/>
      <c r="Q138" s="387"/>
      <c r="R138" s="387"/>
      <c r="S138" s="387"/>
      <c r="T138" s="387"/>
      <c r="U138" s="387"/>
      <c r="V138" s="387"/>
      <c r="W138" s="387"/>
      <c r="X138" s="387"/>
      <c r="Y138" s="387"/>
      <c r="Z138" s="387"/>
      <c r="AA138" s="387"/>
      <c r="AB138" s="387"/>
      <c r="AC138" s="387"/>
      <c r="AD138" s="387"/>
      <c r="AE138" s="387"/>
      <c r="AF138" s="387"/>
      <c r="AG138" s="387"/>
      <c r="AH138" s="387"/>
      <c r="AI138" s="387"/>
      <c r="AJ138" s="387"/>
      <c r="AK138" s="387"/>
      <c r="AL138" s="387"/>
      <c r="AM138" s="387"/>
      <c r="AN138" s="387"/>
      <c r="AO138" s="387"/>
      <c r="AP138" s="387"/>
      <c r="AQ138" s="387"/>
      <c r="AR138" s="387"/>
      <c r="AS138" s="387"/>
      <c r="AT138" s="387"/>
    </row>
    <row r="139" spans="1:46" ht="15" customHeight="1" x14ac:dyDescent="0.25"/>
    <row r="140" spans="1:46" ht="15" customHeight="1" x14ac:dyDescent="0.25"/>
    <row r="141" spans="1:46" ht="15" customHeight="1" x14ac:dyDescent="0.25"/>
    <row r="142" spans="1:46" ht="15" customHeight="1" x14ac:dyDescent="0.25"/>
    <row r="143" spans="1:46" ht="15" customHeight="1" x14ac:dyDescent="0.25"/>
    <row r="144" spans="1:46" ht="15" customHeight="1" x14ac:dyDescent="0.25"/>
    <row r="145" ht="15" customHeight="1" x14ac:dyDescent="0.25"/>
    <row r="146" ht="15" customHeight="1" x14ac:dyDescent="0.25"/>
  </sheetData>
  <sheetProtection algorithmName="SHA-512" hashValue="fd563tKD8Q/U13/WDZLpYIZMM45R4paLDyFu831bwvMyAgIL1K6Jahn6cQwUWE+TP75uYYvgj5tLN0BGpfEZfg==" saltValue="jRoq3q580RKNLLoMX3cbNA==" spinCount="100000" sheet="1" objects="1" scenarios="1"/>
  <dataConsolidate/>
  <mergeCells count="166">
    <mergeCell ref="CI11:CI12"/>
    <mergeCell ref="CK11:CL11"/>
    <mergeCell ref="CH11:CH12"/>
    <mergeCell ref="CD11:CE11"/>
    <mergeCell ref="CF11:CG11"/>
    <mergeCell ref="N11:O11"/>
    <mergeCell ref="P11:Q11"/>
    <mergeCell ref="AO10:AO12"/>
    <mergeCell ref="N63:O63"/>
    <mergeCell ref="AW10:AX11"/>
    <mergeCell ref="AN10:AN12"/>
    <mergeCell ref="AT10:AT12"/>
    <mergeCell ref="AR10:AS11"/>
    <mergeCell ref="AV10:AV12"/>
    <mergeCell ref="AB11:AC11"/>
    <mergeCell ref="X11:Y11"/>
    <mergeCell ref="R11:S11"/>
    <mergeCell ref="V57:W57"/>
    <mergeCell ref="AU10:AU12"/>
    <mergeCell ref="AP10:AQ11"/>
    <mergeCell ref="X57:Y57"/>
    <mergeCell ref="Z57:AA57"/>
    <mergeCell ref="AB57:AC57"/>
    <mergeCell ref="Z11:AA11"/>
    <mergeCell ref="AJ68:AK68"/>
    <mergeCell ref="AD68:AE68"/>
    <mergeCell ref="AR67:AS68"/>
    <mergeCell ref="AN67:AN69"/>
    <mergeCell ref="AO67:AO69"/>
    <mergeCell ref="AP67:AQ68"/>
    <mergeCell ref="AV67:AV69"/>
    <mergeCell ref="AU67:AU69"/>
    <mergeCell ref="AW67:AX68"/>
    <mergeCell ref="AT67:AT69"/>
    <mergeCell ref="J114:K114"/>
    <mergeCell ref="AF68:AG68"/>
    <mergeCell ref="Z68:AA68"/>
    <mergeCell ref="AH68:AI68"/>
    <mergeCell ref="AL68:AM68"/>
    <mergeCell ref="V68:W68"/>
    <mergeCell ref="F68:G68"/>
    <mergeCell ref="H68:I68"/>
    <mergeCell ref="AJ9:AK9"/>
    <mergeCell ref="F11:G11"/>
    <mergeCell ref="H11:I11"/>
    <mergeCell ref="P57:Q57"/>
    <mergeCell ref="AF57:AG57"/>
    <mergeCell ref="AH57:AI57"/>
    <mergeCell ref="AB9:AC9"/>
    <mergeCell ref="Z9:AA9"/>
    <mergeCell ref="AD9:AE9"/>
    <mergeCell ref="AH9:AI9"/>
    <mergeCell ref="AJ57:AK57"/>
    <mergeCell ref="F56:AM56"/>
    <mergeCell ref="F57:G57"/>
    <mergeCell ref="H57:I57"/>
    <mergeCell ref="J57:K57"/>
    <mergeCell ref="AL57:AM57"/>
    <mergeCell ref="T114:U114"/>
    <mergeCell ref="V114:W114"/>
    <mergeCell ref="L63:M63"/>
    <mergeCell ref="R68:S68"/>
    <mergeCell ref="P68:Q68"/>
    <mergeCell ref="X68:Y68"/>
    <mergeCell ref="T68:U68"/>
    <mergeCell ref="N114:O114"/>
    <mergeCell ref="P62:Q63"/>
    <mergeCell ref="F67:AM67"/>
    <mergeCell ref="L114:M114"/>
    <mergeCell ref="P114:Q114"/>
    <mergeCell ref="R114:S114"/>
    <mergeCell ref="AL114:AM114"/>
    <mergeCell ref="Z114:AA114"/>
    <mergeCell ref="AB114:AC114"/>
    <mergeCell ref="AD114:AE114"/>
    <mergeCell ref="AF114:AG114"/>
    <mergeCell ref="AH114:AI114"/>
    <mergeCell ref="AJ114:AK114"/>
    <mergeCell ref="AB68:AC68"/>
    <mergeCell ref="F113:AM113"/>
    <mergeCell ref="X114:Y114"/>
    <mergeCell ref="F114:G114"/>
    <mergeCell ref="A7:U7"/>
    <mergeCell ref="H9:I9"/>
    <mergeCell ref="J9:K9"/>
    <mergeCell ref="L9:M9"/>
    <mergeCell ref="A10:B12"/>
    <mergeCell ref="C10:E11"/>
    <mergeCell ref="A9:G9"/>
    <mergeCell ref="N9:O9"/>
    <mergeCell ref="P9:Q9"/>
    <mergeCell ref="R9:S9"/>
    <mergeCell ref="F10:AM10"/>
    <mergeCell ref="T11:U11"/>
    <mergeCell ref="T9:U9"/>
    <mergeCell ref="L11:M11"/>
    <mergeCell ref="V9:W9"/>
    <mergeCell ref="X9:Y9"/>
    <mergeCell ref="AJ11:AK11"/>
    <mergeCell ref="AD11:AE11"/>
    <mergeCell ref="AF11:AG11"/>
    <mergeCell ref="AH11:AI11"/>
    <mergeCell ref="AF9:AG9"/>
    <mergeCell ref="AL9:AM9"/>
    <mergeCell ref="AL11:AM11"/>
    <mergeCell ref="J11:K11"/>
    <mergeCell ref="A74:B74"/>
    <mergeCell ref="A65:B65"/>
    <mergeCell ref="A70:B70"/>
    <mergeCell ref="J68:K68"/>
    <mergeCell ref="A66:O66"/>
    <mergeCell ref="A67:B69"/>
    <mergeCell ref="C67:E68"/>
    <mergeCell ref="B113:B115"/>
    <mergeCell ref="A88:A91"/>
    <mergeCell ref="A77:B77"/>
    <mergeCell ref="A83:A87"/>
    <mergeCell ref="A97:A99"/>
    <mergeCell ref="A102:B102"/>
    <mergeCell ref="A104:B104"/>
    <mergeCell ref="A78:A82"/>
    <mergeCell ref="A92:A96"/>
    <mergeCell ref="A111:B111"/>
    <mergeCell ref="A113:A115"/>
    <mergeCell ref="A105:A109"/>
    <mergeCell ref="A103:B103"/>
    <mergeCell ref="A100:B100"/>
    <mergeCell ref="A75:A76"/>
    <mergeCell ref="C113:E114"/>
    <mergeCell ref="H114:I114"/>
    <mergeCell ref="A31:A34"/>
    <mergeCell ref="A40:A42"/>
    <mergeCell ref="A35:A39"/>
    <mergeCell ref="F62:O62"/>
    <mergeCell ref="C62:E63"/>
    <mergeCell ref="F63:G63"/>
    <mergeCell ref="H63:I63"/>
    <mergeCell ref="J63:K63"/>
    <mergeCell ref="L68:M68"/>
    <mergeCell ref="N68:O68"/>
    <mergeCell ref="L57:M57"/>
    <mergeCell ref="N57:O57"/>
    <mergeCell ref="AD57:AE57"/>
    <mergeCell ref="R57:S57"/>
    <mergeCell ref="T57:U57"/>
    <mergeCell ref="V11:W11"/>
    <mergeCell ref="A17:B17"/>
    <mergeCell ref="A72:A73"/>
    <mergeCell ref="A71:B71"/>
    <mergeCell ref="A62:B64"/>
    <mergeCell ref="C56:E57"/>
    <mergeCell ref="A43:B43"/>
    <mergeCell ref="A13:B13"/>
    <mergeCell ref="A14:B14"/>
    <mergeCell ref="A15:A16"/>
    <mergeCell ref="A18:A19"/>
    <mergeCell ref="A46:B46"/>
    <mergeCell ref="A47:B47"/>
    <mergeCell ref="A45:B45"/>
    <mergeCell ref="A48:A52"/>
    <mergeCell ref="A56:A58"/>
    <mergeCell ref="B56:B58"/>
    <mergeCell ref="A54:B54"/>
    <mergeCell ref="A20:B20"/>
    <mergeCell ref="A21:A25"/>
    <mergeCell ref="A26:A30"/>
  </mergeCells>
  <phoneticPr fontId="26" type="noConversion"/>
  <conditionalFormatting sqref="CP96:CR109 CJ96:CJ109 CW96:DF109 CU96:CU109 DL96:DP109 DI96:DI109 DS96:DS109">
    <cfRule type="cellIs" dxfId="0" priority="1" operator="equal">
      <formula>1</formula>
    </cfRule>
  </conditionalFormatting>
  <dataValidations count="2">
    <dataValidation type="whole" operator="greaterThanOrEqual" allowBlank="1" showInputMessage="1" showErrorMessage="1" sqref="F116:AM117 F13:AX54 F59:AM60 F65:Q65 F70:AX111" xr:uid="{CAAB0A0F-9DE8-4536-9A65-04C4A725BEB8}">
      <formula1>0</formula1>
    </dataValidation>
    <dataValidation allowBlank="1" showInputMessage="1" showErrorMessage="1" errorTitle=" Error de ingreso" error="Debe ingresar sólo números enteros positivos." sqref="U65" xr:uid="{3692745A-1386-4047-9694-84D881CFCEF9}"/>
  </dataValidations>
  <pageMargins left="0.70866141732283472" right="0.70866141732283472" top="0.74803149606299213" bottom="0.74803149606299213" header="0.31496062992125984" footer="0.31496062992125984"/>
  <pageSetup scale="46" pageOrder="overThenDown" orientation="landscape" r:id="rId1"/>
  <colBreaks count="1" manualBreakCount="1">
    <brk id="21" max="9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M56"/>
  <sheetViews>
    <sheetView showGridLines="0" zoomScaleNormal="100" workbookViewId="0">
      <selection activeCell="A7" sqref="A7:J7"/>
    </sheetView>
  </sheetViews>
  <sheetFormatPr baseColWidth="10" defaultColWidth="11.42578125" defaultRowHeight="10.5" x14ac:dyDescent="0.15"/>
  <cols>
    <col min="1" max="1" width="54" style="180" customWidth="1"/>
    <col min="2" max="12" width="11.5703125" style="180" customWidth="1"/>
    <col min="13" max="13" width="11.42578125" style="180" customWidth="1"/>
    <col min="14" max="26" width="11.42578125" style="180"/>
    <col min="27" max="78" width="0" style="180" hidden="1" customWidth="1"/>
    <col min="79" max="16384" width="11.42578125" style="180"/>
  </cols>
  <sheetData>
    <row r="1" spans="1:13" s="57" customFormat="1" ht="13.5" customHeight="1" x14ac:dyDescent="0.15">
      <c r="A1" s="125" t="s">
        <v>0</v>
      </c>
    </row>
    <row r="2" spans="1:13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</row>
    <row r="3" spans="1:13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</row>
    <row r="4" spans="1:13" s="57" customFormat="1" ht="13.5" customHeight="1" x14ac:dyDescent="0.15">
      <c r="A4" s="125" t="str">
        <f>CONCATENATE("MES: ",NOMBRE!$B$6," - ","( ",NOMBRE!$C$6,NOMBRE!$D$6," )")</f>
        <v>MES:  - (  )</v>
      </c>
    </row>
    <row r="5" spans="1:13" s="57" customFormat="1" ht="13.5" customHeight="1" x14ac:dyDescent="0.15">
      <c r="A5" s="125" t="str">
        <f>CONCATENATE("AÑO: ",NOMBRE!$B$7)</f>
        <v>AÑO: 2023</v>
      </c>
    </row>
    <row r="6" spans="1:13" s="57" customFormat="1" ht="15" customHeight="1" x14ac:dyDescent="0.15">
      <c r="A6" s="125"/>
    </row>
    <row r="7" spans="1:13" s="59" customFormat="1" ht="21.75" customHeight="1" x14ac:dyDescent="0.15">
      <c r="A7" s="2269" t="s">
        <v>517</v>
      </c>
      <c r="B7" s="2269"/>
      <c r="C7" s="2269"/>
      <c r="D7" s="2269"/>
      <c r="E7" s="2269"/>
      <c r="F7" s="2269"/>
      <c r="G7" s="2269"/>
      <c r="H7" s="2269"/>
      <c r="I7" s="2269"/>
      <c r="J7" s="2269"/>
      <c r="K7" s="180"/>
      <c r="L7" s="180"/>
      <c r="M7" s="180"/>
    </row>
    <row r="8" spans="1:13" ht="44.1" customHeight="1" x14ac:dyDescent="0.2">
      <c r="A8" s="497" t="s">
        <v>400</v>
      </c>
      <c r="B8" s="495"/>
      <c r="C8" s="495"/>
      <c r="D8" s="402"/>
      <c r="E8" s="402"/>
      <c r="F8" s="402"/>
      <c r="G8" s="402"/>
      <c r="H8" s="402"/>
      <c r="I8" s="402"/>
      <c r="J8" s="402"/>
    </row>
    <row r="9" spans="1:13" ht="20.100000000000001" customHeight="1" x14ac:dyDescent="0.15">
      <c r="A9" s="365" t="s">
        <v>238</v>
      </c>
      <c r="B9" s="365" t="s">
        <v>13</v>
      </c>
      <c r="C9" s="395" t="s">
        <v>239</v>
      </c>
      <c r="D9" s="62" t="s">
        <v>240</v>
      </c>
      <c r="E9" s="62" t="s">
        <v>241</v>
      </c>
      <c r="F9" s="62" t="s">
        <v>242</v>
      </c>
      <c r="G9" s="62" t="s">
        <v>243</v>
      </c>
      <c r="H9" s="62" t="s">
        <v>244</v>
      </c>
      <c r="I9" s="62" t="s">
        <v>245</v>
      </c>
      <c r="J9" s="390" t="s">
        <v>246</v>
      </c>
    </row>
    <row r="10" spans="1:13" ht="15.75" customHeight="1" x14ac:dyDescent="0.15">
      <c r="A10" s="396" t="s">
        <v>247</v>
      </c>
      <c r="B10" s="940">
        <f>SUM(C10:J10)</f>
        <v>0</v>
      </c>
      <c r="C10" s="549"/>
      <c r="D10" s="550"/>
      <c r="E10" s="550"/>
      <c r="F10" s="550"/>
      <c r="G10" s="550"/>
      <c r="H10" s="550"/>
      <c r="I10" s="550"/>
      <c r="J10" s="618"/>
      <c r="K10" s="114"/>
    </row>
    <row r="11" spans="1:13" ht="18" customHeight="1" x14ac:dyDescent="0.15">
      <c r="A11" s="397" t="s">
        <v>401</v>
      </c>
      <c r="B11" s="941">
        <f>SUM(C11:J11)</f>
        <v>0</v>
      </c>
      <c r="C11" s="564"/>
      <c r="D11" s="565"/>
      <c r="E11" s="565"/>
      <c r="F11" s="565"/>
      <c r="G11" s="565"/>
      <c r="H11" s="565"/>
      <c r="I11" s="565"/>
      <c r="J11" s="620"/>
      <c r="K11" s="114"/>
    </row>
    <row r="12" spans="1:13" ht="15.75" customHeight="1" x14ac:dyDescent="0.15">
      <c r="A12" s="403" t="s">
        <v>402</v>
      </c>
      <c r="B12" s="941">
        <f>SUM(C12:J12)</f>
        <v>0</v>
      </c>
      <c r="C12" s="564"/>
      <c r="D12" s="565"/>
      <c r="E12" s="565"/>
      <c r="F12" s="565"/>
      <c r="G12" s="565"/>
      <c r="H12" s="565"/>
      <c r="I12" s="565"/>
      <c r="J12" s="620"/>
      <c r="K12" s="114"/>
    </row>
    <row r="13" spans="1:13" ht="15.75" customHeight="1" x14ac:dyDescent="0.15">
      <c r="A13" s="403" t="s">
        <v>403</v>
      </c>
      <c r="B13" s="941">
        <f>SUM(C13:J13)</f>
        <v>0</v>
      </c>
      <c r="C13" s="564"/>
      <c r="D13" s="565"/>
      <c r="E13" s="565"/>
      <c r="F13" s="565"/>
      <c r="G13" s="565"/>
      <c r="H13" s="565"/>
      <c r="I13" s="565"/>
      <c r="J13" s="620"/>
      <c r="K13" s="114"/>
    </row>
    <row r="14" spans="1:13" ht="15.75" customHeight="1" x14ac:dyDescent="0.15">
      <c r="A14" s="404" t="s">
        <v>404</v>
      </c>
      <c r="B14" s="617">
        <f>SUM(C14:J14)</f>
        <v>0</v>
      </c>
      <c r="C14" s="555"/>
      <c r="D14" s="556"/>
      <c r="E14" s="556"/>
      <c r="F14" s="556"/>
      <c r="G14" s="556"/>
      <c r="H14" s="556"/>
      <c r="I14" s="556"/>
      <c r="J14" s="621"/>
      <c r="K14" s="114"/>
    </row>
    <row r="15" spans="1:13" ht="27.6" customHeight="1" x14ac:dyDescent="0.2">
      <c r="A15" s="498" t="s">
        <v>405</v>
      </c>
      <c r="B15" s="496"/>
      <c r="C15" s="496"/>
      <c r="D15" s="308"/>
      <c r="E15" s="308"/>
      <c r="F15" s="308"/>
      <c r="G15" s="308"/>
      <c r="H15" s="308"/>
      <c r="I15" s="308"/>
      <c r="J15" s="308"/>
      <c r="K15" s="114"/>
    </row>
    <row r="16" spans="1:13" ht="15.75" customHeight="1" x14ac:dyDescent="0.15">
      <c r="A16" s="365" t="s">
        <v>238</v>
      </c>
      <c r="B16" s="365" t="s">
        <v>13</v>
      </c>
      <c r="C16" s="395" t="s">
        <v>239</v>
      </c>
      <c r="D16" s="62" t="s">
        <v>240</v>
      </c>
      <c r="E16" s="62" t="s">
        <v>241</v>
      </c>
      <c r="F16" s="62" t="s">
        <v>242</v>
      </c>
      <c r="G16" s="62" t="s">
        <v>243</v>
      </c>
      <c r="H16" s="62" t="s">
        <v>244</v>
      </c>
      <c r="I16" s="62" t="s">
        <v>245</v>
      </c>
      <c r="J16" s="354" t="s">
        <v>246</v>
      </c>
      <c r="K16" s="114"/>
    </row>
    <row r="17" spans="1:13" ht="15.75" customHeight="1" x14ac:dyDescent="0.15">
      <c r="A17" s="396" t="s">
        <v>247</v>
      </c>
      <c r="B17" s="940">
        <f>SUM(C17:J17)</f>
        <v>0</v>
      </c>
      <c r="C17" s="549"/>
      <c r="D17" s="550"/>
      <c r="E17" s="550"/>
      <c r="F17" s="550"/>
      <c r="G17" s="550"/>
      <c r="H17" s="550"/>
      <c r="I17" s="550"/>
      <c r="J17" s="618"/>
      <c r="K17" s="114"/>
    </row>
    <row r="18" spans="1:13" ht="18" customHeight="1" x14ac:dyDescent="0.15">
      <c r="A18" s="397" t="s">
        <v>401</v>
      </c>
      <c r="B18" s="941">
        <f>SUM(C18:J18)</f>
        <v>0</v>
      </c>
      <c r="C18" s="564"/>
      <c r="D18" s="565"/>
      <c r="E18" s="565"/>
      <c r="F18" s="565"/>
      <c r="G18" s="565"/>
      <c r="H18" s="565"/>
      <c r="I18" s="565"/>
      <c r="J18" s="567"/>
      <c r="K18" s="114"/>
    </row>
    <row r="19" spans="1:13" ht="15.75" customHeight="1" x14ac:dyDescent="0.15">
      <c r="A19" s="403" t="s">
        <v>402</v>
      </c>
      <c r="B19" s="941">
        <f>SUM(C19:J19)</f>
        <v>0</v>
      </c>
      <c r="C19" s="564"/>
      <c r="D19" s="565"/>
      <c r="E19" s="565"/>
      <c r="F19" s="565"/>
      <c r="G19" s="565"/>
      <c r="H19" s="565"/>
      <c r="I19" s="565"/>
      <c r="J19" s="567"/>
      <c r="K19" s="114"/>
    </row>
    <row r="20" spans="1:13" ht="15.75" customHeight="1" x14ac:dyDescent="0.15">
      <c r="A20" s="403" t="s">
        <v>403</v>
      </c>
      <c r="B20" s="941">
        <f>SUM(C20:J20)</f>
        <v>0</v>
      </c>
      <c r="C20" s="564"/>
      <c r="D20" s="565"/>
      <c r="E20" s="565"/>
      <c r="F20" s="565"/>
      <c r="G20" s="565"/>
      <c r="H20" s="565"/>
      <c r="I20" s="565"/>
      <c r="J20" s="567"/>
      <c r="K20" s="114"/>
    </row>
    <row r="21" spans="1:13" ht="15.75" customHeight="1" x14ac:dyDescent="0.15">
      <c r="A21" s="404" t="s">
        <v>404</v>
      </c>
      <c r="B21" s="617">
        <f>SUM(C21:J21)</f>
        <v>0</v>
      </c>
      <c r="C21" s="555"/>
      <c r="D21" s="556"/>
      <c r="E21" s="556"/>
      <c r="F21" s="556"/>
      <c r="G21" s="556"/>
      <c r="H21" s="556"/>
      <c r="I21" s="556"/>
      <c r="J21" s="571"/>
      <c r="K21" s="114"/>
    </row>
    <row r="22" spans="1:13" ht="30.75" customHeight="1" x14ac:dyDescent="0.2">
      <c r="A22" s="1044" t="s">
        <v>406</v>
      </c>
      <c r="B22" s="57"/>
      <c r="C22" s="57"/>
      <c r="D22" s="402"/>
      <c r="E22" s="402"/>
      <c r="F22" s="402"/>
      <c r="G22" s="402"/>
      <c r="H22" s="402"/>
      <c r="I22" s="402"/>
      <c r="J22" s="402"/>
      <c r="K22" s="57"/>
    </row>
    <row r="23" spans="1:13" ht="20.100000000000001" customHeight="1" x14ac:dyDescent="0.15">
      <c r="A23" s="2266" t="s">
        <v>411</v>
      </c>
      <c r="B23" s="2267"/>
      <c r="C23" s="2268"/>
      <c r="D23" s="405" t="s">
        <v>13</v>
      </c>
      <c r="E23" s="406" t="s">
        <v>239</v>
      </c>
      <c r="F23" s="407" t="s">
        <v>240</v>
      </c>
      <c r="G23" s="407" t="s">
        <v>241</v>
      </c>
      <c r="H23" s="407" t="s">
        <v>242</v>
      </c>
      <c r="I23" s="407" t="s">
        <v>243</v>
      </c>
      <c r="J23" s="407" t="s">
        <v>244</v>
      </c>
      <c r="K23" s="408" t="s">
        <v>245</v>
      </c>
      <c r="L23" s="409" t="s">
        <v>246</v>
      </c>
      <c r="M23" s="57"/>
    </row>
    <row r="24" spans="1:13" ht="16.5" customHeight="1" x14ac:dyDescent="0.15">
      <c r="A24" s="2278" t="s">
        <v>407</v>
      </c>
      <c r="B24" s="2278"/>
      <c r="C24" s="2279"/>
      <c r="D24" s="937">
        <f t="shared" ref="D24:D30" si="0">SUM(E24:L24)</f>
        <v>0</v>
      </c>
      <c r="E24" s="942"/>
      <c r="F24" s="943"/>
      <c r="G24" s="943"/>
      <c r="H24" s="943"/>
      <c r="I24" s="943"/>
      <c r="J24" s="943"/>
      <c r="K24" s="943"/>
      <c r="L24" s="944"/>
      <c r="M24" s="114"/>
    </row>
    <row r="25" spans="1:13" ht="21.75" customHeight="1" x14ac:dyDescent="0.15">
      <c r="A25" s="2284" t="s">
        <v>408</v>
      </c>
      <c r="B25" s="2276" t="s">
        <v>497</v>
      </c>
      <c r="C25" s="2277"/>
      <c r="D25" s="938">
        <f t="shared" si="0"/>
        <v>0</v>
      </c>
      <c r="E25" s="945"/>
      <c r="F25" s="946"/>
      <c r="G25" s="946"/>
      <c r="H25" s="946"/>
      <c r="I25" s="946"/>
      <c r="J25" s="946"/>
      <c r="K25" s="946"/>
      <c r="L25" s="947"/>
      <c r="M25" s="114"/>
    </row>
    <row r="26" spans="1:13" ht="21.75" customHeight="1" x14ac:dyDescent="0.15">
      <c r="A26" s="2285"/>
      <c r="B26" s="2276" t="s">
        <v>498</v>
      </c>
      <c r="C26" s="2277"/>
      <c r="D26" s="938">
        <f t="shared" si="0"/>
        <v>0</v>
      </c>
      <c r="E26" s="945"/>
      <c r="F26" s="946"/>
      <c r="G26" s="946"/>
      <c r="H26" s="946"/>
      <c r="I26" s="946"/>
      <c r="J26" s="946"/>
      <c r="K26" s="946"/>
      <c r="L26" s="947"/>
    </row>
    <row r="27" spans="1:13" ht="21.75" customHeight="1" x14ac:dyDescent="0.15">
      <c r="A27" s="2286"/>
      <c r="B27" s="2274" t="s">
        <v>499</v>
      </c>
      <c r="C27" s="2275"/>
      <c r="D27" s="937">
        <f t="shared" si="0"/>
        <v>0</v>
      </c>
      <c r="E27" s="942"/>
      <c r="F27" s="943"/>
      <c r="G27" s="943"/>
      <c r="H27" s="943"/>
      <c r="I27" s="943"/>
      <c r="J27" s="943"/>
      <c r="K27" s="943"/>
      <c r="L27" s="944"/>
    </row>
    <row r="28" spans="1:13" ht="21.75" customHeight="1" x14ac:dyDescent="0.15">
      <c r="A28" s="2280" t="s">
        <v>409</v>
      </c>
      <c r="B28" s="2272" t="s">
        <v>410</v>
      </c>
      <c r="C28" s="2273"/>
      <c r="D28" s="939">
        <f t="shared" si="0"/>
        <v>0</v>
      </c>
      <c r="E28" s="948"/>
      <c r="F28" s="949"/>
      <c r="G28" s="949"/>
      <c r="H28" s="949"/>
      <c r="I28" s="949"/>
      <c r="J28" s="949"/>
      <c r="K28" s="949"/>
      <c r="L28" s="950"/>
    </row>
    <row r="29" spans="1:13" ht="21.75" customHeight="1" x14ac:dyDescent="0.15">
      <c r="A29" s="2281"/>
      <c r="B29" s="2270" t="s">
        <v>412</v>
      </c>
      <c r="C29" s="2271"/>
      <c r="D29" s="938">
        <f t="shared" si="0"/>
        <v>0</v>
      </c>
      <c r="E29" s="945"/>
      <c r="F29" s="946"/>
      <c r="G29" s="946"/>
      <c r="H29" s="946"/>
      <c r="I29" s="946"/>
      <c r="J29" s="946"/>
      <c r="K29" s="946"/>
      <c r="L29" s="951"/>
    </row>
    <row r="30" spans="1:13" ht="21.75" customHeight="1" x14ac:dyDescent="0.15">
      <c r="A30" s="2281"/>
      <c r="B30" s="2270" t="s">
        <v>413</v>
      </c>
      <c r="C30" s="2271"/>
      <c r="D30" s="938">
        <f t="shared" si="0"/>
        <v>0</v>
      </c>
      <c r="E30" s="945"/>
      <c r="F30" s="946"/>
      <c r="G30" s="946"/>
      <c r="H30" s="946"/>
      <c r="I30" s="946"/>
      <c r="J30" s="946"/>
      <c r="K30" s="946"/>
      <c r="L30" s="951"/>
    </row>
    <row r="31" spans="1:13" ht="24.75" customHeight="1" x14ac:dyDescent="0.15">
      <c r="A31" s="2281"/>
      <c r="B31" s="2270" t="s">
        <v>414</v>
      </c>
      <c r="C31" s="2271"/>
      <c r="D31" s="938">
        <f>SUM(E31:L31)</f>
        <v>0</v>
      </c>
      <c r="E31" s="945"/>
      <c r="F31" s="946"/>
      <c r="G31" s="946"/>
      <c r="H31" s="946"/>
      <c r="I31" s="946"/>
      <c r="J31" s="946"/>
      <c r="K31" s="946"/>
      <c r="L31" s="951"/>
    </row>
    <row r="32" spans="1:13" ht="21.75" customHeight="1" x14ac:dyDescent="0.15">
      <c r="A32" s="2279"/>
      <c r="B32" s="2282" t="s">
        <v>415</v>
      </c>
      <c r="C32" s="2283"/>
      <c r="D32" s="937">
        <f>SUM(E32:L32)</f>
        <v>0</v>
      </c>
      <c r="E32" s="942"/>
      <c r="F32" s="943"/>
      <c r="G32" s="943"/>
      <c r="H32" s="943"/>
      <c r="I32" s="943"/>
      <c r="J32" s="943"/>
      <c r="K32" s="943"/>
      <c r="L32" s="952"/>
    </row>
    <row r="49" spans="1:2" s="387" customFormat="1" ht="13.9" hidden="1" customHeight="1" x14ac:dyDescent="0.15">
      <c r="A49" s="1286">
        <f>SUM(B10:J14,B17:J21,D24:L32)</f>
        <v>0</v>
      </c>
      <c r="B49" s="381" t="s">
        <v>317</v>
      </c>
    </row>
    <row r="50" spans="1:2" s="387" customFormat="1" ht="13.9" hidden="1" customHeight="1" x14ac:dyDescent="0.15">
      <c r="A50" s="1286">
        <f>SUM(0)</f>
        <v>0</v>
      </c>
      <c r="B50" s="381" t="s">
        <v>318</v>
      </c>
    </row>
    <row r="51" spans="1:2" ht="13.9" customHeight="1" x14ac:dyDescent="0.15"/>
    <row r="56" spans="1:2" hidden="1" x14ac:dyDescent="0.15">
      <c r="A56" s="410">
        <f>SUM(A8:J29)</f>
        <v>0</v>
      </c>
    </row>
  </sheetData>
  <sheetProtection algorithmName="SHA-512" hashValue="E6odZIcrCnErUYLA5I5paNaA+BzkC8e+SxIdVLiDSezQn2xhrzSkXU8c3dpuFaLv1fo6URbnZ9nkTDA7xyx7Qw==" saltValue="qgF7OkYIondppt/ff7in7Q==" spinCount="100000" sheet="1" objects="1" scenarios="1"/>
  <mergeCells count="13">
    <mergeCell ref="A23:C23"/>
    <mergeCell ref="A7:J7"/>
    <mergeCell ref="B29:C29"/>
    <mergeCell ref="B28:C28"/>
    <mergeCell ref="B27:C27"/>
    <mergeCell ref="B26:C26"/>
    <mergeCell ref="A24:C24"/>
    <mergeCell ref="A28:A32"/>
    <mergeCell ref="B30:C30"/>
    <mergeCell ref="B31:C31"/>
    <mergeCell ref="B32:C32"/>
    <mergeCell ref="B25:C25"/>
    <mergeCell ref="A25:A27"/>
  </mergeCells>
  <phoneticPr fontId="26" type="noConversion"/>
  <dataValidations count="2">
    <dataValidation type="whole" allowBlank="1" showInputMessage="1" showErrorMessage="1" errorTitle="Error de ingreso" error="Debe ingresar sólo números enteros positivos." sqref="A1:A25 E22:J23 M1:XFD1048576 E33:L1048576 K1:L23 C15:J16 B1:B1048576 C22:D1048576 C1:J9 A28:A1048576" xr:uid="{00000000-0002-0000-0700-000000000000}">
      <formula1>0</formula1>
      <formula2>1000000000</formula2>
    </dataValidation>
    <dataValidation type="whole" operator="greaterThanOrEqual" allowBlank="1" showInputMessage="1" showErrorMessage="1" errorTitle="Error de ingreso" error="Debe ingresar sólo números enteros positivos." sqref="C10:J14 C17:J21 E24:L32" xr:uid="{32353FC4-4968-40D8-BDD1-BA9B3D70453E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Z107"/>
  <sheetViews>
    <sheetView zoomScaleNormal="100" workbookViewId="0">
      <selection activeCell="C7" sqref="C7:Q7"/>
    </sheetView>
  </sheetViews>
  <sheetFormatPr baseColWidth="10" defaultColWidth="11.42578125" defaultRowHeight="10.5" x14ac:dyDescent="0.15"/>
  <cols>
    <col min="1" max="1" width="19.5703125" style="308" customWidth="1"/>
    <col min="2" max="2" width="36.85546875" style="308" customWidth="1"/>
    <col min="3" max="17" width="10.5703125" style="308" customWidth="1"/>
    <col min="18" max="18" width="11.7109375" style="308" customWidth="1"/>
    <col min="19" max="19" width="11.42578125" style="308"/>
    <col min="20" max="24" width="11.42578125" style="308" customWidth="1"/>
    <col min="25" max="26" width="11.7109375" style="308" customWidth="1"/>
    <col min="27" max="52" width="11.7109375" style="387" hidden="1" customWidth="1"/>
    <col min="53" max="54" width="11.7109375" style="308" customWidth="1"/>
    <col min="55" max="16384" width="11.42578125" style="308"/>
  </cols>
  <sheetData>
    <row r="1" spans="1:51" ht="13.5" customHeight="1" x14ac:dyDescent="0.15">
      <c r="A1" s="197" t="s">
        <v>0</v>
      </c>
    </row>
    <row r="2" spans="1:51" ht="13.5" customHeight="1" x14ac:dyDescent="0.15">
      <c r="A2" s="197" t="str">
        <f>CONCATENATE("COMUNA: ",NOMBRE!$B$2," - ","( ",NOMBRE!$C$2,NOMBRE!$D$2,NOMBRE!$E$2,NOMBRE!$F$2,NOMBRE!$G$2," )")</f>
        <v>COMUNA:  - (  )</v>
      </c>
    </row>
    <row r="3" spans="1:51" ht="13.5" customHeight="1" x14ac:dyDescent="0.15">
      <c r="A3" s="197" t="str">
        <f>CONCATENATE("ESTABLECIMIENTO/ESTRATEGIA: ",NOMBRE!$B$3," - ","( ",NOMBRE!$C$3,NOMBRE!$D$3,NOMBRE!$E$3,NOMBRE!$F$3,NOMBRE!$G$3,NOMBRE!$H$3," )")</f>
        <v>ESTABLECIMIENTO/ESTRATEGIA:  - (  )</v>
      </c>
    </row>
    <row r="4" spans="1:51" ht="13.5" customHeight="1" x14ac:dyDescent="0.15">
      <c r="A4" s="197" t="str">
        <f>CONCATENATE("MES: ",NOMBRE!$B$6," - ","( ",NOMBRE!$C$6,NOMBRE!$D$6," )")</f>
        <v>MES:  - (  )</v>
      </c>
    </row>
    <row r="5" spans="1:51" ht="13.5" customHeight="1" x14ac:dyDescent="0.15">
      <c r="A5" s="197" t="str">
        <f>CONCATENATE("AÑO: ",NOMBRE!$B$7)</f>
        <v>AÑO: 2023</v>
      </c>
    </row>
    <row r="6" spans="1:51" ht="15" customHeight="1" x14ac:dyDescent="0.15"/>
    <row r="7" spans="1:51" ht="26.25" customHeight="1" x14ac:dyDescent="0.2">
      <c r="C7" s="2287" t="s">
        <v>518</v>
      </c>
      <c r="D7" s="2287"/>
      <c r="E7" s="2287"/>
      <c r="F7" s="2287"/>
      <c r="G7" s="2287"/>
      <c r="H7" s="2287"/>
      <c r="I7" s="2287"/>
      <c r="J7" s="2287"/>
      <c r="K7" s="2287"/>
      <c r="L7" s="2287"/>
      <c r="M7" s="2287"/>
      <c r="N7" s="2287"/>
      <c r="O7" s="2287"/>
      <c r="P7" s="2287"/>
      <c r="Q7" s="2287"/>
      <c r="R7" s="308" t="str">
        <f>AK7 &amp; AL7 &amp; AM7 &amp; AN7 &amp; AK6 &amp; AL6 &amp; AM6 &amp; AN6</f>
        <v/>
      </c>
      <c r="S7" s="969"/>
      <c r="T7" s="969"/>
    </row>
    <row r="9" spans="1:51" ht="30.75" customHeight="1" x14ac:dyDescent="0.15">
      <c r="A9" s="198" t="s">
        <v>456</v>
      </c>
      <c r="B9" s="198"/>
      <c r="C9" s="499"/>
      <c r="D9" s="499"/>
      <c r="E9" s="499"/>
      <c r="F9" s="499"/>
      <c r="G9" s="499"/>
      <c r="H9" s="499"/>
    </row>
    <row r="10" spans="1:51" ht="27" customHeight="1" x14ac:dyDescent="0.15">
      <c r="A10" s="2076" t="s">
        <v>76</v>
      </c>
      <c r="B10" s="2078"/>
      <c r="C10" s="2298" t="s">
        <v>13</v>
      </c>
      <c r="D10" s="2294"/>
      <c r="E10" s="2295"/>
      <c r="F10" s="2298" t="s">
        <v>376</v>
      </c>
      <c r="G10" s="2294"/>
      <c r="H10" s="2295"/>
      <c r="I10" s="2298" t="s">
        <v>377</v>
      </c>
      <c r="J10" s="2294"/>
      <c r="K10" s="2294"/>
      <c r="L10" s="2296" t="s">
        <v>851</v>
      </c>
      <c r="M10" s="2293"/>
      <c r="N10" s="2297"/>
      <c r="O10" s="2293" t="s">
        <v>814</v>
      </c>
      <c r="P10" s="2294"/>
      <c r="Q10" s="2295"/>
    </row>
    <row r="11" spans="1:51" ht="28.5" customHeight="1" x14ac:dyDescent="0.25">
      <c r="A11" s="2079"/>
      <c r="B11" s="2081"/>
      <c r="C11" s="363" t="s">
        <v>93</v>
      </c>
      <c r="D11" s="181" t="s">
        <v>31</v>
      </c>
      <c r="E11" s="192" t="s">
        <v>94</v>
      </c>
      <c r="F11" s="181" t="s">
        <v>93</v>
      </c>
      <c r="G11" s="181" t="s">
        <v>31</v>
      </c>
      <c r="H11" s="192" t="s">
        <v>94</v>
      </c>
      <c r="I11" s="181" t="s">
        <v>93</v>
      </c>
      <c r="J11" s="181" t="s">
        <v>31</v>
      </c>
      <c r="K11" s="369" t="s">
        <v>94</v>
      </c>
      <c r="L11" s="301" t="s">
        <v>93</v>
      </c>
      <c r="M11" s="181" t="s">
        <v>31</v>
      </c>
      <c r="N11" s="1181" t="s">
        <v>94</v>
      </c>
      <c r="O11" s="1179" t="s">
        <v>93</v>
      </c>
      <c r="P11" s="181" t="s">
        <v>31</v>
      </c>
      <c r="Q11" s="371" t="s">
        <v>94</v>
      </c>
      <c r="R11" s="308" t="str">
        <f>AK11 &amp; AL11 &amp; AM11 &amp; AN11</f>
        <v/>
      </c>
      <c r="V11" s="1050"/>
      <c r="AK11" s="381"/>
      <c r="AL11" s="381"/>
      <c r="AM11" s="381"/>
      <c r="AN11" s="381"/>
      <c r="AT11" s="385"/>
      <c r="AU11" s="385"/>
      <c r="AV11" s="391"/>
      <c r="AW11" s="391"/>
      <c r="AX11" s="391"/>
      <c r="AY11" s="391"/>
    </row>
    <row r="12" spans="1:51" ht="18" customHeight="1" x14ac:dyDescent="0.15">
      <c r="A12" s="2340" t="s">
        <v>519</v>
      </c>
      <c r="B12" s="2341"/>
      <c r="C12" s="514">
        <f>SUM(D12:E12)</f>
        <v>0</v>
      </c>
      <c r="D12" s="515">
        <f>+G12+J12</f>
        <v>0</v>
      </c>
      <c r="E12" s="516">
        <f>+H12+K12</f>
        <v>0</v>
      </c>
      <c r="F12" s="514">
        <f>SUM(G12:H12)</f>
        <v>0</v>
      </c>
      <c r="G12" s="259"/>
      <c r="H12" s="260"/>
      <c r="I12" s="514">
        <f>SUM(J12:K12)</f>
        <v>0</v>
      </c>
      <c r="J12" s="259"/>
      <c r="K12" s="260"/>
      <c r="L12" s="517">
        <f>SUM(M12:N12)</f>
        <v>0</v>
      </c>
      <c r="M12" s="259"/>
      <c r="N12" s="260"/>
      <c r="O12" s="1180">
        <f>SUM(P12:Q12)</f>
        <v>0</v>
      </c>
      <c r="P12" s="259"/>
      <c r="Q12" s="260"/>
      <c r="R12" s="384" t="str">
        <f>AK12 &amp; AL12 &amp; AM12 &amp; AN12</f>
        <v/>
      </c>
      <c r="AK12" s="381" t="str">
        <f>IF($C12&lt;$L12, "* El Total de 'Adolescentes de Pueblos Originarios' debe ser menor o igual al Total Adolecentes 'Ambos sexos'. ", "")</f>
        <v/>
      </c>
      <c r="AL12" s="381" t="str">
        <f>IF($C12&lt;$O12, "* El total de 'Adolescentes de Migrantes' debe ser menor o igual al Total Adolecentes 'Ambos sexos'. ", "")</f>
        <v/>
      </c>
      <c r="AM12" s="381" t="str">
        <f>IF(AND(D12&lt;&gt;0,M12=""),"* No olvide escribir en la celda de 'Pueblos Originarios' (Digite CERO si no tiene). ",IF(AND(E12&lt;&gt;0,N12=""),"* No olvide escribir en la celda de 'Pueblos Originarios' (Digite CERO si no tiene). ",""))</f>
        <v/>
      </c>
      <c r="AN12" s="381" t="str">
        <f>IF(AND(D12&lt;&gt;0,P12=""),"* No olvide escribir en la celda de 'Población Migrantes' (Digite CERO si no tiene). ",IF(AND(E12&lt;&gt;0,Q12=""),"* No olvide escribir en la celda de 'Población Migrantes' (Digite CERO si no tiene). ",""))</f>
        <v/>
      </c>
      <c r="AT12" s="385"/>
      <c r="AU12" s="385"/>
      <c r="AV12" s="391">
        <f>IF($C12&lt;$L12, 1,0)</f>
        <v>0</v>
      </c>
      <c r="AW12" s="391">
        <f>IF($C12&lt;$O12, 1,0)</f>
        <v>0</v>
      </c>
      <c r="AX12" s="391">
        <f>IF(AND(D12&lt;&gt;0,M12=""),1,IF(AND(E12&lt;&gt;0,N12=""),1,0))</f>
        <v>0</v>
      </c>
      <c r="AY12" s="391">
        <f>IF(AND(D12&lt;&gt;0,P12=""),1,IF(AND(E12&lt;&gt;0,Q12=""),1,0))</f>
        <v>0</v>
      </c>
    </row>
    <row r="13" spans="1:51" ht="16.5" customHeight="1" x14ac:dyDescent="0.15">
      <c r="A13" s="1811" t="s">
        <v>378</v>
      </c>
      <c r="B13" s="199" t="s">
        <v>446</v>
      </c>
      <c r="C13" s="518">
        <f t="shared" ref="C13:C39" si="0">SUM(D13:E13)</f>
        <v>0</v>
      </c>
      <c r="D13" s="519">
        <f t="shared" ref="D13:D19" si="1">+G13+J13</f>
        <v>0</v>
      </c>
      <c r="E13" s="520">
        <f t="shared" ref="E13:E39" si="2">+H13+K13</f>
        <v>0</v>
      </c>
      <c r="F13" s="518">
        <f>SUM(G13:H13)</f>
        <v>0</v>
      </c>
      <c r="G13" s="273"/>
      <c r="H13" s="274"/>
      <c r="I13" s="518">
        <f>SUM(J13:K13)</f>
        <v>0</v>
      </c>
      <c r="J13" s="273"/>
      <c r="K13" s="274"/>
      <c r="L13" s="521">
        <f>SUM(M13:N13)</f>
        <v>0</v>
      </c>
      <c r="M13" s="273"/>
      <c r="N13" s="274"/>
      <c r="O13" s="522">
        <f>SUM(P13:Q13)</f>
        <v>0</v>
      </c>
      <c r="P13" s="273"/>
      <c r="Q13" s="274"/>
      <c r="R13" s="384" t="str">
        <f>AK13 &amp; AL13 &amp; AM13 &amp; AN13</f>
        <v/>
      </c>
      <c r="AK13" s="381" t="str">
        <f>IF($C13&lt;$L13, "* El Total de 'Adolescentes de Pueblos Originarios' debe ser menor o igual al Total Adolecentes 'Ambos sexos'. ", "")</f>
        <v/>
      </c>
      <c r="AL13" s="381" t="str">
        <f>IF($C13&lt;$O13, "* El total de 'Adolescentes de Migrantes' debe ser menor o igual al Total Adolecentes 'Ambos sexos'. ", "")</f>
        <v/>
      </c>
      <c r="AM13" s="381" t="str">
        <f>IF(AND(D13&lt;&gt;0,M13=""),"* No olvide escribir en la celda de 'Pueblos Originarios' (Digite CERO si no tiene). ",IF(AND(E13&lt;&gt;0,N13=""),"* No olvide escribir en la celda de 'Pueblos Originarios' (Digite CERO si no tiene). ",""))</f>
        <v/>
      </c>
      <c r="AN13" s="381" t="str">
        <f>IF(AND(D13&lt;&gt;0,P13=""),"* No olvide escribir en la celda de 'Población Migrantes' (Digite CERO si no tiene). ",IF(AND(E13&lt;&gt;0,Q13=""),"* No olvide escribir en la celda de 'Población Migrantes' (Digite CERO si no tiene). ",""))</f>
        <v/>
      </c>
      <c r="AT13" s="385"/>
      <c r="AU13" s="385"/>
      <c r="AV13" s="391">
        <f t="shared" ref="AV13:AV39" si="3">IF($C13&lt;$L13, 1,0)</f>
        <v>0</v>
      </c>
      <c r="AW13" s="391">
        <f t="shared" ref="AW13:AW39" si="4">IF($C13&lt;$O13, 1,0)</f>
        <v>0</v>
      </c>
      <c r="AX13" s="391">
        <f>IF(AND(D13&lt;&gt;0,M13=""),1,IF(AND(E13&lt;&gt;0,N13=""),1,0))</f>
        <v>0</v>
      </c>
      <c r="AY13" s="391">
        <f>IF(AND(D13&lt;&gt;0,P13=""),1,IF(AND(E13&lt;&gt;0,Q13=""),1,0))</f>
        <v>0</v>
      </c>
    </row>
    <row r="14" spans="1:51" ht="16.5" customHeight="1" x14ac:dyDescent="0.25">
      <c r="A14" s="1811"/>
      <c r="B14" s="200" t="s">
        <v>447</v>
      </c>
      <c r="C14" s="523">
        <f t="shared" si="0"/>
        <v>0</v>
      </c>
      <c r="D14" s="524">
        <f t="shared" si="1"/>
        <v>0</v>
      </c>
      <c r="E14" s="520">
        <f>+H14+K14</f>
        <v>0</v>
      </c>
      <c r="F14" s="523">
        <f>SUM(G14:H14)</f>
        <v>0</v>
      </c>
      <c r="G14" s="275"/>
      <c r="H14" s="276"/>
      <c r="I14" s="523">
        <f>SUM(J14:K14)</f>
        <v>0</v>
      </c>
      <c r="J14" s="275"/>
      <c r="K14" s="276"/>
      <c r="L14" s="525">
        <f>SUM(M14:N14)</f>
        <v>0</v>
      </c>
      <c r="M14" s="275"/>
      <c r="N14" s="276"/>
      <c r="O14" s="526">
        <f>SUM(P14:Q14)</f>
        <v>0</v>
      </c>
      <c r="P14" s="275"/>
      <c r="Q14" s="276"/>
      <c r="R14" s="384" t="str">
        <f>AK14 &amp; AL14 &amp; AM14 &amp; AN14</f>
        <v/>
      </c>
      <c r="V14" s="1050"/>
      <c r="AK14" s="381" t="str">
        <f>IF($C14&lt;$L14, "* El Total de 'Adolescentes de Pueblos Originarios' debe ser menor o igual al Total Adolecentes 'Ambos sexos'. ", "")</f>
        <v/>
      </c>
      <c r="AL14" s="381" t="str">
        <f>IF($C14&lt;$O14, "* El total de 'Adolescentes de Migrantes' debe ser menor o igual al Total Adolecentes 'Ambos sexos'. ", "")</f>
        <v/>
      </c>
      <c r="AM14" s="381" t="str">
        <f>IF(AND(D14&lt;&gt;0,M14=""),"* No olvide escribir en la celda de 'Pueblos Originarios' (Digite CERO si no tiene). ",IF(AND(E14&lt;&gt;0,N14=""),"* No olvide escribir en la celda de 'Pueblos Originarios' (Digite CERO si no tiene). ",""))</f>
        <v/>
      </c>
      <c r="AN14" s="381" t="str">
        <f>IF(AND(D14&lt;&gt;0,P14=""),"* No olvide escribir en la celda de 'Población Migrantes' (Digite CERO si no tiene). ",IF(AND(E14&lt;&gt;0,Q14=""),"* No olvide escribir en la celda de 'Población Migrantes' (Digite CERO si no tiene). ",""))</f>
        <v/>
      </c>
      <c r="AT14" s="385"/>
      <c r="AU14" s="385"/>
      <c r="AV14" s="391">
        <f t="shared" si="3"/>
        <v>0</v>
      </c>
      <c r="AW14" s="391">
        <f t="shared" si="4"/>
        <v>0</v>
      </c>
      <c r="AX14" s="391">
        <f>IF(AND(D14&lt;&gt;0,M14=""),1,IF(AND(E14&lt;&gt;0,N14=""),1,0))</f>
        <v>0</v>
      </c>
      <c r="AY14" s="391">
        <f>IF(AND(D14&lt;&gt;0,P14=""),1,IF(AND(E14&lt;&gt;0,Q14=""),1,0))</f>
        <v>0</v>
      </c>
    </row>
    <row r="15" spans="1:51" ht="16.5" customHeight="1" x14ac:dyDescent="0.15">
      <c r="A15" s="1811"/>
      <c r="B15" s="201" t="s">
        <v>448</v>
      </c>
      <c r="C15" s="527">
        <f t="shared" si="0"/>
        <v>0</v>
      </c>
      <c r="D15" s="528">
        <f t="shared" si="1"/>
        <v>0</v>
      </c>
      <c r="E15" s="529">
        <f t="shared" si="2"/>
        <v>0</v>
      </c>
      <c r="F15" s="527">
        <f>SUM(G15:H15)</f>
        <v>0</v>
      </c>
      <c r="G15" s="277"/>
      <c r="H15" s="278"/>
      <c r="I15" s="527">
        <f>SUM(J15:K15)</f>
        <v>0</v>
      </c>
      <c r="J15" s="277"/>
      <c r="K15" s="278"/>
      <c r="L15" s="530">
        <f>SUM(M15:N15)</f>
        <v>0</v>
      </c>
      <c r="M15" s="277"/>
      <c r="N15" s="278"/>
      <c r="O15" s="529">
        <f>SUM(P15:Q15)</f>
        <v>0</v>
      </c>
      <c r="P15" s="277"/>
      <c r="Q15" s="278"/>
      <c r="R15" s="384" t="str">
        <f>AK15 &amp; AL15 &amp; AM15 &amp; AN15</f>
        <v/>
      </c>
      <c r="AK15" s="381" t="str">
        <f>IF($C15&lt;$L15, "* El Total de 'Adolescentes de Pueblos Originarios' debe ser menor o igual al Total Adolecentes 'Ambos sexos'. ", "")</f>
        <v/>
      </c>
      <c r="AL15" s="381" t="str">
        <f>IF($C15&lt;$O15, "* El total de 'Adolescentes de Migrantes' debe ser menor o igual al Total Adolecentes 'Ambos sexos'. ", "")</f>
        <v/>
      </c>
      <c r="AM15" s="381" t="str">
        <f>IF(AND(D15&lt;&gt;0,M15=""),"* No olvide escribir en la celda de 'Pueblos Originarios' (Digite CERO si no tiene). ",IF(AND(E15&lt;&gt;0,N15=""),"* No olvide escribir en la celda de 'Pueblos Originarios' (Digite CERO si no tiene). ",""))</f>
        <v/>
      </c>
      <c r="AN15" s="381" t="str">
        <f>IF(AND(D15&lt;&gt;0,P15=""),"* No olvide escribir en la celda de 'Población Migrantes' (Digite CERO si no tiene). ",IF(AND(E15&lt;&gt;0,Q15=""),"* No olvide escribir en la celda de 'Población Migrantes' (Digite CERO si no tiene). ",""))</f>
        <v/>
      </c>
      <c r="AT15" s="385"/>
      <c r="AU15" s="385"/>
      <c r="AV15" s="391">
        <f t="shared" si="3"/>
        <v>0</v>
      </c>
      <c r="AW15" s="391">
        <f t="shared" si="4"/>
        <v>0</v>
      </c>
      <c r="AX15" s="391">
        <f>IF(AND(D15&lt;&gt;0,M15=""),1,IF(AND(E15&lt;&gt;0,N15=""),1,0))</f>
        <v>0</v>
      </c>
      <c r="AY15" s="391">
        <f>IF(AND(D15&lt;&gt;0,P15=""),1,IF(AND(E15&lt;&gt;0,Q15=""),1,0))</f>
        <v>0</v>
      </c>
    </row>
    <row r="16" spans="1:51" ht="13.5" customHeight="1" x14ac:dyDescent="0.15">
      <c r="A16" s="1811"/>
      <c r="B16" s="202" t="s">
        <v>102</v>
      </c>
      <c r="C16" s="531">
        <f t="shared" si="0"/>
        <v>0</v>
      </c>
      <c r="D16" s="532">
        <f>+G16+J16</f>
        <v>0</v>
      </c>
      <c r="E16" s="533">
        <f t="shared" si="2"/>
        <v>0</v>
      </c>
      <c r="F16" s="531">
        <f>SUM(F13:F15)</f>
        <v>0</v>
      </c>
      <c r="G16" s="532">
        <f>SUM(G13:G15)</f>
        <v>0</v>
      </c>
      <c r="H16" s="533">
        <f>SUM(H13:H15)</f>
        <v>0</v>
      </c>
      <c r="I16" s="531">
        <f>SUM(I13:I15)</f>
        <v>0</v>
      </c>
      <c r="J16" s="532">
        <f t="shared" ref="J16:K16" si="5">SUM(J13:J15)</f>
        <v>0</v>
      </c>
      <c r="K16" s="534">
        <f t="shared" si="5"/>
        <v>0</v>
      </c>
      <c r="L16" s="535">
        <f t="shared" ref="L16:Q16" si="6">SUM(L13:L15)</f>
        <v>0</v>
      </c>
      <c r="M16" s="532">
        <f t="shared" si="6"/>
        <v>0</v>
      </c>
      <c r="N16" s="533">
        <f t="shared" si="6"/>
        <v>0</v>
      </c>
      <c r="O16" s="533">
        <f t="shared" si="6"/>
        <v>0</v>
      </c>
      <c r="P16" s="532">
        <f t="shared" si="6"/>
        <v>0</v>
      </c>
      <c r="Q16" s="536">
        <f t="shared" si="6"/>
        <v>0</v>
      </c>
      <c r="R16" s="384"/>
      <c r="AT16" s="385"/>
      <c r="AU16" s="385"/>
      <c r="AV16" s="385"/>
      <c r="AW16" s="385"/>
      <c r="AX16" s="385"/>
      <c r="AY16" s="385"/>
    </row>
    <row r="17" spans="1:51" ht="18.75" customHeight="1" x14ac:dyDescent="0.15">
      <c r="A17" s="1811"/>
      <c r="B17" s="203" t="s">
        <v>536</v>
      </c>
      <c r="C17" s="518">
        <f t="shared" si="0"/>
        <v>0</v>
      </c>
      <c r="D17" s="519">
        <f t="shared" si="1"/>
        <v>0</v>
      </c>
      <c r="E17" s="520">
        <f t="shared" si="2"/>
        <v>0</v>
      </c>
      <c r="F17" s="518">
        <f>SUM(G17:H17)</f>
        <v>0</v>
      </c>
      <c r="G17" s="261"/>
      <c r="H17" s="262"/>
      <c r="I17" s="518">
        <f>SUM(J17:K17)</f>
        <v>0</v>
      </c>
      <c r="J17" s="261"/>
      <c r="K17" s="285"/>
      <c r="L17" s="537">
        <f>SUM(M17:N17)</f>
        <v>0</v>
      </c>
      <c r="M17" s="261"/>
      <c r="N17" s="262"/>
      <c r="O17" s="520">
        <f>SUM(P17:Q17)</f>
        <v>0</v>
      </c>
      <c r="P17" s="261"/>
      <c r="Q17" s="262"/>
      <c r="R17" s="384" t="str">
        <f>AK17 &amp; AL17 &amp; AM17 &amp; AN17</f>
        <v/>
      </c>
      <c r="AK17" s="381" t="str">
        <f>IF($C17&lt;$L17, "* El Total de 'Adolescentes de Pueblos Originarios' debe ser menor o igual al Total Adolecentes 'Ambos sexos'. ", "")</f>
        <v/>
      </c>
      <c r="AL17" s="381" t="str">
        <f>IF($C17&lt;$O17, "* El total de 'Adolescentes de Migrantes' debe ser menor o igual al Total Adolecentes 'Ambos sexos'. ", "")</f>
        <v/>
      </c>
      <c r="AM17" s="381" t="str">
        <f>IF(AND(D17&lt;&gt;0,M17=""),"* No olvide escribir en la celda de 'Pueblos Originarios' (Digite CERO si no tiene). ",IF(AND(E17&lt;&gt;0,N17=""),"* No olvide escribir en la celda de 'Pueblos Originarios' (Digite CERO si no tiene). ",""))</f>
        <v/>
      </c>
      <c r="AN17" s="381" t="str">
        <f>IF(AND(D17&lt;&gt;0,P17=""),"* No olvide escribir en la celda de 'Población Migrantes' (Digite CERO si no tiene). ",IF(AND(E17&lt;&gt;0,Q17=""),"* No olvide escribir en la celda de 'Población Migrantes' (Digite CERO si no tiene). ",""))</f>
        <v/>
      </c>
      <c r="AT17" s="385"/>
      <c r="AU17" s="385"/>
      <c r="AV17" s="391">
        <f t="shared" si="3"/>
        <v>0</v>
      </c>
      <c r="AW17" s="391">
        <f t="shared" si="4"/>
        <v>0</v>
      </c>
      <c r="AX17" s="391">
        <f>IF(AND(D17&lt;&gt;0,M17=""),1,IF(AND(E17&lt;&gt;0,N17=""),1,0))</f>
        <v>0</v>
      </c>
      <c r="AY17" s="391">
        <f>IF(AND(D17&lt;&gt;0,P17=""),1,IF(AND(E17&lt;&gt;0,Q17=""),1,0))</f>
        <v>0</v>
      </c>
    </row>
    <row r="18" spans="1:51" ht="18.75" customHeight="1" x14ac:dyDescent="0.15">
      <c r="A18" s="1811"/>
      <c r="B18" s="98" t="s">
        <v>520</v>
      </c>
      <c r="C18" s="538">
        <f t="shared" si="0"/>
        <v>0</v>
      </c>
      <c r="D18" s="539">
        <f t="shared" si="1"/>
        <v>0</v>
      </c>
      <c r="E18" s="280">
        <f t="shared" si="2"/>
        <v>0</v>
      </c>
      <c r="F18" s="538">
        <f>SUM(G18:H18)</f>
        <v>0</v>
      </c>
      <c r="G18" s="263"/>
      <c r="H18" s="264"/>
      <c r="I18" s="538">
        <f>SUM(J18:K18)</f>
        <v>0</v>
      </c>
      <c r="J18" s="263"/>
      <c r="K18" s="300"/>
      <c r="L18" s="540">
        <f>SUM(M18:N18)</f>
        <v>0</v>
      </c>
      <c r="M18" s="263"/>
      <c r="N18" s="264"/>
      <c r="O18" s="541">
        <f>SUM(P18:Q18)</f>
        <v>0</v>
      </c>
      <c r="P18" s="263"/>
      <c r="Q18" s="264"/>
      <c r="R18" s="384" t="str">
        <f>AK18 &amp; AL18 &amp; AM18 &amp; AN18</f>
        <v/>
      </c>
      <c r="AK18" s="381" t="str">
        <f>IF($C18&lt;$L18, "* El Total de 'Adolescentes de Pueblos Originarios' debe ser menor o igual al Total Adolecentes 'Ambos sexos'. ", "")</f>
        <v/>
      </c>
      <c r="AL18" s="381" t="str">
        <f>IF($C18&lt;$O18, "* El total de 'Adolescentes de Migrantes' debe ser menor o igual al Total Adolecentes 'Ambos sexos'. ", "")</f>
        <v/>
      </c>
      <c r="AM18" s="381" t="str">
        <f>IF(AND(D18&lt;&gt;0,M18=""),"* No olvide escribir en la celda de 'Pueblos Originarios' (Digite CERO si no tiene). ",IF(AND(E18&lt;&gt;0,N18=""),"* No olvide escribir en la celda de 'Pueblos Originarios' (Digite CERO si no tiene). ",""))</f>
        <v/>
      </c>
      <c r="AN18" s="381" t="str">
        <f>IF(AND(D18&lt;&gt;0,P18=""),"* No olvide escribir en la celda de 'Población Migrantes' (Digite CERO si no tiene). ",IF(AND(E18&lt;&gt;0,Q18=""),"* No olvide escribir en la celda de 'Población Migrantes' (Digite CERO si no tiene). ",""))</f>
        <v/>
      </c>
      <c r="AT18" s="385"/>
      <c r="AU18" s="385"/>
      <c r="AV18" s="391">
        <f t="shared" si="3"/>
        <v>0</v>
      </c>
      <c r="AW18" s="391">
        <f t="shared" si="4"/>
        <v>0</v>
      </c>
      <c r="AX18" s="391">
        <f>IF(AND(D18&lt;&gt;0,M18=""),1,IF(AND(E18&lt;&gt;0,N18=""),1,0))</f>
        <v>0</v>
      </c>
      <c r="AY18" s="391">
        <f>IF(AND(D18&lt;&gt;0,P18=""),1,IF(AND(E18&lt;&gt;0,Q18=""),1,0))</f>
        <v>0</v>
      </c>
    </row>
    <row r="19" spans="1:51" ht="18.75" customHeight="1" x14ac:dyDescent="0.15">
      <c r="A19" s="1811"/>
      <c r="B19" s="204" t="s">
        <v>102</v>
      </c>
      <c r="C19" s="514">
        <f t="shared" si="0"/>
        <v>0</v>
      </c>
      <c r="D19" s="515">
        <f t="shared" si="1"/>
        <v>0</v>
      </c>
      <c r="E19" s="516">
        <f t="shared" si="2"/>
        <v>0</v>
      </c>
      <c r="F19" s="514">
        <f t="shared" ref="F19:K19" si="7">SUM(F17:F18)</f>
        <v>0</v>
      </c>
      <c r="G19" s="515">
        <f>SUM(G17:G18)</f>
        <v>0</v>
      </c>
      <c r="H19" s="516">
        <f>SUM(H17:H18)</f>
        <v>0</v>
      </c>
      <c r="I19" s="514">
        <f t="shared" si="7"/>
        <v>0</v>
      </c>
      <c r="J19" s="515">
        <f t="shared" si="7"/>
        <v>0</v>
      </c>
      <c r="K19" s="542">
        <f t="shared" si="7"/>
        <v>0</v>
      </c>
      <c r="L19" s="517">
        <f t="shared" ref="L19:Q19" si="8">SUM(L17:L18)</f>
        <v>0</v>
      </c>
      <c r="M19" s="515">
        <f t="shared" si="8"/>
        <v>0</v>
      </c>
      <c r="N19" s="1180">
        <f t="shared" si="8"/>
        <v>0</v>
      </c>
      <c r="O19" s="1180">
        <f t="shared" si="8"/>
        <v>0</v>
      </c>
      <c r="P19" s="515">
        <f t="shared" si="8"/>
        <v>0</v>
      </c>
      <c r="Q19" s="544">
        <f t="shared" si="8"/>
        <v>0</v>
      </c>
      <c r="R19" s="384"/>
      <c r="AT19" s="385"/>
      <c r="AU19" s="385"/>
      <c r="AV19" s="385"/>
      <c r="AW19" s="385"/>
      <c r="AX19" s="385"/>
      <c r="AY19" s="385"/>
    </row>
    <row r="20" spans="1:51" ht="13.5" customHeight="1" x14ac:dyDescent="0.15">
      <c r="A20" s="1812"/>
      <c r="B20" s="204" t="s">
        <v>546</v>
      </c>
      <c r="C20" s="514">
        <f t="shared" si="0"/>
        <v>0</v>
      </c>
      <c r="D20" s="515">
        <f>+G20+J20</f>
        <v>0</v>
      </c>
      <c r="E20" s="516">
        <f t="shared" si="2"/>
        <v>0</v>
      </c>
      <c r="F20" s="514">
        <f>SUM(G20:H20)</f>
        <v>0</v>
      </c>
      <c r="G20" s="259"/>
      <c r="H20" s="260"/>
      <c r="I20" s="514">
        <f>SUM(J20:K20)</f>
        <v>0</v>
      </c>
      <c r="J20" s="259"/>
      <c r="K20" s="298"/>
      <c r="L20" s="517">
        <f>SUM(M20:N20)</f>
        <v>0</v>
      </c>
      <c r="M20" s="259"/>
      <c r="N20" s="260"/>
      <c r="O20" s="1180">
        <f>SUM(P20:Q20)</f>
        <v>0</v>
      </c>
      <c r="P20" s="259"/>
      <c r="Q20" s="260"/>
      <c r="R20" s="384" t="str">
        <f>AK20 &amp; AL20 &amp; AM20 &amp; AN20</f>
        <v/>
      </c>
      <c r="AK20" s="381" t="str">
        <f>IF($C20&lt;$L20, "* El Total de 'Adolescentes de Pueblos Originarios' debe ser menor o igual al Total Adolecentes 'Ambos sexos'. ", "")</f>
        <v/>
      </c>
      <c r="AL20" s="381" t="str">
        <f>IF($C20&lt;$O20, "* El total de 'Adolescentes de Migrantes' debe ser menor o igual al Total Adolecentes 'Ambos sexos'. ", "")</f>
        <v/>
      </c>
      <c r="AM20" s="381" t="str">
        <f>IF(AND(D20&lt;&gt;0,M20=""),"* No olvide escribir en la celda de 'Pueblos Originarios' (Digite CERO si no tiene). ",IF(AND(E20&lt;&gt;0,N20=""),"* No olvide escribir en la celda de 'Pueblos Originarios' (Digite CERO si no tiene). ",""))</f>
        <v/>
      </c>
      <c r="AN20" s="381" t="str">
        <f>IF(AND(D20&lt;&gt;0,P20=""),"* No olvide escribir en la celda de 'Población Migrantes' (Digite CERO si no tiene). ",IF(AND(E20&lt;&gt;0,Q20=""),"* No olvide escribir en la celda de 'Población Migrantes' (Digite CERO si no tiene). ",""))</f>
        <v/>
      </c>
      <c r="AT20" s="385"/>
      <c r="AU20" s="385"/>
      <c r="AV20" s="391">
        <f t="shared" si="3"/>
        <v>0</v>
      </c>
      <c r="AW20" s="391">
        <f t="shared" si="4"/>
        <v>0</v>
      </c>
      <c r="AX20" s="391">
        <f>IF(AND(D20&lt;&gt;0,M20=""),1,IF(AND(E20&lt;&gt;0,N20=""),1,0))</f>
        <v>0</v>
      </c>
      <c r="AY20" s="391">
        <f>IF(AND(D20&lt;&gt;0,P20=""),1,IF(AND(E20&lt;&gt;0,Q20=""),1,0))</f>
        <v>0</v>
      </c>
    </row>
    <row r="21" spans="1:51" ht="18.75" customHeight="1" x14ac:dyDescent="0.15">
      <c r="A21" s="1810" t="s">
        <v>98</v>
      </c>
      <c r="B21" s="206" t="s">
        <v>442</v>
      </c>
      <c r="C21" s="265">
        <f t="shared" si="0"/>
        <v>0</v>
      </c>
      <c r="D21" s="519">
        <f t="shared" ref="D21:D36" si="9">+G21+J21</f>
        <v>0</v>
      </c>
      <c r="E21" s="520">
        <f t="shared" si="2"/>
        <v>0</v>
      </c>
      <c r="F21" s="265">
        <f>SUM(G21:H21)</f>
        <v>0</v>
      </c>
      <c r="G21" s="261"/>
      <c r="H21" s="262"/>
      <c r="I21" s="265">
        <f>SUM(J21:K21)</f>
        <v>0</v>
      </c>
      <c r="J21" s="261"/>
      <c r="K21" s="285"/>
      <c r="L21" s="1395">
        <f>SUM(M21:N21)</f>
        <v>0</v>
      </c>
      <c r="M21" s="261"/>
      <c r="N21" s="262"/>
      <c r="O21" s="1396">
        <f>SUM(P21:Q21)</f>
        <v>0</v>
      </c>
      <c r="P21" s="261"/>
      <c r="Q21" s="262"/>
      <c r="R21" s="384" t="str">
        <f>AK21 &amp; AL21 &amp; AM21 &amp; AN21</f>
        <v/>
      </c>
      <c r="AK21" s="381" t="str">
        <f>IF($C21&lt;$L21, "* El Total de 'Adolescentes de Pueblos Originarios' debe ser menor o igual al Total Adolecentes 'Ambos sexos'. ", "")</f>
        <v/>
      </c>
      <c r="AL21" s="381" t="str">
        <f>IF($C21&lt;$O21, "* El total de 'Adolescentes de Migrantes' debe ser menor o igual al Total Adolecentes 'Ambos sexos'. ", "")</f>
        <v/>
      </c>
      <c r="AM21" s="381" t="str">
        <f>IF(AND(D21&lt;&gt;0,M21=""),"* No olvide escribir en la celda de 'Pueblos Originarios' (Digite CERO si no tiene). ",IF(AND(E21&lt;&gt;0,N21=""),"* No olvide escribir en la celda de 'Pueblos Originarios' (Digite CERO si no tiene). ",""))</f>
        <v/>
      </c>
      <c r="AN21" s="381" t="str">
        <f>IF(AND(D21&lt;&gt;0,P21=""),"* No olvide escribir en la celda de 'Población Migrantes' (Digite CERO si no tiene). ",IF(AND(E21&lt;&gt;0,Q21=""),"* No olvide escribir en la celda de 'Población Migrantes' (Digite CERO si no tiene). ",""))</f>
        <v/>
      </c>
      <c r="AT21" s="385"/>
      <c r="AU21" s="385"/>
      <c r="AV21" s="391">
        <f t="shared" si="3"/>
        <v>0</v>
      </c>
      <c r="AW21" s="391">
        <f t="shared" si="4"/>
        <v>0</v>
      </c>
      <c r="AX21" s="391">
        <f>IF(AND(D21&lt;&gt;0,M21=""),1,IF(AND(E21&lt;&gt;0,N21=""),1,0))</f>
        <v>0</v>
      </c>
      <c r="AY21" s="391">
        <f>IF(AND(D21&lt;&gt;0,P21=""),1,IF(AND(E21&lt;&gt;0,Q21=""),1,0))</f>
        <v>0</v>
      </c>
    </row>
    <row r="22" spans="1:51" ht="15.75" customHeight="1" x14ac:dyDescent="0.15">
      <c r="A22" s="1811"/>
      <c r="B22" s="200" t="s">
        <v>443</v>
      </c>
      <c r="C22" s="266">
        <f t="shared" si="0"/>
        <v>0</v>
      </c>
      <c r="D22" s="539">
        <f t="shared" si="9"/>
        <v>0</v>
      </c>
      <c r="E22" s="280">
        <f t="shared" si="2"/>
        <v>0</v>
      </c>
      <c r="F22" s="266">
        <f>SUM(G22:H22)</f>
        <v>0</v>
      </c>
      <c r="G22" s="277"/>
      <c r="H22" s="278"/>
      <c r="I22" s="373">
        <f>SUM(J22:K22)</f>
        <v>0</v>
      </c>
      <c r="J22" s="277"/>
      <c r="K22" s="287"/>
      <c r="L22" s="1397">
        <f>SUM(M22:N22)</f>
        <v>0</v>
      </c>
      <c r="M22" s="277"/>
      <c r="N22" s="278"/>
      <c r="O22" s="1398">
        <f>SUM(P22:Q22)</f>
        <v>0</v>
      </c>
      <c r="P22" s="277"/>
      <c r="Q22" s="278"/>
      <c r="R22" s="384" t="str">
        <f>AK22 &amp; AL22 &amp; AM22 &amp; AN22</f>
        <v/>
      </c>
      <c r="AK22" s="381" t="str">
        <f>IF($C22&lt;$L22, "* El Total de 'Adolescentes de Pueblos Originarios' debe ser menor o igual al Total Adolecentes 'Ambos sexos'. ", "")</f>
        <v/>
      </c>
      <c r="AL22" s="381" t="str">
        <f>IF($C22&lt;$O22, "* El total de 'Adolescentes de Migrantes' debe ser menor o igual al Total Adolecentes 'Ambos sexos'. ", "")</f>
        <v/>
      </c>
      <c r="AM22" s="381" t="str">
        <f>IF(AND(D22&lt;&gt;0,M22=""),"* No olvide escribir en la celda de 'Pueblos Originarios' (Digite CERO si no tiene). ",IF(AND(E22&lt;&gt;0,N22=""),"* No olvide escribir en la celda de 'Pueblos Originarios' (Digite CERO si no tiene). ",""))</f>
        <v/>
      </c>
      <c r="AN22" s="381" t="str">
        <f>IF(AND(D22&lt;&gt;0,P22=""),"* No olvide escribir en la celda de 'Población Migrantes' (Digite CERO si no tiene). ",IF(AND(E22&lt;&gt;0,Q22=""),"* No olvide escribir en la celda de 'Población Migrantes' (Digite CERO si no tiene). ",""))</f>
        <v/>
      </c>
      <c r="AT22" s="385"/>
      <c r="AU22" s="385"/>
      <c r="AV22" s="391">
        <f t="shared" si="3"/>
        <v>0</v>
      </c>
      <c r="AW22" s="391">
        <f t="shared" si="4"/>
        <v>0</v>
      </c>
      <c r="AX22" s="391">
        <f>IF(AND(D22&lt;&gt;0,M22=""),1,IF(AND(E22&lt;&gt;0,N22=""),1,0))</f>
        <v>0</v>
      </c>
      <c r="AY22" s="391">
        <f>IF(AND(D22&lt;&gt;0,P22=""),1,IF(AND(E22&lt;&gt;0,Q22=""),1,0))</f>
        <v>0</v>
      </c>
    </row>
    <row r="23" spans="1:51" ht="13.5" customHeight="1" x14ac:dyDescent="0.15">
      <c r="A23" s="1811"/>
      <c r="B23" s="207" t="s">
        <v>102</v>
      </c>
      <c r="C23" s="267">
        <f t="shared" si="0"/>
        <v>0</v>
      </c>
      <c r="D23" s="515">
        <f t="shared" si="9"/>
        <v>0</v>
      </c>
      <c r="E23" s="516">
        <f t="shared" si="2"/>
        <v>0</v>
      </c>
      <c r="F23" s="514">
        <f t="shared" ref="F23:Q23" si="10">SUM(F21:F22)</f>
        <v>0</v>
      </c>
      <c r="G23" s="515">
        <f>SUM(G21:G22)</f>
        <v>0</v>
      </c>
      <c r="H23" s="516">
        <f>SUM(H21:H22)</f>
        <v>0</v>
      </c>
      <c r="I23" s="514">
        <f>SUM(I21:I22)</f>
        <v>0</v>
      </c>
      <c r="J23" s="515">
        <f t="shared" si="10"/>
        <v>0</v>
      </c>
      <c r="K23" s="542">
        <f t="shared" si="10"/>
        <v>0</v>
      </c>
      <c r="L23" s="517">
        <f>SUM(L21:L22)</f>
        <v>0</v>
      </c>
      <c r="M23" s="515">
        <f t="shared" si="10"/>
        <v>0</v>
      </c>
      <c r="N23" s="1180">
        <f t="shared" si="10"/>
        <v>0</v>
      </c>
      <c r="O23" s="1180">
        <f>SUM(O21:O22)</f>
        <v>0</v>
      </c>
      <c r="P23" s="515">
        <f t="shared" si="10"/>
        <v>0</v>
      </c>
      <c r="Q23" s="544">
        <f t="shared" si="10"/>
        <v>0</v>
      </c>
      <c r="R23" s="384"/>
      <c r="AT23" s="385"/>
      <c r="AU23" s="385"/>
      <c r="AV23" s="385"/>
      <c r="AW23" s="385"/>
      <c r="AX23" s="385"/>
      <c r="AY23" s="385"/>
    </row>
    <row r="24" spans="1:51" ht="18" customHeight="1" x14ac:dyDescent="0.15">
      <c r="A24" s="1811"/>
      <c r="B24" s="199" t="s">
        <v>521</v>
      </c>
      <c r="C24" s="265">
        <f t="shared" si="0"/>
        <v>0</v>
      </c>
      <c r="D24" s="519">
        <f t="shared" si="9"/>
        <v>0</v>
      </c>
      <c r="E24" s="520">
        <f t="shared" si="2"/>
        <v>0</v>
      </c>
      <c r="F24" s="265">
        <f>SUM(G24:H24)</f>
        <v>0</v>
      </c>
      <c r="G24" s="261"/>
      <c r="H24" s="262"/>
      <c r="I24" s="265">
        <f>SUM(J24:K24)</f>
        <v>0</v>
      </c>
      <c r="J24" s="261"/>
      <c r="K24" s="289"/>
      <c r="L24" s="1395">
        <f>SUM(M24:N24)</f>
        <v>0</v>
      </c>
      <c r="M24" s="261"/>
      <c r="N24" s="262"/>
      <c r="O24" s="1396">
        <f>SUM(P24:Q24)</f>
        <v>0</v>
      </c>
      <c r="P24" s="261"/>
      <c r="Q24" s="262"/>
      <c r="R24" s="384" t="str">
        <f>AK24 &amp; AL24 &amp; AM24 &amp; AN24</f>
        <v/>
      </c>
      <c r="AK24" s="381" t="str">
        <f>IF($C24&lt;$L24, "* El Total de 'Adolescentes de Pueblos Originarios' debe ser menor o igual al Total Adolecentes 'Ambos sexos'. ", "")</f>
        <v/>
      </c>
      <c r="AL24" s="381" t="str">
        <f>IF($C24&lt;$O24, "* El total de 'Adolescentes de Migrantes' debe ser menor o igual al Total Adolecentes 'Ambos sexos'. ", "")</f>
        <v/>
      </c>
      <c r="AM24" s="381" t="str">
        <f>IF(AND(D24&lt;&gt;0,M24=""),"* No olvide escribir en la celda de 'Pueblos Originarios' (Digite CERO si no tiene). ",IF(AND(E24&lt;&gt;0,N24=""),"* No olvide escribir en la celda de 'Pueblos Originarios' (Digite CERO si no tiene). ",""))</f>
        <v/>
      </c>
      <c r="AN24" s="381" t="str">
        <f>IF(AND(D24&lt;&gt;0,P24=""),"* No olvide escribir en la celda de 'Población Migrantes' (Digite CERO si no tiene). ",IF(AND(E24&lt;&gt;0,Q24=""),"* No olvide escribir en la celda de 'Población Migrantes' (Digite CERO si no tiene). ",""))</f>
        <v/>
      </c>
      <c r="AT24" s="385"/>
      <c r="AU24" s="385"/>
      <c r="AV24" s="391">
        <f t="shared" si="3"/>
        <v>0</v>
      </c>
      <c r="AW24" s="391">
        <f t="shared" si="4"/>
        <v>0</v>
      </c>
      <c r="AX24" s="391">
        <f>IF(AND(D24&lt;&gt;0,M24=""),1,IF(AND(E24&lt;&gt;0,N24=""),1,0))</f>
        <v>0</v>
      </c>
      <c r="AY24" s="391">
        <f>IF(AND(D24&lt;&gt;0,P24=""),1,IF(AND(E24&lt;&gt;0,Q24=""),1,0))</f>
        <v>0</v>
      </c>
    </row>
    <row r="25" spans="1:51" ht="18" customHeight="1" x14ac:dyDescent="0.15">
      <c r="A25" s="1811"/>
      <c r="B25" s="208" t="s">
        <v>444</v>
      </c>
      <c r="C25" s="266">
        <f t="shared" si="0"/>
        <v>0</v>
      </c>
      <c r="D25" s="539">
        <f t="shared" si="9"/>
        <v>0</v>
      </c>
      <c r="E25" s="280">
        <f t="shared" si="2"/>
        <v>0</v>
      </c>
      <c r="F25" s="266">
        <f>SUM(G25:H25)</f>
        <v>0</v>
      </c>
      <c r="G25" s="263"/>
      <c r="H25" s="264"/>
      <c r="I25" s="266">
        <f>SUM(J25:K25)</f>
        <v>0</v>
      </c>
      <c r="J25" s="263"/>
      <c r="K25" s="287"/>
      <c r="L25" s="1399">
        <f>SUM(M25:N25)</f>
        <v>0</v>
      </c>
      <c r="M25" s="263"/>
      <c r="N25" s="264"/>
      <c r="O25" s="1400">
        <f>SUM(P25:Q25)</f>
        <v>0</v>
      </c>
      <c r="P25" s="263"/>
      <c r="Q25" s="264"/>
      <c r="R25" s="384" t="str">
        <f>AK25 &amp; AL25 &amp; AM25 &amp; AN25</f>
        <v/>
      </c>
      <c r="AK25" s="381" t="str">
        <f>IF($C25&lt;$L25, "* El Total de 'Adolescentes de Pueblos Originarios' debe ser menor o igual al Total Adolecentes 'Ambos sexos'. ", "")</f>
        <v/>
      </c>
      <c r="AL25" s="381" t="str">
        <f>IF($C25&lt;$O25, "* El total de 'Adolescentes de Migrantes' debe ser menor o igual al Total Adolecentes 'Ambos sexos'. ", "")</f>
        <v/>
      </c>
      <c r="AM25" s="381" t="str">
        <f>IF(AND(D25&lt;&gt;0,M25=""),"* No olvide escribir en la celda de 'Pueblos Originarios' (Digite CERO si no tiene). ",IF(AND(E25&lt;&gt;0,N25=""),"* No olvide escribir en la celda de 'Pueblos Originarios' (Digite CERO si no tiene). ",""))</f>
        <v/>
      </c>
      <c r="AN25" s="381" t="str">
        <f>IF(AND(D25&lt;&gt;0,P25=""),"* No olvide escribir en la celda de 'Población Migrantes' (Digite CERO si no tiene). ",IF(AND(E25&lt;&gt;0,Q25=""),"* No olvide escribir en la celda de 'Población Migrantes' (Digite CERO si no tiene). ",""))</f>
        <v/>
      </c>
      <c r="AT25" s="385"/>
      <c r="AU25" s="385"/>
      <c r="AV25" s="391">
        <f t="shared" si="3"/>
        <v>0</v>
      </c>
      <c r="AW25" s="391">
        <f t="shared" si="4"/>
        <v>0</v>
      </c>
      <c r="AX25" s="391">
        <f>IF(AND(D25&lt;&gt;0,M25=""),1,IF(AND(E25&lt;&gt;0,N25=""),1,0))</f>
        <v>0</v>
      </c>
      <c r="AY25" s="391">
        <f>IF(AND(D25&lt;&gt;0,P25=""),1,IF(AND(E25&lt;&gt;0,Q25=""),1,0))</f>
        <v>0</v>
      </c>
    </row>
    <row r="26" spans="1:51" ht="13.5" customHeight="1" x14ac:dyDescent="0.15">
      <c r="A26" s="1811"/>
      <c r="B26" s="207" t="s">
        <v>102</v>
      </c>
      <c r="C26" s="514">
        <f t="shared" si="0"/>
        <v>0</v>
      </c>
      <c r="D26" s="515">
        <f t="shared" si="9"/>
        <v>0</v>
      </c>
      <c r="E26" s="516">
        <f t="shared" si="2"/>
        <v>0</v>
      </c>
      <c r="F26" s="514">
        <f t="shared" ref="F26:Q26" si="11">SUM(F24:F25)</f>
        <v>0</v>
      </c>
      <c r="G26" s="515">
        <f>SUM(G24:G25)</f>
        <v>0</v>
      </c>
      <c r="H26" s="516">
        <f t="shared" si="11"/>
        <v>0</v>
      </c>
      <c r="I26" s="514">
        <f>SUM(I24:I25)</f>
        <v>0</v>
      </c>
      <c r="J26" s="515">
        <f t="shared" si="11"/>
        <v>0</v>
      </c>
      <c r="K26" s="542">
        <f t="shared" si="11"/>
        <v>0</v>
      </c>
      <c r="L26" s="517">
        <f t="shared" si="11"/>
        <v>0</v>
      </c>
      <c r="M26" s="515">
        <f t="shared" si="11"/>
        <v>0</v>
      </c>
      <c r="N26" s="1180">
        <f t="shared" si="11"/>
        <v>0</v>
      </c>
      <c r="O26" s="1180">
        <f>SUM(O24:O25)</f>
        <v>0</v>
      </c>
      <c r="P26" s="515">
        <f t="shared" si="11"/>
        <v>0</v>
      </c>
      <c r="Q26" s="544">
        <f t="shared" si="11"/>
        <v>0</v>
      </c>
      <c r="R26" s="384"/>
      <c r="AT26" s="385"/>
      <c r="AU26" s="385"/>
      <c r="AV26" s="385"/>
      <c r="AW26" s="385"/>
      <c r="AX26" s="385"/>
      <c r="AY26" s="385"/>
    </row>
    <row r="27" spans="1:51" ht="15.75" customHeight="1" x14ac:dyDescent="0.15">
      <c r="A27" s="1812"/>
      <c r="B27" s="205" t="s">
        <v>445</v>
      </c>
      <c r="C27" s="1401">
        <f t="shared" si="0"/>
        <v>0</v>
      </c>
      <c r="D27" s="532">
        <f t="shared" si="9"/>
        <v>0</v>
      </c>
      <c r="E27" s="533">
        <f>+H27+K27</f>
        <v>0</v>
      </c>
      <c r="F27" s="1401">
        <f>SUM(G27:H27)</f>
        <v>0</v>
      </c>
      <c r="G27" s="275"/>
      <c r="H27" s="276"/>
      <c r="I27" s="1401">
        <f>SUM(J27:K27)</f>
        <v>0</v>
      </c>
      <c r="J27" s="259"/>
      <c r="K27" s="298"/>
      <c r="L27" s="1402">
        <f>SUM(M27:N27)</f>
        <v>0</v>
      </c>
      <c r="M27" s="259"/>
      <c r="N27" s="260"/>
      <c r="O27" s="1403">
        <f>SUM(P27:Q27)</f>
        <v>0</v>
      </c>
      <c r="P27" s="259"/>
      <c r="Q27" s="260"/>
      <c r="R27" s="384" t="str">
        <f>AK27 &amp; AL27 &amp; AM27 &amp; AN27</f>
        <v/>
      </c>
      <c r="AK27" s="381" t="str">
        <f>IF($C27&lt;$L27, "* El Total de 'Adolescentes de Pueblos Originarios' debe ser menor o igual al Total Adolecentes 'Ambos sexos'. ", "")</f>
        <v/>
      </c>
      <c r="AL27" s="381" t="str">
        <f>IF($C27&lt;$O27, "* El total de 'Adolescentes de Migrantes' debe ser menor o igual al Total Adolecentes 'Ambos sexos'. ", "")</f>
        <v/>
      </c>
      <c r="AM27" s="381" t="str">
        <f>IF(AND(D27&lt;&gt;0,M27=""),"* No olvide escribir en la celda de 'Pueblos Originarios' (Digite CERO si no tiene). ",IF(AND(E27&lt;&gt;0,N27=""),"* No olvide escribir en la celda de 'Pueblos Originarios' (Digite CERO si no tiene). ",""))</f>
        <v/>
      </c>
      <c r="AN27" s="381" t="str">
        <f>IF(AND(D27&lt;&gt;0,P27=""),"* No olvide escribir en la celda de 'Población Migrantes' (Digite CERO si no tiene). ",IF(AND(E27&lt;&gt;0,Q27=""),"* No olvide escribir en la celda de 'Población Migrantes' (Digite CERO si no tiene). ",""))</f>
        <v/>
      </c>
      <c r="AT27" s="385"/>
      <c r="AU27" s="385"/>
      <c r="AV27" s="391">
        <f t="shared" si="3"/>
        <v>0</v>
      </c>
      <c r="AW27" s="391">
        <f t="shared" si="4"/>
        <v>0</v>
      </c>
      <c r="AX27" s="391">
        <f>IF(AND(D27&lt;&gt;0,M27=""),1,IF(AND(E27&lt;&gt;0,N27=""),1,0))</f>
        <v>0</v>
      </c>
      <c r="AY27" s="391">
        <f>IF(AND(D27&lt;&gt;0,P27=""),1,IF(AND(E27&lt;&gt;0,Q27=""),1,0))</f>
        <v>0</v>
      </c>
    </row>
    <row r="28" spans="1:51" ht="15.75" customHeight="1" x14ac:dyDescent="0.15">
      <c r="A28" s="1810" t="s">
        <v>440</v>
      </c>
      <c r="B28" s="101" t="s">
        <v>441</v>
      </c>
      <c r="C28" s="265">
        <f t="shared" si="0"/>
        <v>0</v>
      </c>
      <c r="D28" s="519">
        <f t="shared" si="9"/>
        <v>0</v>
      </c>
      <c r="E28" s="520">
        <f t="shared" si="2"/>
        <v>0</v>
      </c>
      <c r="F28" s="265">
        <f>SUM(G28:H28)</f>
        <v>0</v>
      </c>
      <c r="G28" s="273"/>
      <c r="H28" s="274"/>
      <c r="I28" s="374">
        <f>SUM(J28:K28)</f>
        <v>0</v>
      </c>
      <c r="J28" s="273"/>
      <c r="K28" s="289"/>
      <c r="L28" s="1404">
        <f>SUM(M28:N28)</f>
        <v>0</v>
      </c>
      <c r="M28" s="273"/>
      <c r="N28" s="274"/>
      <c r="O28" s="1405">
        <f>SUM(P28:Q28)</f>
        <v>0</v>
      </c>
      <c r="P28" s="273"/>
      <c r="Q28" s="274"/>
      <c r="R28" s="384" t="str">
        <f>AK28 &amp; AL28 &amp; AM28 &amp; AN28</f>
        <v/>
      </c>
      <c r="AK28" s="381" t="str">
        <f>IF($C28&lt;$L28, "* El Total de 'Adolescentes de Pueblos Originarios' debe ser menor o igual al Total Adolecentes 'Ambos sexos'. ", "")</f>
        <v/>
      </c>
      <c r="AL28" s="381" t="str">
        <f>IF($C28&lt;$O28, "* El total de 'Adolescentes de Migrantes' debe ser menor o igual al Total Adolecentes 'Ambos sexos'. ", "")</f>
        <v/>
      </c>
      <c r="AM28" s="381" t="str">
        <f>IF(AND(D28&lt;&gt;0,M28=""),"* No olvide escribir en la celda de 'Pueblos Originarios' (Digite CERO si no tiene). ",IF(AND(E28&lt;&gt;0,N28=""),"* No olvide escribir en la celda de 'Pueblos Originarios' (Digite CERO si no tiene). ",""))</f>
        <v/>
      </c>
      <c r="AN28" s="381" t="str">
        <f>IF(AND(D28&lt;&gt;0,P28=""),"* No olvide escribir en la celda de 'Población Migrantes' (Digite CERO si no tiene). ",IF(AND(E28&lt;&gt;0,Q28=""),"* No olvide escribir en la celda de 'Población Migrantes' (Digite CERO si no tiene). ",""))</f>
        <v/>
      </c>
      <c r="AT28" s="385"/>
      <c r="AU28" s="385"/>
      <c r="AV28" s="391">
        <f t="shared" si="3"/>
        <v>0</v>
      </c>
      <c r="AW28" s="391">
        <f t="shared" si="4"/>
        <v>0</v>
      </c>
      <c r="AX28" s="391">
        <f>IF(AND(D28&lt;&gt;0,M28=""),1,IF(AND(E28&lt;&gt;0,N28=""),1,0))</f>
        <v>0</v>
      </c>
      <c r="AY28" s="391">
        <f>IF(AND(D28&lt;&gt;0,P28=""),1,IF(AND(E28&lt;&gt;0,Q28=""),1,0))</f>
        <v>0</v>
      </c>
    </row>
    <row r="29" spans="1:51" ht="15.75" customHeight="1" x14ac:dyDescent="0.15">
      <c r="A29" s="1811"/>
      <c r="B29" s="209" t="s">
        <v>522</v>
      </c>
      <c r="C29" s="269">
        <f t="shared" si="0"/>
        <v>0</v>
      </c>
      <c r="D29" s="524">
        <f t="shared" si="9"/>
        <v>0</v>
      </c>
      <c r="E29" s="520">
        <f t="shared" si="2"/>
        <v>0</v>
      </c>
      <c r="F29" s="269">
        <f>SUM(G29:H29)</f>
        <v>0</v>
      </c>
      <c r="G29" s="275"/>
      <c r="H29" s="276"/>
      <c r="I29" s="269">
        <f>SUM(J29:K29)</f>
        <v>0</v>
      </c>
      <c r="J29" s="275"/>
      <c r="K29" s="299"/>
      <c r="L29" s="1406">
        <f>SUM(M29:N29)</f>
        <v>0</v>
      </c>
      <c r="M29" s="275"/>
      <c r="N29" s="276"/>
      <c r="O29" s="421">
        <f>SUM(P29:Q29)</f>
        <v>0</v>
      </c>
      <c r="P29" s="275"/>
      <c r="Q29" s="276"/>
      <c r="R29" s="384" t="str">
        <f>AK29 &amp; AL29 &amp; AM29 &amp; AN29</f>
        <v/>
      </c>
      <c r="AK29" s="381" t="str">
        <f>IF($C29&lt;$L29, "* El Total de 'Adolescentes de Pueblos Originarios' debe ser menor o igual al Total Adolecentes 'Ambos sexos'. ", "")</f>
        <v/>
      </c>
      <c r="AL29" s="381" t="str">
        <f>IF($C29&lt;$O29, "* El total de 'Adolescentes de Migrantes' debe ser menor o igual al Total Adolecentes 'Ambos sexos'. ", "")</f>
        <v/>
      </c>
      <c r="AM29" s="381" t="str">
        <f>IF(AND(D29&lt;&gt;0,M29=""),"* No olvide escribir en la celda de 'Pueblos Originarios' (Digite CERO si no tiene). ",IF(AND(E29&lt;&gt;0,N29=""),"* No olvide escribir en la celda de 'Pueblos Originarios' (Digite CERO si no tiene). ",""))</f>
        <v/>
      </c>
      <c r="AN29" s="381" t="str">
        <f>IF(AND(D29&lt;&gt;0,P29=""),"* No olvide escribir en la celda de 'Población Migrantes' (Digite CERO si no tiene). ",IF(AND(E29&lt;&gt;0,Q29=""),"* No olvide escribir en la celda de 'Población Migrantes' (Digite CERO si no tiene). ",""))</f>
        <v/>
      </c>
      <c r="AT29" s="385"/>
      <c r="AU29" s="385"/>
      <c r="AV29" s="391">
        <f t="shared" si="3"/>
        <v>0</v>
      </c>
      <c r="AW29" s="391">
        <f t="shared" si="4"/>
        <v>0</v>
      </c>
      <c r="AX29" s="391">
        <f>IF(AND(D29&lt;&gt;0,M29=""),1,IF(AND(E29&lt;&gt;0,N29=""),1,0))</f>
        <v>0</v>
      </c>
      <c r="AY29" s="391">
        <f>IF(AND(D29&lt;&gt;0,P29=""),1,IF(AND(E29&lt;&gt;0,Q29=""),1,0))</f>
        <v>0</v>
      </c>
    </row>
    <row r="30" spans="1:51" ht="15.75" customHeight="1" x14ac:dyDescent="0.15">
      <c r="A30" s="1811"/>
      <c r="B30" s="204" t="s">
        <v>460</v>
      </c>
      <c r="C30" s="266">
        <f t="shared" si="0"/>
        <v>0</v>
      </c>
      <c r="D30" s="539">
        <f t="shared" si="9"/>
        <v>0</v>
      </c>
      <c r="E30" s="280">
        <f t="shared" si="2"/>
        <v>0</v>
      </c>
      <c r="F30" s="266">
        <f>SUM(G30:H30)</f>
        <v>0</v>
      </c>
      <c r="G30" s="277"/>
      <c r="H30" s="278"/>
      <c r="I30" s="373">
        <f>SUM(J30:K30)</f>
        <v>0</v>
      </c>
      <c r="J30" s="277"/>
      <c r="K30" s="287"/>
      <c r="L30" s="1397">
        <f>SUM(M30:N30)</f>
        <v>0</v>
      </c>
      <c r="M30" s="277"/>
      <c r="N30" s="278"/>
      <c r="O30" s="1398">
        <f>SUM(P30:Q30)</f>
        <v>0</v>
      </c>
      <c r="P30" s="277"/>
      <c r="Q30" s="278"/>
      <c r="R30" s="384" t="str">
        <f>AK30 &amp; AL30 &amp; AM30 &amp; AN30</f>
        <v/>
      </c>
      <c r="AK30" s="381" t="str">
        <f>IF($C30&lt;$L30, "* El Total de 'Adolescentes de Pueblos Originarios' debe ser menor o igual al Total Adolecentes 'Ambos sexos'. ", "")</f>
        <v/>
      </c>
      <c r="AL30" s="381" t="str">
        <f>IF($C30&lt;$O30, "* El total de 'Adolescentes de Migrantes' debe ser menor o igual al Total Adolecentes 'Ambos sexos'. ", "")</f>
        <v/>
      </c>
      <c r="AM30" s="381" t="str">
        <f>IF(AND(D30&lt;&gt;0,M30=""),"* No olvide escribir en la celda de 'Pueblos Originarios' (Digite CERO si no tiene). ",IF(AND(E30&lt;&gt;0,N30=""),"* No olvide escribir en la celda de 'Pueblos Originarios' (Digite CERO si no tiene). ",""))</f>
        <v/>
      </c>
      <c r="AN30" s="381" t="str">
        <f>IF(AND(D30&lt;&gt;0,P30=""),"* No olvide escribir en la celda de 'Población Migrantes' (Digite CERO si no tiene). ",IF(AND(E30&lt;&gt;0,Q30=""),"* No olvide escribir en la celda de 'Población Migrantes' (Digite CERO si no tiene). ",""))</f>
        <v/>
      </c>
      <c r="AT30" s="385"/>
      <c r="AU30" s="385"/>
      <c r="AV30" s="391">
        <f t="shared" si="3"/>
        <v>0</v>
      </c>
      <c r="AW30" s="391">
        <f t="shared" si="4"/>
        <v>0</v>
      </c>
      <c r="AX30" s="391">
        <f>IF(AND(D30&lt;&gt;0,M30=""),1,IF(AND(E30&lt;&gt;0,N30=""),1,0))</f>
        <v>0</v>
      </c>
      <c r="AY30" s="391">
        <f>IF(AND(D30&lt;&gt;0,P30=""),1,IF(AND(E30&lt;&gt;0,Q30=""),1,0))</f>
        <v>0</v>
      </c>
    </row>
    <row r="31" spans="1:51" ht="13.5" customHeight="1" x14ac:dyDescent="0.15">
      <c r="A31" s="1812"/>
      <c r="B31" s="99" t="s">
        <v>13</v>
      </c>
      <c r="C31" s="514">
        <f t="shared" si="0"/>
        <v>0</v>
      </c>
      <c r="D31" s="515">
        <f t="shared" si="9"/>
        <v>0</v>
      </c>
      <c r="E31" s="516">
        <f t="shared" si="2"/>
        <v>0</v>
      </c>
      <c r="F31" s="514">
        <f t="shared" ref="F31:Q31" si="12">SUM(F28:F30)</f>
        <v>0</v>
      </c>
      <c r="G31" s="515">
        <f>SUM(G28:G30)</f>
        <v>0</v>
      </c>
      <c r="H31" s="516">
        <f t="shared" si="12"/>
        <v>0</v>
      </c>
      <c r="I31" s="514">
        <f>SUM(I28:I30)</f>
        <v>0</v>
      </c>
      <c r="J31" s="515">
        <f t="shared" si="12"/>
        <v>0</v>
      </c>
      <c r="K31" s="543">
        <f t="shared" si="12"/>
        <v>0</v>
      </c>
      <c r="L31" s="517">
        <f>SUM(L28:L30)</f>
        <v>0</v>
      </c>
      <c r="M31" s="515">
        <f t="shared" si="12"/>
        <v>0</v>
      </c>
      <c r="N31" s="1180">
        <f t="shared" si="12"/>
        <v>0</v>
      </c>
      <c r="O31" s="1180">
        <f>SUM(O28:O30)</f>
        <v>0</v>
      </c>
      <c r="P31" s="515">
        <f t="shared" si="12"/>
        <v>0</v>
      </c>
      <c r="Q31" s="544">
        <f t="shared" si="12"/>
        <v>0</v>
      </c>
      <c r="R31" s="384"/>
      <c r="AT31" s="385"/>
      <c r="AU31" s="385"/>
      <c r="AV31" s="385"/>
      <c r="AW31" s="385"/>
      <c r="AX31" s="385"/>
      <c r="AY31" s="385"/>
    </row>
    <row r="32" spans="1:51" ht="16.5" customHeight="1" x14ac:dyDescent="0.15">
      <c r="A32" s="1811" t="s">
        <v>99</v>
      </c>
      <c r="B32" s="210" t="s">
        <v>881</v>
      </c>
      <c r="C32" s="265">
        <f t="shared" si="0"/>
        <v>0</v>
      </c>
      <c r="D32" s="519">
        <f>+G32+J32</f>
        <v>0</v>
      </c>
      <c r="E32" s="520">
        <f>+H32+K32</f>
        <v>0</v>
      </c>
      <c r="F32" s="265">
        <f t="shared" ref="F32:F37" si="13">SUM(G32:H32)</f>
        <v>0</v>
      </c>
      <c r="G32" s="275"/>
      <c r="H32" s="276"/>
      <c r="I32" s="374">
        <f t="shared" ref="I32:I37" si="14">SUM(J32:K32)</f>
        <v>0</v>
      </c>
      <c r="J32" s="275"/>
      <c r="K32" s="303"/>
      <c r="L32" s="1404">
        <f t="shared" ref="L32:L37" si="15">SUM(M32:N32)</f>
        <v>0</v>
      </c>
      <c r="M32" s="275"/>
      <c r="N32" s="274"/>
      <c r="O32" s="1405">
        <f t="shared" ref="O32:O37" si="16">SUM(P32:Q32)</f>
        <v>0</v>
      </c>
      <c r="P32" s="275"/>
      <c r="Q32" s="276"/>
      <c r="R32" s="384" t="str">
        <f t="shared" ref="R32:R37" si="17">AK32 &amp; AL32 &amp; AM32 &amp; AN32</f>
        <v/>
      </c>
      <c r="AK32" s="381" t="str">
        <f t="shared" ref="AK32:AK37" si="18">IF($C32&lt;$L32, "* El Total de 'Adolescentes de Pueblos Originarios' debe ser menor o igual al Total Adolecentes 'Ambos sexos'. ", "")</f>
        <v/>
      </c>
      <c r="AL32" s="381" t="str">
        <f t="shared" ref="AL32:AL37" si="19">IF($C32&lt;$O32, "* El total de 'Adolescentes de Migrantes' debe ser menor o igual al Total Adolecentes 'Ambos sexos'. ", "")</f>
        <v/>
      </c>
      <c r="AM32" s="381" t="str">
        <f t="shared" ref="AM32:AM37" si="20">IF(AND(D32&lt;&gt;0,M32=""),"* No olvide escribir en la celda de 'Pueblos Originarios' (Digite CERO si no tiene). ",IF(AND(E32&lt;&gt;0,N32=""),"* No olvide escribir en la celda de 'Pueblos Originarios' (Digite CERO si no tiene). ",""))</f>
        <v/>
      </c>
      <c r="AN32" s="381" t="str">
        <f t="shared" ref="AN32:AN37" si="21">IF(AND(D32&lt;&gt;0,P32=""),"* No olvide escribir en la celda de 'Población Migrantes' (Digite CERO si no tiene). ",IF(AND(E32&lt;&gt;0,Q32=""),"* No olvide escribir en la celda de 'Población Migrantes' (Digite CERO si no tiene). ",""))</f>
        <v/>
      </c>
      <c r="AT32" s="385"/>
      <c r="AU32" s="385"/>
      <c r="AV32" s="391">
        <f t="shared" si="3"/>
        <v>0</v>
      </c>
      <c r="AW32" s="391">
        <f t="shared" si="4"/>
        <v>0</v>
      </c>
      <c r="AX32" s="391">
        <f t="shared" ref="AX32:AX37" si="22">IF(AND(D32&lt;&gt;0,M32=""),1,IF(AND(E32&lt;&gt;0,N32=""),1,0))</f>
        <v>0</v>
      </c>
      <c r="AY32" s="391">
        <f t="shared" ref="AY32:AY37" si="23">IF(AND(D32&lt;&gt;0,P32=""),1,IF(AND(E32&lt;&gt;0,Q32=""),1,0))</f>
        <v>0</v>
      </c>
    </row>
    <row r="33" spans="1:51" ht="16.5" customHeight="1" x14ac:dyDescent="0.15">
      <c r="A33" s="1811"/>
      <c r="B33" s="96" t="s">
        <v>100</v>
      </c>
      <c r="C33" s="269">
        <f t="shared" si="0"/>
        <v>0</v>
      </c>
      <c r="D33" s="524">
        <f t="shared" si="9"/>
        <v>0</v>
      </c>
      <c r="E33" s="520">
        <f t="shared" si="2"/>
        <v>0</v>
      </c>
      <c r="F33" s="269">
        <f t="shared" si="13"/>
        <v>0</v>
      </c>
      <c r="G33" s="275"/>
      <c r="H33" s="276"/>
      <c r="I33" s="269">
        <f t="shared" si="14"/>
        <v>0</v>
      </c>
      <c r="J33" s="275"/>
      <c r="K33" s="303"/>
      <c r="L33" s="1406">
        <f t="shared" si="15"/>
        <v>0</v>
      </c>
      <c r="M33" s="275"/>
      <c r="N33" s="276"/>
      <c r="O33" s="421">
        <f t="shared" si="16"/>
        <v>0</v>
      </c>
      <c r="P33" s="275"/>
      <c r="Q33" s="276"/>
      <c r="R33" s="384" t="str">
        <f t="shared" si="17"/>
        <v/>
      </c>
      <c r="AK33" s="381" t="str">
        <f t="shared" si="18"/>
        <v/>
      </c>
      <c r="AL33" s="381" t="str">
        <f t="shared" si="19"/>
        <v/>
      </c>
      <c r="AM33" s="381" t="str">
        <f t="shared" si="20"/>
        <v/>
      </c>
      <c r="AN33" s="381" t="str">
        <f t="shared" si="21"/>
        <v/>
      </c>
      <c r="AT33" s="385"/>
      <c r="AU33" s="385"/>
      <c r="AV33" s="391">
        <f t="shared" si="3"/>
        <v>0</v>
      </c>
      <c r="AW33" s="391">
        <f t="shared" si="4"/>
        <v>0</v>
      </c>
      <c r="AX33" s="391">
        <f t="shared" si="22"/>
        <v>0</v>
      </c>
      <c r="AY33" s="391">
        <f t="shared" si="23"/>
        <v>0</v>
      </c>
    </row>
    <row r="34" spans="1:51" ht="16.5" customHeight="1" x14ac:dyDescent="0.15">
      <c r="A34" s="1811"/>
      <c r="B34" s="209" t="s">
        <v>371</v>
      </c>
      <c r="C34" s="269">
        <f t="shared" si="0"/>
        <v>0</v>
      </c>
      <c r="D34" s="524">
        <f t="shared" si="9"/>
        <v>0</v>
      </c>
      <c r="E34" s="520">
        <f t="shared" si="2"/>
        <v>0</v>
      </c>
      <c r="F34" s="269">
        <f t="shared" si="13"/>
        <v>0</v>
      </c>
      <c r="G34" s="275"/>
      <c r="H34" s="276"/>
      <c r="I34" s="269">
        <f t="shared" si="14"/>
        <v>0</v>
      </c>
      <c r="J34" s="275"/>
      <c r="K34" s="303"/>
      <c r="L34" s="1406">
        <f t="shared" si="15"/>
        <v>0</v>
      </c>
      <c r="M34" s="275"/>
      <c r="N34" s="276"/>
      <c r="O34" s="421">
        <f t="shared" si="16"/>
        <v>0</v>
      </c>
      <c r="P34" s="275"/>
      <c r="Q34" s="276"/>
      <c r="R34" s="384" t="str">
        <f t="shared" si="17"/>
        <v/>
      </c>
      <c r="AK34" s="381" t="str">
        <f t="shared" si="18"/>
        <v/>
      </c>
      <c r="AL34" s="381" t="str">
        <f t="shared" si="19"/>
        <v/>
      </c>
      <c r="AM34" s="381" t="str">
        <f t="shared" si="20"/>
        <v/>
      </c>
      <c r="AN34" s="381" t="str">
        <f t="shared" si="21"/>
        <v/>
      </c>
      <c r="AT34" s="385"/>
      <c r="AU34" s="385"/>
      <c r="AV34" s="391">
        <f t="shared" si="3"/>
        <v>0</v>
      </c>
      <c r="AW34" s="391">
        <f t="shared" si="4"/>
        <v>0</v>
      </c>
      <c r="AX34" s="391">
        <f t="shared" si="22"/>
        <v>0</v>
      </c>
      <c r="AY34" s="391">
        <f t="shared" si="23"/>
        <v>0</v>
      </c>
    </row>
    <row r="35" spans="1:51" ht="16.5" customHeight="1" x14ac:dyDescent="0.15">
      <c r="A35" s="1811"/>
      <c r="B35" s="96" t="s">
        <v>101</v>
      </c>
      <c r="C35" s="269">
        <f t="shared" si="0"/>
        <v>0</v>
      </c>
      <c r="D35" s="524">
        <f t="shared" si="9"/>
        <v>0</v>
      </c>
      <c r="E35" s="520">
        <f t="shared" si="2"/>
        <v>0</v>
      </c>
      <c r="F35" s="269">
        <f t="shared" si="13"/>
        <v>0</v>
      </c>
      <c r="G35" s="275"/>
      <c r="H35" s="276"/>
      <c r="I35" s="269">
        <f t="shared" si="14"/>
        <v>0</v>
      </c>
      <c r="J35" s="275"/>
      <c r="K35" s="303"/>
      <c r="L35" s="1406">
        <f t="shared" si="15"/>
        <v>0</v>
      </c>
      <c r="M35" s="275"/>
      <c r="N35" s="276"/>
      <c r="O35" s="421">
        <f t="shared" si="16"/>
        <v>0</v>
      </c>
      <c r="P35" s="275"/>
      <c r="Q35" s="276"/>
      <c r="R35" s="384" t="str">
        <f t="shared" si="17"/>
        <v/>
      </c>
      <c r="AK35" s="381" t="str">
        <f t="shared" si="18"/>
        <v/>
      </c>
      <c r="AL35" s="381" t="str">
        <f t="shared" si="19"/>
        <v/>
      </c>
      <c r="AM35" s="381" t="str">
        <f t="shared" si="20"/>
        <v/>
      </c>
      <c r="AN35" s="381" t="str">
        <f t="shared" si="21"/>
        <v/>
      </c>
      <c r="AT35" s="385"/>
      <c r="AU35" s="385"/>
      <c r="AV35" s="391">
        <f t="shared" si="3"/>
        <v>0</v>
      </c>
      <c r="AW35" s="391">
        <f t="shared" si="4"/>
        <v>0</v>
      </c>
      <c r="AX35" s="391">
        <f t="shared" si="22"/>
        <v>0</v>
      </c>
      <c r="AY35" s="391">
        <f t="shared" si="23"/>
        <v>0</v>
      </c>
    </row>
    <row r="36" spans="1:51" ht="16.5" customHeight="1" x14ac:dyDescent="0.15">
      <c r="A36" s="1811"/>
      <c r="B36" s="96" t="s">
        <v>393</v>
      </c>
      <c r="C36" s="269">
        <f t="shared" si="0"/>
        <v>0</v>
      </c>
      <c r="D36" s="524">
        <f t="shared" si="9"/>
        <v>0</v>
      </c>
      <c r="E36" s="520">
        <f t="shared" si="2"/>
        <v>0</v>
      </c>
      <c r="F36" s="269">
        <f t="shared" si="13"/>
        <v>0</v>
      </c>
      <c r="G36" s="275"/>
      <c r="H36" s="276"/>
      <c r="I36" s="269">
        <f t="shared" si="14"/>
        <v>0</v>
      </c>
      <c r="J36" s="275"/>
      <c r="K36" s="303"/>
      <c r="L36" s="1406">
        <f t="shared" si="15"/>
        <v>0</v>
      </c>
      <c r="M36" s="275"/>
      <c r="N36" s="276"/>
      <c r="O36" s="421">
        <f t="shared" si="16"/>
        <v>0</v>
      </c>
      <c r="P36" s="275"/>
      <c r="Q36" s="276"/>
      <c r="R36" s="384" t="str">
        <f t="shared" si="17"/>
        <v/>
      </c>
      <c r="AK36" s="381" t="str">
        <f t="shared" si="18"/>
        <v/>
      </c>
      <c r="AL36" s="381" t="str">
        <f t="shared" si="19"/>
        <v/>
      </c>
      <c r="AM36" s="381" t="str">
        <f t="shared" si="20"/>
        <v/>
      </c>
      <c r="AN36" s="381" t="str">
        <f t="shared" si="21"/>
        <v/>
      </c>
      <c r="AT36" s="385"/>
      <c r="AU36" s="385"/>
      <c r="AV36" s="391">
        <f t="shared" si="3"/>
        <v>0</v>
      </c>
      <c r="AW36" s="391">
        <f t="shared" si="4"/>
        <v>0</v>
      </c>
      <c r="AX36" s="391">
        <f t="shared" si="22"/>
        <v>0</v>
      </c>
      <c r="AY36" s="391">
        <f t="shared" si="23"/>
        <v>0</v>
      </c>
    </row>
    <row r="37" spans="1:51" ht="16.5" customHeight="1" x14ac:dyDescent="0.15">
      <c r="A37" s="1811"/>
      <c r="B37" s="97" t="s">
        <v>439</v>
      </c>
      <c r="C37" s="266">
        <f t="shared" si="0"/>
        <v>0</v>
      </c>
      <c r="D37" s="539">
        <f>+G37+J37</f>
        <v>0</v>
      </c>
      <c r="E37" s="280">
        <f t="shared" si="2"/>
        <v>0</v>
      </c>
      <c r="F37" s="266">
        <f t="shared" si="13"/>
        <v>0</v>
      </c>
      <c r="G37" s="275"/>
      <c r="H37" s="276"/>
      <c r="I37" s="373">
        <f t="shared" si="14"/>
        <v>0</v>
      </c>
      <c r="J37" s="275"/>
      <c r="K37" s="303"/>
      <c r="L37" s="1397">
        <f t="shared" si="15"/>
        <v>0</v>
      </c>
      <c r="M37" s="275"/>
      <c r="N37" s="278"/>
      <c r="O37" s="1398">
        <f t="shared" si="16"/>
        <v>0</v>
      </c>
      <c r="P37" s="275"/>
      <c r="Q37" s="276"/>
      <c r="R37" s="384" t="str">
        <f t="shared" si="17"/>
        <v/>
      </c>
      <c r="AK37" s="381" t="str">
        <f t="shared" si="18"/>
        <v/>
      </c>
      <c r="AL37" s="381" t="str">
        <f t="shared" si="19"/>
        <v/>
      </c>
      <c r="AM37" s="381" t="str">
        <f t="shared" si="20"/>
        <v/>
      </c>
      <c r="AN37" s="381" t="str">
        <f t="shared" si="21"/>
        <v/>
      </c>
      <c r="AT37" s="385"/>
      <c r="AU37" s="385"/>
      <c r="AV37" s="391">
        <f t="shared" si="3"/>
        <v>0</v>
      </c>
      <c r="AW37" s="391">
        <f t="shared" si="4"/>
        <v>0</v>
      </c>
      <c r="AX37" s="391">
        <f t="shared" si="22"/>
        <v>0</v>
      </c>
      <c r="AY37" s="391">
        <f t="shared" si="23"/>
        <v>0</v>
      </c>
    </row>
    <row r="38" spans="1:51" ht="16.5" customHeight="1" x14ac:dyDescent="0.15">
      <c r="A38" s="1811"/>
      <c r="B38" s="99" t="s">
        <v>102</v>
      </c>
      <c r="C38" s="514">
        <f t="shared" si="0"/>
        <v>0</v>
      </c>
      <c r="D38" s="515">
        <f>+G38+J38</f>
        <v>0</v>
      </c>
      <c r="E38" s="516">
        <f t="shared" si="2"/>
        <v>0</v>
      </c>
      <c r="F38" s="514">
        <f t="shared" ref="F38:Q38" si="24">SUM(F32:F37)</f>
        <v>0</v>
      </c>
      <c r="G38" s="515">
        <f>SUM(G32:G37)</f>
        <v>0</v>
      </c>
      <c r="H38" s="516">
        <f t="shared" si="24"/>
        <v>0</v>
      </c>
      <c r="I38" s="514">
        <f>SUM(I32:I37)</f>
        <v>0</v>
      </c>
      <c r="J38" s="515">
        <f>SUM(J32:J37)</f>
        <v>0</v>
      </c>
      <c r="K38" s="545">
        <f t="shared" si="24"/>
        <v>0</v>
      </c>
      <c r="L38" s="517">
        <f t="shared" si="24"/>
        <v>0</v>
      </c>
      <c r="M38" s="515">
        <f>SUM(M32:M37)</f>
        <v>0</v>
      </c>
      <c r="N38" s="544">
        <f>SUM(N32:N37)</f>
        <v>0</v>
      </c>
      <c r="O38" s="1180">
        <f>SUM(O32:O37)</f>
        <v>0</v>
      </c>
      <c r="P38" s="515">
        <f t="shared" si="24"/>
        <v>0</v>
      </c>
      <c r="Q38" s="544">
        <f t="shared" si="24"/>
        <v>0</v>
      </c>
      <c r="R38" s="384"/>
      <c r="AT38" s="385"/>
      <c r="AU38" s="385"/>
      <c r="AV38" s="385"/>
      <c r="AW38" s="385"/>
      <c r="AX38" s="385"/>
      <c r="AY38" s="385"/>
    </row>
    <row r="39" spans="1:51" ht="27" customHeight="1" x14ac:dyDescent="0.15">
      <c r="A39" s="1811"/>
      <c r="B39" s="211" t="s">
        <v>103</v>
      </c>
      <c r="C39" s="270">
        <f t="shared" si="0"/>
        <v>0</v>
      </c>
      <c r="D39" s="279">
        <f>+G39+J39</f>
        <v>0</v>
      </c>
      <c r="E39" s="280">
        <f t="shared" si="2"/>
        <v>0</v>
      </c>
      <c r="F39" s="375">
        <f>SUM(G39:H39)</f>
        <v>0</v>
      </c>
      <c r="G39" s="271"/>
      <c r="H39" s="272"/>
      <c r="I39" s="375">
        <f>SUM(J39:K39)</f>
        <v>0</v>
      </c>
      <c r="J39" s="271"/>
      <c r="K39" s="311"/>
      <c r="L39" s="1407">
        <f>SUM(M39:N39)</f>
        <v>0</v>
      </c>
      <c r="M39" s="271"/>
      <c r="N39" s="272"/>
      <c r="O39" s="1408">
        <f>SUM(P39:Q39)</f>
        <v>0</v>
      </c>
      <c r="P39" s="271"/>
      <c r="Q39" s="272"/>
      <c r="R39" s="384" t="str">
        <f>AK39 &amp; AL39 &amp; AM39 &amp; AN39</f>
        <v/>
      </c>
      <c r="AK39" s="381" t="str">
        <f>IF($C39&lt;$L39, "* El Total de 'Adolescentes de Pueblos Originarios' debe ser menor o igual al Total Adolecentes 'Ambos sexos'. ", "")</f>
        <v/>
      </c>
      <c r="AL39" s="381" t="str">
        <f>IF($C39&lt;$O39, "* El total de 'Adolescentes de Migrantes' debe ser menor o igual al Total Adolecentes 'Ambos sexos'. ", "")</f>
        <v/>
      </c>
      <c r="AM39" s="381" t="str">
        <f>IF(AND(D39&lt;&gt;0,M39=""),"* No olvide escribir en la celda de 'Pueblos Originarios' (Digite CERO si no tiene). ",IF(AND(E39&lt;&gt;0,N39=""),"* No olvide escribir en la celda de 'Pueblos Originarios' (Digite CERO si no tiene). ",""))</f>
        <v/>
      </c>
      <c r="AN39" s="381" t="str">
        <f>IF(AND(D39&lt;&gt;0,P39=""),"* No olvide escribir en la celda de 'Población Migrantes' (Digite CERO si no tiene). ",IF(AND(E39&lt;&gt;0,Q39=""),"* No olvide escribir en la celda de 'Población Migrantes' (Digite CERO si no tiene). ",""))</f>
        <v/>
      </c>
      <c r="AT39" s="385"/>
      <c r="AU39" s="385"/>
      <c r="AV39" s="391">
        <f t="shared" si="3"/>
        <v>0</v>
      </c>
      <c r="AW39" s="391">
        <f t="shared" si="4"/>
        <v>0</v>
      </c>
      <c r="AX39" s="391">
        <f>IF(AND(D39&lt;&gt;0,M39=""),1,IF(AND(E39&lt;&gt;0,N39=""),1,0))</f>
        <v>0</v>
      </c>
      <c r="AY39" s="391">
        <f>IF(AND(D39&lt;&gt;0,P39=""),1,IF(AND(E39&lt;&gt;0,Q39=""),1,0))</f>
        <v>0</v>
      </c>
    </row>
    <row r="40" spans="1:51" ht="18" customHeight="1" x14ac:dyDescent="0.15">
      <c r="A40" s="1812"/>
      <c r="B40" s="1601" t="s">
        <v>104</v>
      </c>
      <c r="C40" s="514">
        <f>SUM(C32:C37)+C39</f>
        <v>0</v>
      </c>
      <c r="D40" s="515">
        <f t="shared" ref="D40:I40" si="25">SUM(D32:D37)+D39</f>
        <v>0</v>
      </c>
      <c r="E40" s="546">
        <f t="shared" si="25"/>
        <v>0</v>
      </c>
      <c r="F40" s="514">
        <f t="shared" si="25"/>
        <v>0</v>
      </c>
      <c r="G40" s="515">
        <f>SUM(G32:G37)+G39</f>
        <v>0</v>
      </c>
      <c r="H40" s="546">
        <f t="shared" si="25"/>
        <v>0</v>
      </c>
      <c r="I40" s="514">
        <f t="shared" si="25"/>
        <v>0</v>
      </c>
      <c r="J40" s="515">
        <f t="shared" ref="J40:Q40" si="26">SUM(J32:J37)+J39</f>
        <v>0</v>
      </c>
      <c r="K40" s="545">
        <f t="shared" si="26"/>
        <v>0</v>
      </c>
      <c r="L40" s="517">
        <f t="shared" si="26"/>
        <v>0</v>
      </c>
      <c r="M40" s="515">
        <f t="shared" si="26"/>
        <v>0</v>
      </c>
      <c r="N40" s="544">
        <f t="shared" si="26"/>
        <v>0</v>
      </c>
      <c r="O40" s="1180">
        <f t="shared" si="26"/>
        <v>0</v>
      </c>
      <c r="P40" s="515">
        <f t="shared" si="26"/>
        <v>0</v>
      </c>
      <c r="Q40" s="544">
        <f t="shared" si="26"/>
        <v>0</v>
      </c>
      <c r="R40" s="384"/>
      <c r="AT40" s="385"/>
      <c r="AU40" s="385"/>
      <c r="AV40" s="385"/>
      <c r="AW40" s="385"/>
      <c r="AX40" s="385"/>
      <c r="AY40" s="385"/>
    </row>
    <row r="41" spans="1:51" ht="24.75" customHeight="1" x14ac:dyDescent="0.15">
      <c r="A41" s="198" t="s">
        <v>523</v>
      </c>
      <c r="R41" s="384"/>
      <c r="AT41" s="385"/>
      <c r="AU41" s="385"/>
      <c r="AV41" s="385"/>
      <c r="AW41" s="385"/>
      <c r="AX41" s="385"/>
      <c r="AY41" s="385"/>
    </row>
    <row r="42" spans="1:51" ht="12" customHeight="1" x14ac:dyDescent="0.15">
      <c r="A42" s="2332" t="s">
        <v>372</v>
      </c>
      <c r="B42" s="2325"/>
      <c r="C42" s="2076" t="s">
        <v>13</v>
      </c>
      <c r="D42" s="2077"/>
      <c r="E42" s="2078"/>
      <c r="F42" s="2257" t="s">
        <v>394</v>
      </c>
      <c r="G42" s="2249"/>
      <c r="H42" s="2245"/>
      <c r="I42" s="2257" t="s">
        <v>395</v>
      </c>
      <c r="J42" s="2249"/>
      <c r="K42" s="2299"/>
      <c r="L42" s="2264" t="s">
        <v>851</v>
      </c>
      <c r="M42" s="2249"/>
      <c r="N42" s="2245"/>
      <c r="O42" s="2249" t="s">
        <v>814</v>
      </c>
      <c r="P42" s="2249"/>
      <c r="Q42" s="2245"/>
      <c r="R42" s="384"/>
      <c r="AT42" s="385"/>
      <c r="AU42" s="385"/>
      <c r="AV42" s="385"/>
      <c r="AW42" s="385"/>
      <c r="AX42" s="385"/>
      <c r="AY42" s="385"/>
    </row>
    <row r="43" spans="1:51" ht="15" customHeight="1" x14ac:dyDescent="0.15">
      <c r="A43" s="2333"/>
      <c r="B43" s="2327"/>
      <c r="C43" s="2288"/>
      <c r="D43" s="2289"/>
      <c r="E43" s="2117"/>
      <c r="F43" s="2300"/>
      <c r="G43" s="2290"/>
      <c r="H43" s="2256"/>
      <c r="I43" s="2300"/>
      <c r="J43" s="2290"/>
      <c r="K43" s="2301"/>
      <c r="L43" s="2265"/>
      <c r="M43" s="2290"/>
      <c r="N43" s="2256"/>
      <c r="O43" s="2290"/>
      <c r="P43" s="2290"/>
      <c r="Q43" s="2256"/>
      <c r="R43" s="384"/>
      <c r="AT43" s="385"/>
      <c r="AU43" s="385"/>
      <c r="AV43" s="385"/>
      <c r="AW43" s="385"/>
      <c r="AX43" s="385"/>
      <c r="AY43" s="385"/>
    </row>
    <row r="44" spans="1:51" ht="0.75" customHeight="1" x14ac:dyDescent="0.15">
      <c r="A44" s="2333"/>
      <c r="B44" s="2327"/>
      <c r="C44" s="2288"/>
      <c r="D44" s="2289"/>
      <c r="E44" s="2117"/>
      <c r="F44" s="2258"/>
      <c r="G44" s="2250"/>
      <c r="H44" s="2247"/>
      <c r="I44" s="2258"/>
      <c r="J44" s="2250"/>
      <c r="K44" s="2302"/>
      <c r="L44" s="2246"/>
      <c r="M44" s="2250"/>
      <c r="N44" s="2247"/>
      <c r="O44" s="2250"/>
      <c r="P44" s="2250"/>
      <c r="Q44" s="2247"/>
      <c r="R44" s="384"/>
      <c r="AT44" s="385"/>
      <c r="AU44" s="385"/>
      <c r="AV44" s="385"/>
      <c r="AW44" s="385"/>
      <c r="AX44" s="385"/>
      <c r="AY44" s="385"/>
    </row>
    <row r="45" spans="1:51" ht="24" customHeight="1" x14ac:dyDescent="0.15">
      <c r="A45" s="2328"/>
      <c r="B45" s="2329"/>
      <c r="C45" s="411" t="s">
        <v>369</v>
      </c>
      <c r="D45" s="181" t="s">
        <v>416</v>
      </c>
      <c r="E45" s="192" t="s">
        <v>30</v>
      </c>
      <c r="F45" s="411" t="s">
        <v>369</v>
      </c>
      <c r="G45" s="181" t="s">
        <v>416</v>
      </c>
      <c r="H45" s="192" t="s">
        <v>30</v>
      </c>
      <c r="I45" s="411" t="s">
        <v>369</v>
      </c>
      <c r="J45" s="181" t="s">
        <v>416</v>
      </c>
      <c r="K45" s="370" t="s">
        <v>30</v>
      </c>
      <c r="L45" s="412" t="s">
        <v>369</v>
      </c>
      <c r="M45" s="181" t="s">
        <v>416</v>
      </c>
      <c r="N45" s="1181" t="s">
        <v>30</v>
      </c>
      <c r="O45" s="1182" t="s">
        <v>369</v>
      </c>
      <c r="P45" s="181" t="s">
        <v>416</v>
      </c>
      <c r="Q45" s="371" t="s">
        <v>30</v>
      </c>
      <c r="R45" s="384"/>
      <c r="AT45" s="385"/>
      <c r="AU45" s="385"/>
      <c r="AV45" s="385"/>
      <c r="AW45" s="385"/>
      <c r="AX45" s="385"/>
      <c r="AY45" s="385"/>
    </row>
    <row r="46" spans="1:51" ht="15" customHeight="1" x14ac:dyDescent="0.15">
      <c r="A46" s="2322" t="s">
        <v>433</v>
      </c>
      <c r="B46" s="2323"/>
      <c r="C46" s="1414">
        <f t="shared" ref="C46:C51" si="27">SUM(D46:E46)</f>
        <v>0</v>
      </c>
      <c r="D46" s="1624">
        <f>+G46+J46</f>
        <v>0</v>
      </c>
      <c r="E46" s="1414">
        <f>+H46+K46</f>
        <v>0</v>
      </c>
      <c r="F46" s="1412">
        <f t="shared" ref="F46:F51" si="28">SUM(G46:H46)</f>
        <v>0</v>
      </c>
      <c r="G46" s="1625"/>
      <c r="H46" s="274"/>
      <c r="I46" s="1412">
        <f t="shared" ref="I46:I51" si="29">SUM(J46:K46)</f>
        <v>0</v>
      </c>
      <c r="J46" s="1625"/>
      <c r="K46" s="1626"/>
      <c r="L46" s="1413">
        <f t="shared" ref="L46:L51" si="30">SUM(M46:N46)</f>
        <v>0</v>
      </c>
      <c r="M46" s="1625"/>
      <c r="N46" s="274"/>
      <c r="O46" s="1405">
        <f t="shared" ref="O46:O51" si="31">SUM(P46:Q46)</f>
        <v>0</v>
      </c>
      <c r="P46" s="1625"/>
      <c r="Q46" s="274"/>
      <c r="R46" s="384" t="str">
        <f t="shared" ref="R46:R51" si="32">AJ46 &amp; " " &amp; AK46 &amp; AL46 &amp; AM46 &amp; AN46</f>
        <v xml:space="preserve"> </v>
      </c>
      <c r="AJ46" s="381" t="str">
        <f>IF($C$12&lt;$C46, "* El total de Adolescentes según educacion y trabajono puede ser mayor al total de Adolescentes en control. ", "")</f>
        <v/>
      </c>
      <c r="AK46" s="381" t="str">
        <f t="shared" ref="AK46:AK51" si="33">IF($C46&lt;$L46, "* El total de Adolescentes de Pueblos Originarios no puede ser mayor al total de Adolescentes. ", "")</f>
        <v/>
      </c>
      <c r="AL46" s="381" t="str">
        <f t="shared" ref="AL46:AL51" si="34">IF($C46&lt;$O46, "* El total de Adolescentes de Migrantes no puede ser mayor al total de Adolescentes. ", "")</f>
        <v/>
      </c>
      <c r="AM46" s="381" t="str">
        <f t="shared" ref="AM46:AM51" si="35">IF(AND(D46&lt;&gt;0,M46=""),"* No olvide escribir en la celda de Pueblos Originarios (Digite CERO si no tiene). ",IF(AND(E46&lt;&gt;0,N46=""),"* No olvide escribir en la celda de Pueblos Originarios (Digite CERO si no tiene). ",""))</f>
        <v/>
      </c>
      <c r="AN46" s="381" t="str">
        <f t="shared" ref="AN46:AN51" si="36">IF(AND(D46&lt;&gt;0,P46=""),"* No olvide escribir en la celda de Población Migrantes (Digite CERO si no tiene). ",IF(AND(E46&lt;&gt;0,Q46=""),"* No olvide escribir en la celda de Población Migrantes (Digite CERO si no tiene). ",""))</f>
        <v/>
      </c>
      <c r="AT46" s="385"/>
      <c r="AU46" s="391">
        <f>IF($C$12&lt;$C46, 1,0)</f>
        <v>0</v>
      </c>
      <c r="AV46" s="391">
        <f t="shared" ref="AV46:AV51" si="37">IF($C46&lt;$L46, 1,0)</f>
        <v>0</v>
      </c>
      <c r="AW46" s="391">
        <f t="shared" ref="AW46:AW51" si="38">IF($C46&lt;$O46, 1,0)</f>
        <v>0</v>
      </c>
      <c r="AX46" s="391">
        <f t="shared" ref="AX46:AX51" si="39">IF(AND(D46&lt;&gt;0,M46=""),1,IF(AND(E46&lt;&gt;0,N46=""),1,0))</f>
        <v>0</v>
      </c>
      <c r="AY46" s="391">
        <f t="shared" ref="AY46:AY51" si="40">IF(AND(D46&lt;&gt;0,P46=""),1,IF(AND(E46&lt;&gt;0,Q46=""),1,0))</f>
        <v>0</v>
      </c>
    </row>
    <row r="47" spans="1:51" ht="15" customHeight="1" x14ac:dyDescent="0.15">
      <c r="A47" s="2311" t="s">
        <v>434</v>
      </c>
      <c r="B47" s="2312"/>
      <c r="C47" s="417">
        <f t="shared" si="27"/>
        <v>0</v>
      </c>
      <c r="D47" s="418">
        <f>+G47+J47</f>
        <v>0</v>
      </c>
      <c r="E47" s="417">
        <f t="shared" ref="D47:E51" si="41">+H47+K47</f>
        <v>0</v>
      </c>
      <c r="F47" s="419">
        <f t="shared" si="28"/>
        <v>0</v>
      </c>
      <c r="G47" s="281"/>
      <c r="H47" s="262"/>
      <c r="I47" s="419">
        <f t="shared" si="29"/>
        <v>0</v>
      </c>
      <c r="J47" s="281"/>
      <c r="K47" s="268"/>
      <c r="L47" s="420">
        <f t="shared" si="30"/>
        <v>0</v>
      </c>
      <c r="M47" s="281"/>
      <c r="N47" s="262"/>
      <c r="O47" s="421">
        <f t="shared" si="31"/>
        <v>0</v>
      </c>
      <c r="P47" s="281"/>
      <c r="Q47" s="262"/>
      <c r="R47" s="384" t="str">
        <f t="shared" si="32"/>
        <v xml:space="preserve"> </v>
      </c>
      <c r="AJ47" s="381" t="str">
        <f>IF($C$12&lt;$C47, "* El total de Adolescentes según educacion y trabajo no puede ser mayor al total de Adolescentes en control. ", "")</f>
        <v/>
      </c>
      <c r="AK47" s="381" t="str">
        <f t="shared" si="33"/>
        <v/>
      </c>
      <c r="AL47" s="381" t="str">
        <f t="shared" si="34"/>
        <v/>
      </c>
      <c r="AM47" s="381" t="str">
        <f t="shared" si="35"/>
        <v/>
      </c>
      <c r="AN47" s="381" t="str">
        <f t="shared" si="36"/>
        <v/>
      </c>
      <c r="AT47" s="385"/>
      <c r="AU47" s="391">
        <f t="shared" ref="AU47:AU81" si="42">IF($C$12&lt;$C47, 1,0)</f>
        <v>0</v>
      </c>
      <c r="AV47" s="391">
        <f t="shared" si="37"/>
        <v>0</v>
      </c>
      <c r="AW47" s="391">
        <f t="shared" si="38"/>
        <v>0</v>
      </c>
      <c r="AX47" s="391">
        <f t="shared" si="39"/>
        <v>0</v>
      </c>
      <c r="AY47" s="391">
        <f t="shared" si="40"/>
        <v>0</v>
      </c>
    </row>
    <row r="48" spans="1:51" ht="15" customHeight="1" x14ac:dyDescent="0.25">
      <c r="A48" s="2311" t="s">
        <v>438</v>
      </c>
      <c r="B48" s="2312"/>
      <c r="C48" s="417">
        <f t="shared" si="27"/>
        <v>0</v>
      </c>
      <c r="D48" s="418">
        <f>+G48</f>
        <v>0</v>
      </c>
      <c r="E48" s="417">
        <f>+H48</f>
        <v>0</v>
      </c>
      <c r="F48" s="419">
        <f t="shared" si="28"/>
        <v>0</v>
      </c>
      <c r="G48" s="281"/>
      <c r="H48" s="262"/>
      <c r="I48" s="419">
        <f>SUM(J48:K48)</f>
        <v>0</v>
      </c>
      <c r="J48" s="305"/>
      <c r="K48" s="307"/>
      <c r="L48" s="420">
        <f t="shared" si="30"/>
        <v>0</v>
      </c>
      <c r="M48" s="281"/>
      <c r="N48" s="262"/>
      <c r="O48" s="421">
        <f t="shared" si="31"/>
        <v>0</v>
      </c>
      <c r="P48" s="281"/>
      <c r="Q48" s="262"/>
      <c r="R48" s="384" t="str">
        <f t="shared" si="32"/>
        <v xml:space="preserve"> </v>
      </c>
      <c r="S48" s="1050"/>
      <c r="AJ48" s="381" t="str">
        <f>IF($C$12&lt;$C48, "* El total de Adolescentes según educacion y trabajo no puede ser mayor al total de Adolescentes en control. ", "")</f>
        <v/>
      </c>
      <c r="AK48" s="381" t="str">
        <f t="shared" si="33"/>
        <v/>
      </c>
      <c r="AL48" s="381" t="str">
        <f t="shared" si="34"/>
        <v/>
      </c>
      <c r="AM48" s="381" t="str">
        <f t="shared" si="35"/>
        <v/>
      </c>
      <c r="AN48" s="381" t="str">
        <f t="shared" si="36"/>
        <v/>
      </c>
      <c r="AT48" s="385"/>
      <c r="AU48" s="391">
        <f t="shared" si="42"/>
        <v>0</v>
      </c>
      <c r="AV48" s="391">
        <f t="shared" si="37"/>
        <v>0</v>
      </c>
      <c r="AW48" s="391">
        <f t="shared" si="38"/>
        <v>0</v>
      </c>
      <c r="AX48" s="391">
        <f t="shared" si="39"/>
        <v>0</v>
      </c>
      <c r="AY48" s="391">
        <f t="shared" si="40"/>
        <v>0</v>
      </c>
    </row>
    <row r="49" spans="1:51" ht="15" customHeight="1" x14ac:dyDescent="0.15">
      <c r="A49" s="2311" t="s">
        <v>435</v>
      </c>
      <c r="B49" s="2312"/>
      <c r="C49" s="417">
        <f>SUM(D49:E49)</f>
        <v>0</v>
      </c>
      <c r="D49" s="418">
        <f>+J49</f>
        <v>0</v>
      </c>
      <c r="E49" s="417">
        <f>+K49</f>
        <v>0</v>
      </c>
      <c r="F49" s="419">
        <f>SUM(G49:H49)</f>
        <v>0</v>
      </c>
      <c r="G49" s="305"/>
      <c r="H49" s="306"/>
      <c r="I49" s="419">
        <f t="shared" si="29"/>
        <v>0</v>
      </c>
      <c r="J49" s="281"/>
      <c r="K49" s="268"/>
      <c r="L49" s="420">
        <f t="shared" si="30"/>
        <v>0</v>
      </c>
      <c r="M49" s="281"/>
      <c r="N49" s="262"/>
      <c r="O49" s="421">
        <f t="shared" si="31"/>
        <v>0</v>
      </c>
      <c r="P49" s="281"/>
      <c r="Q49" s="262"/>
      <c r="R49" s="384" t="str">
        <f t="shared" si="32"/>
        <v xml:space="preserve"> </v>
      </c>
      <c r="AJ49" s="381" t="str">
        <f>IF($C$12&lt;$C49, "* El total de Adolescentes según educacion y trabajo no puede ser mayor al total de Adolescentes en control. ", "")</f>
        <v/>
      </c>
      <c r="AK49" s="381" t="str">
        <f t="shared" si="33"/>
        <v/>
      </c>
      <c r="AL49" s="381" t="str">
        <f t="shared" si="34"/>
        <v/>
      </c>
      <c r="AM49" s="381" t="str">
        <f t="shared" si="35"/>
        <v/>
      </c>
      <c r="AN49" s="381" t="str">
        <f t="shared" si="36"/>
        <v/>
      </c>
      <c r="AT49" s="385"/>
      <c r="AU49" s="391">
        <f t="shared" si="42"/>
        <v>0</v>
      </c>
      <c r="AV49" s="391">
        <f t="shared" si="37"/>
        <v>0</v>
      </c>
      <c r="AW49" s="391">
        <f t="shared" si="38"/>
        <v>0</v>
      </c>
      <c r="AX49" s="391">
        <f t="shared" si="39"/>
        <v>0</v>
      </c>
      <c r="AY49" s="391">
        <f t="shared" si="40"/>
        <v>0</v>
      </c>
    </row>
    <row r="50" spans="1:51" ht="15" customHeight="1" x14ac:dyDescent="0.15">
      <c r="A50" s="2311" t="s">
        <v>436</v>
      </c>
      <c r="B50" s="2312"/>
      <c r="C50" s="417">
        <f t="shared" si="27"/>
        <v>0</v>
      </c>
      <c r="D50" s="418">
        <f t="shared" si="41"/>
        <v>0</v>
      </c>
      <c r="E50" s="417">
        <f t="shared" si="41"/>
        <v>0</v>
      </c>
      <c r="F50" s="419">
        <f t="shared" si="28"/>
        <v>0</v>
      </c>
      <c r="G50" s="281"/>
      <c r="H50" s="262"/>
      <c r="I50" s="419">
        <f t="shared" si="29"/>
        <v>0</v>
      </c>
      <c r="J50" s="281"/>
      <c r="K50" s="268"/>
      <c r="L50" s="1406">
        <f t="shared" si="30"/>
        <v>0</v>
      </c>
      <c r="M50" s="281"/>
      <c r="N50" s="262"/>
      <c r="O50" s="421">
        <f t="shared" si="31"/>
        <v>0</v>
      </c>
      <c r="P50" s="281"/>
      <c r="Q50" s="262"/>
      <c r="R50" s="384" t="str">
        <f t="shared" si="32"/>
        <v xml:space="preserve"> </v>
      </c>
      <c r="AJ50" s="381" t="str">
        <f>IF($C$12&lt;$C50, "* El total de Adolescentes según educacion y trabajo no puede ser mayor al total de Adolescentes en control. ", "")</f>
        <v/>
      </c>
      <c r="AK50" s="381" t="str">
        <f t="shared" si="33"/>
        <v/>
      </c>
      <c r="AL50" s="381" t="str">
        <f t="shared" si="34"/>
        <v/>
      </c>
      <c r="AM50" s="381" t="str">
        <f t="shared" si="35"/>
        <v/>
      </c>
      <c r="AN50" s="381" t="str">
        <f t="shared" si="36"/>
        <v/>
      </c>
      <c r="AT50" s="385"/>
      <c r="AU50" s="391">
        <f t="shared" si="42"/>
        <v>0</v>
      </c>
      <c r="AV50" s="391">
        <f t="shared" si="37"/>
        <v>0</v>
      </c>
      <c r="AW50" s="391">
        <f t="shared" si="38"/>
        <v>0</v>
      </c>
      <c r="AX50" s="391">
        <f t="shared" si="39"/>
        <v>0</v>
      </c>
      <c r="AY50" s="391">
        <f t="shared" si="40"/>
        <v>0</v>
      </c>
    </row>
    <row r="51" spans="1:51" ht="18" customHeight="1" x14ac:dyDescent="0.25">
      <c r="A51" s="2320" t="s">
        <v>437</v>
      </c>
      <c r="B51" s="2321"/>
      <c r="C51" s="422">
        <f t="shared" si="27"/>
        <v>0</v>
      </c>
      <c r="D51" s="423">
        <f t="shared" si="41"/>
        <v>0</v>
      </c>
      <c r="E51" s="422">
        <f t="shared" si="41"/>
        <v>0</v>
      </c>
      <c r="F51" s="424">
        <f t="shared" si="28"/>
        <v>0</v>
      </c>
      <c r="G51" s="1012"/>
      <c r="H51" s="284"/>
      <c r="I51" s="424">
        <f t="shared" si="29"/>
        <v>0</v>
      </c>
      <c r="J51" s="292"/>
      <c r="K51" s="293"/>
      <c r="L51" s="1397">
        <f t="shared" si="30"/>
        <v>0</v>
      </c>
      <c r="M51" s="292"/>
      <c r="N51" s="278"/>
      <c r="O51" s="1398">
        <f t="shared" si="31"/>
        <v>0</v>
      </c>
      <c r="P51" s="292"/>
      <c r="Q51" s="278"/>
      <c r="R51" s="384" t="str">
        <f t="shared" si="32"/>
        <v xml:space="preserve"> </v>
      </c>
      <c r="S51" s="1050"/>
      <c r="AJ51" s="381" t="str">
        <f>IF($C$12&lt;$C51, "* El total de Adolescentes según educacion y trabajo no puede ser mayor al total de Adolescentes en control. ", "")</f>
        <v/>
      </c>
      <c r="AK51" s="381" t="str">
        <f t="shared" si="33"/>
        <v/>
      </c>
      <c r="AL51" s="381" t="str">
        <f t="shared" si="34"/>
        <v/>
      </c>
      <c r="AM51" s="381" t="str">
        <f t="shared" si="35"/>
        <v/>
      </c>
      <c r="AN51" s="381" t="str">
        <f t="shared" si="36"/>
        <v/>
      </c>
      <c r="AT51" s="385"/>
      <c r="AU51" s="391">
        <f t="shared" si="42"/>
        <v>0</v>
      </c>
      <c r="AV51" s="391">
        <f t="shared" si="37"/>
        <v>0</v>
      </c>
      <c r="AW51" s="391">
        <f t="shared" si="38"/>
        <v>0</v>
      </c>
      <c r="AX51" s="391">
        <f t="shared" si="39"/>
        <v>0</v>
      </c>
      <c r="AY51" s="391">
        <f t="shared" si="40"/>
        <v>0</v>
      </c>
    </row>
    <row r="52" spans="1:51" ht="22.5" customHeight="1" x14ac:dyDescent="0.15">
      <c r="A52" s="198" t="s">
        <v>524</v>
      </c>
      <c r="R52" s="384"/>
      <c r="AT52" s="385"/>
      <c r="AU52" s="385"/>
      <c r="AV52" s="385"/>
      <c r="AW52" s="385"/>
      <c r="AX52" s="385"/>
      <c r="AY52" s="385"/>
    </row>
    <row r="53" spans="1:51" ht="15" customHeight="1" x14ac:dyDescent="0.15">
      <c r="A53" s="2336" t="s">
        <v>373</v>
      </c>
      <c r="B53" s="2336"/>
      <c r="C53" s="2076" t="s">
        <v>13</v>
      </c>
      <c r="D53" s="2077"/>
      <c r="E53" s="2078"/>
      <c r="F53" s="2257" t="s">
        <v>394</v>
      </c>
      <c r="G53" s="2249"/>
      <c r="H53" s="2245"/>
      <c r="I53" s="2292" t="s">
        <v>395</v>
      </c>
      <c r="J53" s="2292"/>
      <c r="K53" s="2308"/>
      <c r="L53" s="2264" t="s">
        <v>15</v>
      </c>
      <c r="M53" s="2249"/>
      <c r="N53" s="2245"/>
      <c r="O53" s="2291" t="s">
        <v>689</v>
      </c>
      <c r="P53" s="2292"/>
      <c r="Q53" s="2292"/>
      <c r="R53" s="1693"/>
      <c r="AT53" s="385"/>
      <c r="AU53" s="385"/>
      <c r="AV53" s="385"/>
      <c r="AW53" s="385"/>
      <c r="AX53" s="385"/>
      <c r="AY53" s="385"/>
    </row>
    <row r="54" spans="1:51" x14ac:dyDescent="0.15">
      <c r="A54" s="2336"/>
      <c r="B54" s="2336"/>
      <c r="C54" s="2288"/>
      <c r="D54" s="2289"/>
      <c r="E54" s="2117"/>
      <c r="F54" s="2300"/>
      <c r="G54" s="2290"/>
      <c r="H54" s="2256"/>
      <c r="I54" s="2292"/>
      <c r="J54" s="2292"/>
      <c r="K54" s="2308"/>
      <c r="L54" s="2265"/>
      <c r="M54" s="2290"/>
      <c r="N54" s="2256"/>
      <c r="O54" s="2291"/>
      <c r="P54" s="2292"/>
      <c r="Q54" s="2292"/>
      <c r="R54" s="1693"/>
      <c r="S54" s="425"/>
      <c r="AT54" s="385"/>
      <c r="AU54" s="385"/>
      <c r="AV54" s="385"/>
      <c r="AW54" s="385"/>
      <c r="AX54" s="385"/>
      <c r="AY54" s="385"/>
    </row>
    <row r="55" spans="1:51" x14ac:dyDescent="0.15">
      <c r="A55" s="2336"/>
      <c r="B55" s="2336"/>
      <c r="C55" s="2288"/>
      <c r="D55" s="2289"/>
      <c r="E55" s="2117"/>
      <c r="F55" s="2258"/>
      <c r="G55" s="2250"/>
      <c r="H55" s="2247"/>
      <c r="I55" s="2292"/>
      <c r="J55" s="2292"/>
      <c r="K55" s="2308"/>
      <c r="L55" s="2246"/>
      <c r="M55" s="2250"/>
      <c r="N55" s="2247"/>
      <c r="O55" s="2291"/>
      <c r="P55" s="2292"/>
      <c r="Q55" s="2292"/>
      <c r="R55" s="1693"/>
      <c r="S55" s="425"/>
      <c r="AT55" s="385"/>
      <c r="AU55" s="385"/>
      <c r="AV55" s="385"/>
      <c r="AW55" s="385"/>
      <c r="AX55" s="385"/>
      <c r="AY55" s="385"/>
    </row>
    <row r="56" spans="1:51" ht="27" customHeight="1" x14ac:dyDescent="0.15">
      <c r="A56" s="2336"/>
      <c r="B56" s="2336"/>
      <c r="C56" s="411" t="s">
        <v>369</v>
      </c>
      <c r="D56" s="181" t="s">
        <v>416</v>
      </c>
      <c r="E56" s="192" t="s">
        <v>30</v>
      </c>
      <c r="F56" s="411" t="s">
        <v>369</v>
      </c>
      <c r="G56" s="181" t="s">
        <v>416</v>
      </c>
      <c r="H56" s="192" t="s">
        <v>30</v>
      </c>
      <c r="I56" s="411" t="s">
        <v>369</v>
      </c>
      <c r="J56" s="181" t="s">
        <v>416</v>
      </c>
      <c r="K56" s="369" t="s">
        <v>30</v>
      </c>
      <c r="L56" s="412" t="s">
        <v>369</v>
      </c>
      <c r="M56" s="181" t="s">
        <v>416</v>
      </c>
      <c r="N56" s="1181" t="s">
        <v>30</v>
      </c>
      <c r="O56" s="413" t="s">
        <v>369</v>
      </c>
      <c r="P56" s="181" t="s">
        <v>416</v>
      </c>
      <c r="Q56" s="212" t="s">
        <v>30</v>
      </c>
      <c r="R56" s="384"/>
      <c r="AT56" s="385"/>
      <c r="AU56" s="385"/>
      <c r="AV56" s="385"/>
      <c r="AW56" s="385"/>
      <c r="AX56" s="385"/>
      <c r="AY56" s="385"/>
    </row>
    <row r="57" spans="1:51" ht="15.75" customHeight="1" x14ac:dyDescent="0.15">
      <c r="A57" s="1390" t="s">
        <v>713</v>
      </c>
      <c r="B57" s="1391"/>
      <c r="C57" s="416">
        <f t="shared" ref="C57:C66" si="43">SUM(D57:E57)</f>
        <v>0</v>
      </c>
      <c r="D57" s="415">
        <f>+G57+J57</f>
        <v>0</v>
      </c>
      <c r="E57" s="414">
        <f t="shared" ref="E57:E66" si="44">+H57+K57</f>
        <v>0</v>
      </c>
      <c r="F57" s="416">
        <f t="shared" ref="F57:F66" si="45">SUM(G57:H57)</f>
        <v>0</v>
      </c>
      <c r="G57" s="281"/>
      <c r="H57" s="262"/>
      <c r="I57" s="416">
        <f t="shared" ref="I57:I66" si="46">SUM(J57:K57)</f>
        <v>0</v>
      </c>
      <c r="J57" s="281"/>
      <c r="K57" s="285"/>
      <c r="L57" s="1409">
        <f t="shared" ref="L57:L66" si="47">SUM(M57:N57)</f>
        <v>0</v>
      </c>
      <c r="M57" s="281"/>
      <c r="N57" s="262"/>
      <c r="O57" s="414">
        <f t="shared" ref="O57:O66" si="48">SUM(P57:Q57)</f>
        <v>0</v>
      </c>
      <c r="P57" s="281"/>
      <c r="Q57" s="262"/>
      <c r="R57" s="384" t="str">
        <f>AJ57 &amp; " " &amp; AK57 &amp; AL57 &amp; AM57 &amp; AN57</f>
        <v xml:space="preserve"> </v>
      </c>
      <c r="AJ57" s="381" t="str">
        <f>IF($C$12&lt;$C57, "* El total de Adolescentes según areas de riesgo no puede ser mayor al total de Adolescentes en control. ", "")</f>
        <v/>
      </c>
      <c r="AK57" s="381" t="str">
        <f>IF($C57&lt;$L57, "* El total de Adolescentes de Pueblos Originarios no puede ser mayor al total de Adolescentes. ", "")</f>
        <v/>
      </c>
      <c r="AL57" s="381" t="str">
        <f t="shared" ref="AL57:AL66" si="49">IF($C57&lt;$O57, "* El total de Adolescentes de Migrantes no puede ser mayor al total de Adolescentes. ", "")</f>
        <v/>
      </c>
      <c r="AM57" s="381" t="str">
        <f t="shared" ref="AM57" si="50">IF(AND(D57&lt;&gt;0,M57=""),"* No olvide escribir en la celda de Pueblos Originarios (Digite CERO si no tiene). ",IF(AND(E57&lt;&gt;0,N57=""),"* No olvide escribir en la celda de Pueblos Originarios (Digite CERO si no tiene). ",""))</f>
        <v/>
      </c>
      <c r="AN57" s="381" t="str">
        <f t="shared" ref="AN57" si="51">IF(AND(D57&lt;&gt;0,P57=""),"* No olvide escribir en la celda de Población Migrantes (Digite CERO si no tiene). ",IF(AND(E57&lt;&gt;0,Q57=""),"* No olvide escribir en la celda de Población Migrantes (Digite CERO si no tiene). ",""))</f>
        <v/>
      </c>
      <c r="AT57" s="385"/>
      <c r="AU57" s="391">
        <f t="shared" si="42"/>
        <v>0</v>
      </c>
      <c r="AV57" s="391">
        <f t="shared" ref="AV57:AV66" si="52">IF($C57&lt;$L57, 1,0)</f>
        <v>0</v>
      </c>
      <c r="AW57" s="391">
        <f t="shared" ref="AW57:AW66" si="53">IF($C57&lt;$O57, 1,0)</f>
        <v>0</v>
      </c>
      <c r="AX57" s="391">
        <f t="shared" ref="AX57" si="54">IF(AND(D57&lt;&gt;0,M57=""),1,IF(AND(E57&lt;&gt;0,N57=""),1,0))</f>
        <v>0</v>
      </c>
      <c r="AY57" s="391">
        <f t="shared" ref="AY57" si="55">IF(AND(D57&lt;&gt;0,P57=""),1,IF(AND(E57&lt;&gt;0,Q57=""),1,0))</f>
        <v>0</v>
      </c>
    </row>
    <row r="58" spans="1:51" ht="15.75" customHeight="1" x14ac:dyDescent="0.15">
      <c r="A58" s="2307" t="s">
        <v>864</v>
      </c>
      <c r="B58" s="2307"/>
      <c r="C58" s="426">
        <f t="shared" si="43"/>
        <v>0</v>
      </c>
      <c r="D58" s="427">
        <f t="shared" ref="D58:D66" si="56">+G58+J58</f>
        <v>0</v>
      </c>
      <c r="E58" s="421">
        <f>+H58+K58</f>
        <v>0</v>
      </c>
      <c r="F58" s="426">
        <f t="shared" si="45"/>
        <v>0</v>
      </c>
      <c r="G58" s="281"/>
      <c r="H58" s="262"/>
      <c r="I58" s="419">
        <f t="shared" si="46"/>
        <v>0</v>
      </c>
      <c r="J58" s="281"/>
      <c r="K58" s="285"/>
      <c r="L58" s="420">
        <f t="shared" si="47"/>
        <v>0</v>
      </c>
      <c r="M58" s="281"/>
      <c r="N58" s="262"/>
      <c r="O58" s="417">
        <f t="shared" si="48"/>
        <v>0</v>
      </c>
      <c r="P58" s="281"/>
      <c r="Q58" s="262"/>
      <c r="R58" s="384" t="str">
        <f>AJ58 &amp; " " &amp; AK58 &amp; AL58 &amp; AM58 &amp; AN58</f>
        <v xml:space="preserve"> </v>
      </c>
      <c r="AJ58" s="381" t="str">
        <f>IF($C$12&lt;$C58, "* El total de Adolescentes según areas de riesgo no puede ser mayor al total de Adolescentes en control. ", "")</f>
        <v/>
      </c>
      <c r="AK58" s="381" t="str">
        <f>IF($C58&lt;$L58, "* El total de Adolescentes de Pueblos Originarios no puede ser mayor al total de Adolescentes. ", "")</f>
        <v/>
      </c>
      <c r="AL58" s="381" t="str">
        <f t="shared" si="49"/>
        <v/>
      </c>
      <c r="AM58" s="381" t="str">
        <f t="shared" ref="AM58:AM66" si="57">IF(AND(D58&lt;&gt;0,M58=""),"* No olvide escribir en la celda de Pueblos Originarios (Digite CERO si no tiene). ",IF(AND(E58&lt;&gt;0,N58=""),"* No olvide escribir en la celda de Pueblos Originarios (Digite CERO si no tiene). ",""))</f>
        <v/>
      </c>
      <c r="AN58" s="381" t="str">
        <f t="shared" ref="AN58:AN66" si="58">IF(AND(D58&lt;&gt;0,P58=""),"* No olvide escribir en la celda de Población Migrantes (Digite CERO si no tiene). ",IF(AND(E58&lt;&gt;0,Q58=""),"* No olvide escribir en la celda de Población Migrantes (Digite CERO si no tiene). ",""))</f>
        <v/>
      </c>
      <c r="AT58" s="385"/>
      <c r="AU58" s="391">
        <f t="shared" si="42"/>
        <v>0</v>
      </c>
      <c r="AV58" s="391">
        <f t="shared" si="52"/>
        <v>0</v>
      </c>
      <c r="AW58" s="391">
        <f t="shared" si="53"/>
        <v>0</v>
      </c>
      <c r="AX58" s="391">
        <f t="shared" ref="AX58:AX66" si="59">IF(AND(D58&lt;&gt;0,M58=""),1,IF(AND(E58&lt;&gt;0,N58=""),1,0))</f>
        <v>0</v>
      </c>
      <c r="AY58" s="391">
        <f t="shared" ref="AY58:AY66" si="60">IF(AND(D58&lt;&gt;0,P58=""),1,IF(AND(E58&lt;&gt;0,Q58=""),1,0))</f>
        <v>0</v>
      </c>
    </row>
    <row r="59" spans="1:51" ht="15.75" customHeight="1" x14ac:dyDescent="0.25">
      <c r="A59" s="1392" t="s">
        <v>714</v>
      </c>
      <c r="B59" s="1393"/>
      <c r="C59" s="421">
        <f t="shared" si="43"/>
        <v>0</v>
      </c>
      <c r="D59" s="427">
        <f t="shared" si="56"/>
        <v>0</v>
      </c>
      <c r="E59" s="421">
        <f t="shared" si="44"/>
        <v>0</v>
      </c>
      <c r="F59" s="421">
        <f t="shared" si="45"/>
        <v>0</v>
      </c>
      <c r="G59" s="281"/>
      <c r="H59" s="262"/>
      <c r="I59" s="419">
        <f t="shared" si="46"/>
        <v>0</v>
      </c>
      <c r="J59" s="281"/>
      <c r="K59" s="285"/>
      <c r="L59" s="420">
        <f t="shared" si="47"/>
        <v>0</v>
      </c>
      <c r="M59" s="281"/>
      <c r="N59" s="262"/>
      <c r="O59" s="417">
        <f t="shared" si="48"/>
        <v>0</v>
      </c>
      <c r="P59" s="281"/>
      <c r="Q59" s="262"/>
      <c r="R59" s="384" t="str">
        <f t="shared" ref="R59:R66" si="61">AJ59 &amp; " " &amp; AK59 &amp; AL59 &amp; AM59 &amp; AN59</f>
        <v xml:space="preserve"> </v>
      </c>
      <c r="S59" s="1050"/>
      <c r="AJ59" s="381" t="str">
        <f t="shared" ref="AJ59:AJ66" si="62">IF($C$12&lt;$C59, "* El total de Adolescentes según areas de riesgo no puede ser mayor al total de Adolescentes en control. ", "")</f>
        <v/>
      </c>
      <c r="AK59" s="381" t="str">
        <f t="shared" ref="AK59:AK66" si="63">IF($C59&lt;$L59, "* El total de Adolescentes de Pueblos Originarios no puede ser mayor al total de Adolescentes. ", "")</f>
        <v/>
      </c>
      <c r="AL59" s="381" t="str">
        <f t="shared" si="49"/>
        <v/>
      </c>
      <c r="AM59" s="381" t="str">
        <f t="shared" si="57"/>
        <v/>
      </c>
      <c r="AN59" s="381" t="str">
        <f t="shared" si="58"/>
        <v/>
      </c>
      <c r="AT59" s="385"/>
      <c r="AU59" s="391">
        <f t="shared" si="42"/>
        <v>0</v>
      </c>
      <c r="AV59" s="391">
        <f t="shared" si="52"/>
        <v>0</v>
      </c>
      <c r="AW59" s="391">
        <f t="shared" si="53"/>
        <v>0</v>
      </c>
      <c r="AX59" s="391">
        <f t="shared" ref="AX59:AX62" si="64">IF(AND(D59&lt;&gt;0,M59=""),1,IF(AND(E59&lt;&gt;0,N59=""),1,0))</f>
        <v>0</v>
      </c>
      <c r="AY59" s="391">
        <f t="shared" ref="AY59:AY62" si="65">IF(AND(D59&lt;&gt;0,P59=""),1,IF(AND(E59&lt;&gt;0,Q59=""),1,0))</f>
        <v>0</v>
      </c>
    </row>
    <row r="60" spans="1:51" ht="15.75" customHeight="1" x14ac:dyDescent="0.15">
      <c r="A60" s="1392" t="s">
        <v>833</v>
      </c>
      <c r="B60" s="1393"/>
      <c r="C60" s="421">
        <f t="shared" si="43"/>
        <v>0</v>
      </c>
      <c r="D60" s="427">
        <f t="shared" si="56"/>
        <v>0</v>
      </c>
      <c r="E60" s="421">
        <f t="shared" si="44"/>
        <v>0</v>
      </c>
      <c r="F60" s="421">
        <f t="shared" si="45"/>
        <v>0</v>
      </c>
      <c r="G60" s="281"/>
      <c r="H60" s="262"/>
      <c r="I60" s="419">
        <f t="shared" si="46"/>
        <v>0</v>
      </c>
      <c r="J60" s="281"/>
      <c r="K60" s="285"/>
      <c r="L60" s="420">
        <f t="shared" si="47"/>
        <v>0</v>
      </c>
      <c r="M60" s="281"/>
      <c r="N60" s="262"/>
      <c r="O60" s="417">
        <f t="shared" si="48"/>
        <v>0</v>
      </c>
      <c r="P60" s="281"/>
      <c r="Q60" s="262"/>
      <c r="R60" s="384" t="str">
        <f t="shared" si="61"/>
        <v xml:space="preserve"> </v>
      </c>
      <c r="AJ60" s="381" t="str">
        <f t="shared" si="62"/>
        <v/>
      </c>
      <c r="AK60" s="381" t="str">
        <f t="shared" si="63"/>
        <v/>
      </c>
      <c r="AL60" s="381" t="str">
        <f t="shared" si="49"/>
        <v/>
      </c>
      <c r="AM60" s="381" t="str">
        <f t="shared" si="57"/>
        <v/>
      </c>
      <c r="AN60" s="381" t="str">
        <f t="shared" si="58"/>
        <v/>
      </c>
      <c r="AT60" s="385"/>
      <c r="AU60" s="391">
        <f t="shared" si="42"/>
        <v>0</v>
      </c>
      <c r="AV60" s="391">
        <f t="shared" si="52"/>
        <v>0</v>
      </c>
      <c r="AW60" s="391">
        <f t="shared" si="53"/>
        <v>0</v>
      </c>
      <c r="AX60" s="391">
        <f t="shared" si="64"/>
        <v>0</v>
      </c>
      <c r="AY60" s="391">
        <f t="shared" si="65"/>
        <v>0</v>
      </c>
    </row>
    <row r="61" spans="1:51" ht="15.75" customHeight="1" x14ac:dyDescent="0.15">
      <c r="A61" s="1392" t="s">
        <v>831</v>
      </c>
      <c r="B61" s="1393"/>
      <c r="C61" s="421">
        <f t="shared" ref="C61" si="66">SUM(D61:E61)</f>
        <v>0</v>
      </c>
      <c r="D61" s="427">
        <f t="shared" ref="D61" si="67">+G61+J61</f>
        <v>0</v>
      </c>
      <c r="E61" s="421">
        <f t="shared" ref="E61" si="68">+H61+K61</f>
        <v>0</v>
      </c>
      <c r="F61" s="421">
        <f t="shared" ref="F61" si="69">SUM(G61:H61)</f>
        <v>0</v>
      </c>
      <c r="G61" s="281"/>
      <c r="H61" s="262"/>
      <c r="I61" s="419">
        <f t="shared" ref="I61" si="70">SUM(J61:K61)</f>
        <v>0</v>
      </c>
      <c r="J61" s="281"/>
      <c r="K61" s="285"/>
      <c r="L61" s="420">
        <f t="shared" ref="L61" si="71">SUM(M61:N61)</f>
        <v>0</v>
      </c>
      <c r="M61" s="281"/>
      <c r="N61" s="262"/>
      <c r="O61" s="417">
        <f t="shared" ref="O61" si="72">SUM(P61:Q61)</f>
        <v>0</v>
      </c>
      <c r="P61" s="281"/>
      <c r="Q61" s="262"/>
      <c r="R61" s="384" t="str">
        <f t="shared" si="61"/>
        <v xml:space="preserve"> </v>
      </c>
      <c r="AJ61" s="381" t="str">
        <f t="shared" si="62"/>
        <v/>
      </c>
      <c r="AK61" s="381" t="str">
        <f t="shared" si="63"/>
        <v/>
      </c>
      <c r="AL61" s="381" t="str">
        <f t="shared" si="49"/>
        <v/>
      </c>
      <c r="AM61" s="381" t="str">
        <f t="shared" si="57"/>
        <v/>
      </c>
      <c r="AN61" s="381" t="str">
        <f t="shared" si="58"/>
        <v/>
      </c>
      <c r="AT61" s="385"/>
      <c r="AU61" s="391">
        <f t="shared" si="42"/>
        <v>0</v>
      </c>
      <c r="AV61" s="391">
        <f t="shared" si="52"/>
        <v>0</v>
      </c>
      <c r="AW61" s="391">
        <f t="shared" si="53"/>
        <v>0</v>
      </c>
      <c r="AX61" s="391">
        <f t="shared" si="64"/>
        <v>0</v>
      </c>
      <c r="AY61" s="391">
        <f t="shared" si="65"/>
        <v>0</v>
      </c>
    </row>
    <row r="62" spans="1:51" ht="15.75" customHeight="1" x14ac:dyDescent="0.25">
      <c r="A62" s="1392" t="s">
        <v>834</v>
      </c>
      <c r="B62" s="1393"/>
      <c r="C62" s="421">
        <f t="shared" si="43"/>
        <v>0</v>
      </c>
      <c r="D62" s="427">
        <f t="shared" si="56"/>
        <v>0</v>
      </c>
      <c r="E62" s="421">
        <f t="shared" si="44"/>
        <v>0</v>
      </c>
      <c r="F62" s="421">
        <f t="shared" si="45"/>
        <v>0</v>
      </c>
      <c r="G62" s="281"/>
      <c r="H62" s="262"/>
      <c r="I62" s="419">
        <f t="shared" si="46"/>
        <v>0</v>
      </c>
      <c r="J62" s="281"/>
      <c r="K62" s="285"/>
      <c r="L62" s="420">
        <f t="shared" si="47"/>
        <v>0</v>
      </c>
      <c r="M62" s="281"/>
      <c r="N62" s="262"/>
      <c r="O62" s="417">
        <f t="shared" si="48"/>
        <v>0</v>
      </c>
      <c r="P62" s="281"/>
      <c r="Q62" s="262"/>
      <c r="R62" s="384" t="str">
        <f t="shared" si="61"/>
        <v xml:space="preserve"> </v>
      </c>
      <c r="S62" s="1050"/>
      <c r="AJ62" s="381" t="str">
        <f t="shared" si="62"/>
        <v/>
      </c>
      <c r="AK62" s="381" t="str">
        <f t="shared" si="63"/>
        <v/>
      </c>
      <c r="AL62" s="381" t="str">
        <f t="shared" si="49"/>
        <v/>
      </c>
      <c r="AM62" s="381" t="str">
        <f t="shared" si="57"/>
        <v/>
      </c>
      <c r="AN62" s="381" t="str">
        <f t="shared" si="58"/>
        <v/>
      </c>
      <c r="AT62" s="385"/>
      <c r="AU62" s="391">
        <f t="shared" si="42"/>
        <v>0</v>
      </c>
      <c r="AV62" s="391">
        <f t="shared" si="52"/>
        <v>0</v>
      </c>
      <c r="AW62" s="391">
        <f t="shared" si="53"/>
        <v>0</v>
      </c>
      <c r="AX62" s="391">
        <f t="shared" si="64"/>
        <v>0</v>
      </c>
      <c r="AY62" s="391">
        <f t="shared" si="65"/>
        <v>0</v>
      </c>
    </row>
    <row r="63" spans="1:51" ht="15.75" customHeight="1" x14ac:dyDescent="0.15">
      <c r="A63" s="2309" t="s">
        <v>715</v>
      </c>
      <c r="B63" s="2309"/>
      <c r="C63" s="419">
        <f t="shared" si="43"/>
        <v>0</v>
      </c>
      <c r="D63" s="418">
        <f t="shared" si="56"/>
        <v>0</v>
      </c>
      <c r="E63" s="417">
        <f t="shared" si="44"/>
        <v>0</v>
      </c>
      <c r="F63" s="419">
        <f t="shared" si="45"/>
        <v>0</v>
      </c>
      <c r="G63" s="281"/>
      <c r="H63" s="262"/>
      <c r="I63" s="419">
        <f t="shared" si="46"/>
        <v>0</v>
      </c>
      <c r="J63" s="281"/>
      <c r="K63" s="285"/>
      <c r="L63" s="420">
        <f t="shared" si="47"/>
        <v>0</v>
      </c>
      <c r="M63" s="281"/>
      <c r="N63" s="262"/>
      <c r="O63" s="417">
        <f t="shared" si="48"/>
        <v>0</v>
      </c>
      <c r="P63" s="281"/>
      <c r="Q63" s="262"/>
      <c r="R63" s="384" t="str">
        <f t="shared" si="61"/>
        <v xml:space="preserve"> </v>
      </c>
      <c r="AJ63" s="381" t="str">
        <f t="shared" si="62"/>
        <v/>
      </c>
      <c r="AK63" s="381" t="str">
        <f t="shared" si="63"/>
        <v/>
      </c>
      <c r="AL63" s="381" t="str">
        <f t="shared" si="49"/>
        <v/>
      </c>
      <c r="AM63" s="381" t="str">
        <f t="shared" si="57"/>
        <v/>
      </c>
      <c r="AN63" s="381" t="str">
        <f t="shared" si="58"/>
        <v/>
      </c>
      <c r="AT63" s="385"/>
      <c r="AU63" s="391">
        <f t="shared" si="42"/>
        <v>0</v>
      </c>
      <c r="AV63" s="391">
        <f t="shared" si="52"/>
        <v>0</v>
      </c>
      <c r="AW63" s="391">
        <f t="shared" si="53"/>
        <v>0</v>
      </c>
      <c r="AX63" s="391">
        <f t="shared" si="59"/>
        <v>0</v>
      </c>
      <c r="AY63" s="391">
        <f t="shared" si="60"/>
        <v>0</v>
      </c>
    </row>
    <row r="64" spans="1:51" ht="15.75" customHeight="1" x14ac:dyDescent="0.15">
      <c r="A64" s="2311" t="s">
        <v>716</v>
      </c>
      <c r="B64" s="2312"/>
      <c r="C64" s="419">
        <f t="shared" si="43"/>
        <v>0</v>
      </c>
      <c r="D64" s="418">
        <f t="shared" si="56"/>
        <v>0</v>
      </c>
      <c r="E64" s="417">
        <f t="shared" si="44"/>
        <v>0</v>
      </c>
      <c r="F64" s="419">
        <f t="shared" si="45"/>
        <v>0</v>
      </c>
      <c r="G64" s="282"/>
      <c r="H64" s="276"/>
      <c r="I64" s="419">
        <f t="shared" si="46"/>
        <v>0</v>
      </c>
      <c r="J64" s="282"/>
      <c r="K64" s="299"/>
      <c r="L64" s="420">
        <f t="shared" si="47"/>
        <v>0</v>
      </c>
      <c r="M64" s="282"/>
      <c r="N64" s="276"/>
      <c r="O64" s="417">
        <f t="shared" si="48"/>
        <v>0</v>
      </c>
      <c r="P64" s="282"/>
      <c r="Q64" s="276"/>
      <c r="R64" s="384" t="str">
        <f t="shared" si="61"/>
        <v xml:space="preserve"> </v>
      </c>
      <c r="AJ64" s="381" t="str">
        <f t="shared" si="62"/>
        <v/>
      </c>
      <c r="AK64" s="381" t="str">
        <f t="shared" si="63"/>
        <v/>
      </c>
      <c r="AL64" s="381" t="str">
        <f t="shared" si="49"/>
        <v/>
      </c>
      <c r="AM64" s="381" t="str">
        <f t="shared" si="57"/>
        <v/>
      </c>
      <c r="AN64" s="381" t="str">
        <f t="shared" si="58"/>
        <v/>
      </c>
      <c r="AT64" s="385"/>
      <c r="AU64" s="391">
        <f t="shared" si="42"/>
        <v>0</v>
      </c>
      <c r="AV64" s="391">
        <f t="shared" si="52"/>
        <v>0</v>
      </c>
      <c r="AW64" s="391">
        <f t="shared" si="53"/>
        <v>0</v>
      </c>
      <c r="AX64" s="391">
        <f t="shared" ref="AX64:AX65" si="73">IF(AND(D64&lt;&gt;0,M64=""),1,IF(AND(E64&lt;&gt;0,N64=""),1,0))</f>
        <v>0</v>
      </c>
      <c r="AY64" s="391">
        <f t="shared" ref="AY64:AY65" si="74">IF(AND(D64&lt;&gt;0,P64=""),1,IF(AND(E64&lt;&gt;0,Q64=""),1,0))</f>
        <v>0</v>
      </c>
    </row>
    <row r="65" spans="1:51" ht="15.75" customHeight="1" x14ac:dyDescent="0.15">
      <c r="A65" s="2311" t="s">
        <v>832</v>
      </c>
      <c r="B65" s="2312"/>
      <c r="C65" s="419">
        <f t="shared" si="43"/>
        <v>0</v>
      </c>
      <c r="D65" s="418">
        <f>+G65+J65</f>
        <v>0</v>
      </c>
      <c r="E65" s="417">
        <f t="shared" si="44"/>
        <v>0</v>
      </c>
      <c r="F65" s="419">
        <f t="shared" si="45"/>
        <v>0</v>
      </c>
      <c r="G65" s="282"/>
      <c r="H65" s="276"/>
      <c r="I65" s="419">
        <f t="shared" si="46"/>
        <v>0</v>
      </c>
      <c r="J65" s="282"/>
      <c r="K65" s="299"/>
      <c r="L65" s="420">
        <f t="shared" si="47"/>
        <v>0</v>
      </c>
      <c r="M65" s="282"/>
      <c r="N65" s="276"/>
      <c r="O65" s="417">
        <f t="shared" si="48"/>
        <v>0</v>
      </c>
      <c r="P65" s="282"/>
      <c r="Q65" s="276"/>
      <c r="R65" s="384" t="str">
        <f t="shared" si="61"/>
        <v xml:space="preserve"> </v>
      </c>
      <c r="AJ65" s="381" t="str">
        <f t="shared" si="62"/>
        <v/>
      </c>
      <c r="AK65" s="381" t="str">
        <f t="shared" si="63"/>
        <v/>
      </c>
      <c r="AL65" s="381" t="str">
        <f t="shared" si="49"/>
        <v/>
      </c>
      <c r="AM65" s="381" t="str">
        <f t="shared" si="57"/>
        <v/>
      </c>
      <c r="AN65" s="381" t="str">
        <f t="shared" si="58"/>
        <v/>
      </c>
      <c r="AT65" s="385"/>
      <c r="AU65" s="391">
        <f t="shared" si="42"/>
        <v>0</v>
      </c>
      <c r="AV65" s="391">
        <f t="shared" si="52"/>
        <v>0</v>
      </c>
      <c r="AW65" s="391">
        <f t="shared" si="53"/>
        <v>0</v>
      </c>
      <c r="AX65" s="391">
        <f t="shared" si="73"/>
        <v>0</v>
      </c>
      <c r="AY65" s="391">
        <f t="shared" si="74"/>
        <v>0</v>
      </c>
    </row>
    <row r="66" spans="1:51" ht="15.75" customHeight="1" x14ac:dyDescent="0.15">
      <c r="A66" s="2310" t="s">
        <v>717</v>
      </c>
      <c r="B66" s="2310"/>
      <c r="C66" s="428">
        <f t="shared" si="43"/>
        <v>0</v>
      </c>
      <c r="D66" s="429">
        <f t="shared" si="56"/>
        <v>0</v>
      </c>
      <c r="E66" s="430">
        <f t="shared" si="44"/>
        <v>0</v>
      </c>
      <c r="F66" s="428">
        <f t="shared" si="45"/>
        <v>0</v>
      </c>
      <c r="G66" s="283"/>
      <c r="H66" s="284"/>
      <c r="I66" s="428">
        <f t="shared" si="46"/>
        <v>0</v>
      </c>
      <c r="J66" s="1012"/>
      <c r="K66" s="290"/>
      <c r="L66" s="1410">
        <f t="shared" si="47"/>
        <v>0</v>
      </c>
      <c r="M66" s="1012"/>
      <c r="N66" s="284"/>
      <c r="O66" s="430">
        <f t="shared" si="48"/>
        <v>0</v>
      </c>
      <c r="P66" s="1012"/>
      <c r="Q66" s="284"/>
      <c r="R66" s="384" t="str">
        <f t="shared" si="61"/>
        <v xml:space="preserve"> </v>
      </c>
      <c r="AJ66" s="381" t="str">
        <f t="shared" si="62"/>
        <v/>
      </c>
      <c r="AK66" s="381" t="str">
        <f t="shared" si="63"/>
        <v/>
      </c>
      <c r="AL66" s="381" t="str">
        <f t="shared" si="49"/>
        <v/>
      </c>
      <c r="AM66" s="381" t="str">
        <f t="shared" si="57"/>
        <v/>
      </c>
      <c r="AN66" s="381" t="str">
        <f t="shared" si="58"/>
        <v/>
      </c>
      <c r="AT66" s="385"/>
      <c r="AU66" s="391">
        <f t="shared" si="42"/>
        <v>0</v>
      </c>
      <c r="AV66" s="391">
        <f t="shared" si="52"/>
        <v>0</v>
      </c>
      <c r="AW66" s="391">
        <f t="shared" si="53"/>
        <v>0</v>
      </c>
      <c r="AX66" s="391">
        <f t="shared" si="59"/>
        <v>0</v>
      </c>
      <c r="AY66" s="391">
        <f t="shared" si="60"/>
        <v>0</v>
      </c>
    </row>
    <row r="67" spans="1:51" ht="32.450000000000003" customHeight="1" x14ac:dyDescent="0.15">
      <c r="A67" s="198" t="s">
        <v>895</v>
      </c>
      <c r="R67" s="384"/>
      <c r="AT67" s="385"/>
      <c r="AU67" s="385"/>
      <c r="AV67" s="385"/>
      <c r="AW67" s="385"/>
      <c r="AX67" s="385"/>
      <c r="AY67" s="385"/>
    </row>
    <row r="68" spans="1:51" ht="15" customHeight="1" x14ac:dyDescent="0.15">
      <c r="A68" s="2324" t="s">
        <v>374</v>
      </c>
      <c r="B68" s="2325"/>
      <c r="C68" s="2115" t="s">
        <v>13</v>
      </c>
      <c r="D68" s="2077"/>
      <c r="E68" s="2078"/>
      <c r="F68" s="2303" t="s">
        <v>394</v>
      </c>
      <c r="G68" s="2249"/>
      <c r="H68" s="2245"/>
      <c r="I68" s="2303" t="s">
        <v>395</v>
      </c>
      <c r="J68" s="2249"/>
      <c r="K68" s="2249"/>
      <c r="L68" s="2305" t="s">
        <v>851</v>
      </c>
      <c r="M68" s="2306"/>
      <c r="N68" s="2306"/>
      <c r="O68" s="2249" t="s">
        <v>814</v>
      </c>
      <c r="P68" s="2249"/>
      <c r="Q68" s="2245"/>
      <c r="R68" s="1694"/>
      <c r="S68" s="431"/>
      <c r="AT68" s="385"/>
      <c r="AU68" s="385"/>
      <c r="AV68" s="385"/>
      <c r="AW68" s="385"/>
      <c r="AX68" s="385"/>
      <c r="AY68" s="385"/>
    </row>
    <row r="69" spans="1:51" x14ac:dyDescent="0.15">
      <c r="A69" s="2326"/>
      <c r="B69" s="2327"/>
      <c r="C69" s="2116"/>
      <c r="D69" s="2289"/>
      <c r="E69" s="2117"/>
      <c r="F69" s="2304"/>
      <c r="G69" s="2290"/>
      <c r="H69" s="2256"/>
      <c r="I69" s="2304"/>
      <c r="J69" s="2290"/>
      <c r="K69" s="2290"/>
      <c r="L69" s="2305"/>
      <c r="M69" s="2306"/>
      <c r="N69" s="2306"/>
      <c r="O69" s="2290"/>
      <c r="P69" s="2290"/>
      <c r="Q69" s="2256"/>
      <c r="R69" s="1694"/>
      <c r="S69" s="431"/>
      <c r="AT69" s="385"/>
      <c r="AU69" s="385"/>
      <c r="AV69" s="385"/>
      <c r="AW69" s="385"/>
      <c r="AX69" s="385"/>
      <c r="AY69" s="385"/>
    </row>
    <row r="70" spans="1:51" x14ac:dyDescent="0.15">
      <c r="A70" s="2326"/>
      <c r="B70" s="2327"/>
      <c r="C70" s="2116"/>
      <c r="D70" s="2289"/>
      <c r="E70" s="2117"/>
      <c r="F70" s="2258"/>
      <c r="G70" s="2250"/>
      <c r="H70" s="2247"/>
      <c r="I70" s="2258"/>
      <c r="J70" s="2250"/>
      <c r="K70" s="2250"/>
      <c r="L70" s="2305"/>
      <c r="M70" s="2306"/>
      <c r="N70" s="2306"/>
      <c r="O70" s="2250"/>
      <c r="P70" s="2250"/>
      <c r="Q70" s="2247"/>
      <c r="R70" s="1694"/>
      <c r="S70" s="431"/>
      <c r="AT70" s="385"/>
      <c r="AU70" s="385"/>
      <c r="AV70" s="385"/>
      <c r="AW70" s="385"/>
      <c r="AX70" s="385"/>
      <c r="AY70" s="385"/>
    </row>
    <row r="71" spans="1:51" ht="29.25" customHeight="1" x14ac:dyDescent="0.15">
      <c r="A71" s="2328"/>
      <c r="B71" s="2329"/>
      <c r="C71" s="1338" t="s">
        <v>369</v>
      </c>
      <c r="D71" s="181" t="s">
        <v>416</v>
      </c>
      <c r="E71" s="212" t="s">
        <v>30</v>
      </c>
      <c r="F71" s="1338" t="s">
        <v>369</v>
      </c>
      <c r="G71" s="181" t="s">
        <v>416</v>
      </c>
      <c r="H71" s="212" t="s">
        <v>30</v>
      </c>
      <c r="I71" s="1338" t="s">
        <v>369</v>
      </c>
      <c r="J71" s="181" t="s">
        <v>416</v>
      </c>
      <c r="K71" s="286" t="s">
        <v>30</v>
      </c>
      <c r="L71" s="412" t="s">
        <v>369</v>
      </c>
      <c r="M71" s="181" t="s">
        <v>416</v>
      </c>
      <c r="N71" s="212" t="s">
        <v>30</v>
      </c>
      <c r="O71" s="1339" t="s">
        <v>369</v>
      </c>
      <c r="P71" s="181" t="s">
        <v>416</v>
      </c>
      <c r="Q71" s="212" t="s">
        <v>30</v>
      </c>
      <c r="R71" s="384"/>
      <c r="AT71" s="385"/>
      <c r="AU71" s="385"/>
      <c r="AV71" s="385"/>
      <c r="AW71" s="385"/>
      <c r="AX71" s="385"/>
      <c r="AY71" s="385"/>
    </row>
    <row r="72" spans="1:51" ht="18" customHeight="1" x14ac:dyDescent="0.15">
      <c r="A72" s="2322" t="s">
        <v>425</v>
      </c>
      <c r="B72" s="2323"/>
      <c r="C72" s="414">
        <f>SUM(D72:E72)</f>
        <v>0</v>
      </c>
      <c r="D72" s="415">
        <f>+G72+J72</f>
        <v>0</v>
      </c>
      <c r="E72" s="414">
        <f>+H72+K72</f>
        <v>0</v>
      </c>
      <c r="F72" s="421">
        <f>SUM(G72:H72)</f>
        <v>0</v>
      </c>
      <c r="G72" s="261"/>
      <c r="H72" s="262"/>
      <c r="I72" s="421">
        <f>SUM(J72:K72)</f>
        <v>0</v>
      </c>
      <c r="J72" s="261"/>
      <c r="K72" s="285"/>
      <c r="L72" s="1395">
        <f>SUM(M72:N72)</f>
        <v>0</v>
      </c>
      <c r="M72" s="261"/>
      <c r="N72" s="262"/>
      <c r="O72" s="1396">
        <f>SUM(P72:Q72)</f>
        <v>0</v>
      </c>
      <c r="P72" s="261"/>
      <c r="Q72" s="262"/>
      <c r="R72" s="384" t="str">
        <f t="shared" ref="R72:R81" si="75">AJ72 &amp; " " &amp; AK72 &amp; AL72 &amp; AM72 &amp; AN72</f>
        <v xml:space="preserve"> </v>
      </c>
      <c r="AJ72" s="381" t="str">
        <f t="shared" ref="AJ72:AJ81" si="76">IF($C$12&lt;$C72, "* El total de Adolescentes según ambitos no puede ser mayor al total de Adolescentes en control. ", "")</f>
        <v/>
      </c>
      <c r="AK72" s="381" t="str">
        <f t="shared" ref="AK72:AK81" si="77">IF($C72&lt;$L72, "* El total de Adolescentes de Pueblos Originarios no puede ser mayor al total de Adolescentes. ", "")</f>
        <v/>
      </c>
      <c r="AL72" s="381" t="str">
        <f t="shared" ref="AL72:AL81" si="78">IF($C72&lt;$O72, "* El total de Adolescentes de Migrantes no puede ser mayor al total de Adolescentes. ", "")</f>
        <v/>
      </c>
      <c r="AM72" s="381" t="str">
        <f t="shared" ref="AM72:AM81" si="79">IF(AND(D72&lt;&gt;0,M72=""),"* No olvide escribir en la celda de Pueblos Originarios (Digite CERO si no tiene). ",IF(AND(E72&lt;&gt;0,N72=""),"* No olvide escribir en la celda de Pueblos Originarios (Digite CERO si no tiene). ",""))</f>
        <v/>
      </c>
      <c r="AN72" s="381" t="str">
        <f t="shared" ref="AN72:AN81" si="80">IF(AND(D72&lt;&gt;0,P72=""),"* No olvide escribir en la celda de Población Migrantes (Digite CERO si no tiene). ",IF(AND(E72&lt;&gt;0,Q72=""),"* No olvide escribir en la celda de Población Migrantes (Digite CERO si no tiene). ",""))</f>
        <v/>
      </c>
      <c r="AT72" s="385"/>
      <c r="AU72" s="391">
        <f t="shared" si="42"/>
        <v>0</v>
      </c>
      <c r="AV72" s="391">
        <f t="shared" ref="AV72:AV81" si="81">IF($C72&lt;$L72, 1,0)</f>
        <v>0</v>
      </c>
      <c r="AW72" s="391">
        <f t="shared" ref="AW72:AW81" si="82">IF($C72&lt;$O72, 1,0)</f>
        <v>0</v>
      </c>
      <c r="AX72" s="391">
        <f t="shared" ref="AX72:AX81" si="83">IF(AND(D72&lt;&gt;0,M72=""),1,IF(AND(E72&lt;&gt;0,N72=""),1,0))</f>
        <v>0</v>
      </c>
      <c r="AY72" s="391">
        <f t="shared" ref="AY72:AY81" si="84">IF(AND(D72&lt;&gt;0,P72=""),1,IF(AND(E72&lt;&gt;0,Q72=""),1,0))</f>
        <v>0</v>
      </c>
    </row>
    <row r="73" spans="1:51" ht="18" customHeight="1" x14ac:dyDescent="0.15">
      <c r="A73" s="2311" t="s">
        <v>426</v>
      </c>
      <c r="B73" s="2312"/>
      <c r="C73" s="417">
        <f t="shared" ref="C73:C81" si="85">SUM(D73:E73)</f>
        <v>0</v>
      </c>
      <c r="D73" s="418">
        <f t="shared" ref="D73:D81" si="86">+G73+J73</f>
        <v>0</v>
      </c>
      <c r="E73" s="417">
        <f t="shared" ref="E73:E81" si="87">+H73+K73</f>
        <v>0</v>
      </c>
      <c r="F73" s="421">
        <f t="shared" ref="F73:F81" si="88">SUM(G73:H73)</f>
        <v>0</v>
      </c>
      <c r="G73" s="261"/>
      <c r="H73" s="262"/>
      <c r="I73" s="421">
        <f t="shared" ref="I73:I81" si="89">SUM(J73:K73)</f>
        <v>0</v>
      </c>
      <c r="J73" s="261"/>
      <c r="K73" s="285"/>
      <c r="L73" s="1406">
        <f t="shared" ref="L73:L81" si="90">SUM(M73:N73)</f>
        <v>0</v>
      </c>
      <c r="M73" s="261"/>
      <c r="N73" s="262"/>
      <c r="O73" s="421">
        <f t="shared" ref="O73:O81" si="91">SUM(P73:Q73)</f>
        <v>0</v>
      </c>
      <c r="P73" s="261"/>
      <c r="Q73" s="262"/>
      <c r="R73" s="384" t="str">
        <f t="shared" si="75"/>
        <v xml:space="preserve"> </v>
      </c>
      <c r="AJ73" s="381" t="str">
        <f t="shared" si="76"/>
        <v/>
      </c>
      <c r="AK73" s="381" t="str">
        <f t="shared" si="77"/>
        <v/>
      </c>
      <c r="AL73" s="381" t="str">
        <f t="shared" si="78"/>
        <v/>
      </c>
      <c r="AM73" s="381" t="str">
        <f t="shared" si="79"/>
        <v/>
      </c>
      <c r="AN73" s="381" t="str">
        <f t="shared" si="80"/>
        <v/>
      </c>
      <c r="AT73" s="385"/>
      <c r="AU73" s="391">
        <f t="shared" si="42"/>
        <v>0</v>
      </c>
      <c r="AV73" s="391">
        <f t="shared" si="81"/>
        <v>0</v>
      </c>
      <c r="AW73" s="391">
        <f t="shared" si="82"/>
        <v>0</v>
      </c>
      <c r="AX73" s="391">
        <f t="shared" si="83"/>
        <v>0</v>
      </c>
      <c r="AY73" s="391">
        <f t="shared" si="84"/>
        <v>0</v>
      </c>
    </row>
    <row r="74" spans="1:51" ht="18" customHeight="1" x14ac:dyDescent="0.15">
      <c r="A74" s="2311" t="s">
        <v>427</v>
      </c>
      <c r="B74" s="2312"/>
      <c r="C74" s="417">
        <f t="shared" si="85"/>
        <v>0</v>
      </c>
      <c r="D74" s="418">
        <f t="shared" si="86"/>
        <v>0</v>
      </c>
      <c r="E74" s="417">
        <f t="shared" si="87"/>
        <v>0</v>
      </c>
      <c r="F74" s="421">
        <f t="shared" si="88"/>
        <v>0</v>
      </c>
      <c r="G74" s="261"/>
      <c r="H74" s="262"/>
      <c r="I74" s="421">
        <f t="shared" si="89"/>
        <v>0</v>
      </c>
      <c r="J74" s="261"/>
      <c r="K74" s="285"/>
      <c r="L74" s="1406">
        <f t="shared" si="90"/>
        <v>0</v>
      </c>
      <c r="M74" s="261"/>
      <c r="N74" s="262"/>
      <c r="O74" s="421">
        <f t="shared" si="91"/>
        <v>0</v>
      </c>
      <c r="P74" s="261"/>
      <c r="Q74" s="262"/>
      <c r="R74" s="384" t="str">
        <f t="shared" si="75"/>
        <v xml:space="preserve"> </v>
      </c>
      <c r="AJ74" s="381" t="str">
        <f t="shared" si="76"/>
        <v/>
      </c>
      <c r="AK74" s="381" t="str">
        <f t="shared" si="77"/>
        <v/>
      </c>
      <c r="AL74" s="381" t="str">
        <f t="shared" si="78"/>
        <v/>
      </c>
      <c r="AM74" s="381" t="str">
        <f t="shared" si="79"/>
        <v/>
      </c>
      <c r="AN74" s="381" t="str">
        <f t="shared" si="80"/>
        <v/>
      </c>
      <c r="AT74" s="385"/>
      <c r="AU74" s="391">
        <f t="shared" si="42"/>
        <v>0</v>
      </c>
      <c r="AV74" s="391">
        <f t="shared" si="81"/>
        <v>0</v>
      </c>
      <c r="AW74" s="391">
        <f t="shared" si="82"/>
        <v>0</v>
      </c>
      <c r="AX74" s="391">
        <f t="shared" si="83"/>
        <v>0</v>
      </c>
      <c r="AY74" s="391">
        <f t="shared" si="84"/>
        <v>0</v>
      </c>
    </row>
    <row r="75" spans="1:51" ht="18" customHeight="1" x14ac:dyDescent="0.25">
      <c r="A75" s="2309" t="s">
        <v>428</v>
      </c>
      <c r="B75" s="2309"/>
      <c r="C75" s="417">
        <f t="shared" si="85"/>
        <v>0</v>
      </c>
      <c r="D75" s="418">
        <f t="shared" si="86"/>
        <v>0</v>
      </c>
      <c r="E75" s="417">
        <f t="shared" si="87"/>
        <v>0</v>
      </c>
      <c r="F75" s="421">
        <f t="shared" si="88"/>
        <v>0</v>
      </c>
      <c r="G75" s="261"/>
      <c r="H75" s="262"/>
      <c r="I75" s="421">
        <f t="shared" si="89"/>
        <v>0</v>
      </c>
      <c r="J75" s="261"/>
      <c r="K75" s="285"/>
      <c r="L75" s="1406">
        <f t="shared" si="90"/>
        <v>0</v>
      </c>
      <c r="M75" s="261"/>
      <c r="N75" s="262"/>
      <c r="O75" s="421">
        <f t="shared" si="91"/>
        <v>0</v>
      </c>
      <c r="P75" s="261"/>
      <c r="Q75" s="262"/>
      <c r="R75" s="384" t="str">
        <f t="shared" si="75"/>
        <v xml:space="preserve"> </v>
      </c>
      <c r="S75" s="1050"/>
      <c r="AJ75" s="381" t="str">
        <f t="shared" si="76"/>
        <v/>
      </c>
      <c r="AK75" s="381" t="str">
        <f t="shared" si="77"/>
        <v/>
      </c>
      <c r="AL75" s="381" t="str">
        <f t="shared" si="78"/>
        <v/>
      </c>
      <c r="AM75" s="381" t="str">
        <f t="shared" si="79"/>
        <v/>
      </c>
      <c r="AN75" s="381" t="str">
        <f t="shared" si="80"/>
        <v/>
      </c>
      <c r="AT75" s="385"/>
      <c r="AU75" s="391">
        <f t="shared" si="42"/>
        <v>0</v>
      </c>
      <c r="AV75" s="391">
        <f t="shared" si="81"/>
        <v>0</v>
      </c>
      <c r="AW75" s="391">
        <f t="shared" si="82"/>
        <v>0</v>
      </c>
      <c r="AX75" s="391">
        <f t="shared" si="83"/>
        <v>0</v>
      </c>
      <c r="AY75" s="391">
        <f t="shared" si="84"/>
        <v>0</v>
      </c>
    </row>
    <row r="76" spans="1:51" ht="18" customHeight="1" x14ac:dyDescent="0.15">
      <c r="A76" s="1879" t="s">
        <v>429</v>
      </c>
      <c r="B76" s="1880"/>
      <c r="C76" s="421">
        <f t="shared" si="85"/>
        <v>0</v>
      </c>
      <c r="D76" s="427">
        <f t="shared" si="86"/>
        <v>0</v>
      </c>
      <c r="E76" s="421">
        <f t="shared" si="87"/>
        <v>0</v>
      </c>
      <c r="F76" s="421">
        <f t="shared" si="88"/>
        <v>0</v>
      </c>
      <c r="G76" s="261"/>
      <c r="H76" s="262"/>
      <c r="I76" s="421">
        <f t="shared" si="89"/>
        <v>0</v>
      </c>
      <c r="J76" s="261"/>
      <c r="K76" s="285"/>
      <c r="L76" s="1406">
        <f t="shared" si="90"/>
        <v>0</v>
      </c>
      <c r="M76" s="261"/>
      <c r="N76" s="262"/>
      <c r="O76" s="421">
        <f t="shared" si="91"/>
        <v>0</v>
      </c>
      <c r="P76" s="261"/>
      <c r="Q76" s="262"/>
      <c r="R76" s="384" t="str">
        <f t="shared" si="75"/>
        <v xml:space="preserve"> </v>
      </c>
      <c r="AJ76" s="381" t="str">
        <f t="shared" si="76"/>
        <v/>
      </c>
      <c r="AK76" s="381" t="str">
        <f t="shared" si="77"/>
        <v/>
      </c>
      <c r="AL76" s="381" t="str">
        <f t="shared" si="78"/>
        <v/>
      </c>
      <c r="AM76" s="381" t="str">
        <f t="shared" si="79"/>
        <v/>
      </c>
      <c r="AN76" s="381" t="str">
        <f t="shared" si="80"/>
        <v/>
      </c>
      <c r="AT76" s="385"/>
      <c r="AU76" s="391">
        <f t="shared" si="42"/>
        <v>0</v>
      </c>
      <c r="AV76" s="391">
        <f t="shared" si="81"/>
        <v>0</v>
      </c>
      <c r="AW76" s="391">
        <f t="shared" si="82"/>
        <v>0</v>
      </c>
      <c r="AX76" s="391">
        <f t="shared" si="83"/>
        <v>0</v>
      </c>
      <c r="AY76" s="391">
        <f t="shared" si="84"/>
        <v>0</v>
      </c>
    </row>
    <row r="77" spans="1:51" ht="18" customHeight="1" x14ac:dyDescent="0.15">
      <c r="A77" s="2311" t="s">
        <v>430</v>
      </c>
      <c r="B77" s="2312"/>
      <c r="C77" s="417">
        <f>SUM(D77:E77)</f>
        <v>0</v>
      </c>
      <c r="D77" s="418">
        <f>+G77+J77</f>
        <v>0</v>
      </c>
      <c r="E77" s="417">
        <f t="shared" si="87"/>
        <v>0</v>
      </c>
      <c r="F77" s="421">
        <f t="shared" si="88"/>
        <v>0</v>
      </c>
      <c r="G77" s="261"/>
      <c r="H77" s="262"/>
      <c r="I77" s="421">
        <f t="shared" si="89"/>
        <v>0</v>
      </c>
      <c r="J77" s="261"/>
      <c r="K77" s="285"/>
      <c r="L77" s="1406">
        <f t="shared" si="90"/>
        <v>0</v>
      </c>
      <c r="M77" s="261"/>
      <c r="N77" s="262"/>
      <c r="O77" s="421">
        <f t="shared" si="91"/>
        <v>0</v>
      </c>
      <c r="P77" s="261"/>
      <c r="Q77" s="262"/>
      <c r="R77" s="384" t="str">
        <f t="shared" si="75"/>
        <v xml:space="preserve"> </v>
      </c>
      <c r="AJ77" s="381" t="str">
        <f t="shared" si="76"/>
        <v/>
      </c>
      <c r="AK77" s="381" t="str">
        <f t="shared" si="77"/>
        <v/>
      </c>
      <c r="AL77" s="381" t="str">
        <f t="shared" si="78"/>
        <v/>
      </c>
      <c r="AM77" s="381" t="str">
        <f t="shared" si="79"/>
        <v/>
      </c>
      <c r="AN77" s="381" t="str">
        <f t="shared" si="80"/>
        <v/>
      </c>
      <c r="AT77" s="385"/>
      <c r="AU77" s="391">
        <f t="shared" si="42"/>
        <v>0</v>
      </c>
      <c r="AV77" s="391">
        <f t="shared" si="81"/>
        <v>0</v>
      </c>
      <c r="AW77" s="391">
        <f t="shared" si="82"/>
        <v>0</v>
      </c>
      <c r="AX77" s="391">
        <f t="shared" si="83"/>
        <v>0</v>
      </c>
      <c r="AY77" s="391">
        <f t="shared" si="84"/>
        <v>0</v>
      </c>
    </row>
    <row r="78" spans="1:51" ht="18" customHeight="1" x14ac:dyDescent="0.25">
      <c r="A78" s="2309" t="s">
        <v>431</v>
      </c>
      <c r="B78" s="2309"/>
      <c r="C78" s="417">
        <f t="shared" ref="C78:C79" si="92">SUM(D78:E78)</f>
        <v>0</v>
      </c>
      <c r="D78" s="418">
        <f t="shared" ref="D78:D79" si="93">+G78+J78</f>
        <v>0</v>
      </c>
      <c r="E78" s="417">
        <f t="shared" ref="E78:E79" si="94">+H78+K78</f>
        <v>0</v>
      </c>
      <c r="F78" s="421">
        <f t="shared" ref="F78:F79" si="95">SUM(G78:H78)</f>
        <v>0</v>
      </c>
      <c r="G78" s="261"/>
      <c r="H78" s="262"/>
      <c r="I78" s="421">
        <f t="shared" ref="I78:I79" si="96">SUM(J78:K78)</f>
        <v>0</v>
      </c>
      <c r="J78" s="261"/>
      <c r="K78" s="285"/>
      <c r="L78" s="1406">
        <f t="shared" ref="L78:L79" si="97">SUM(M78:N78)</f>
        <v>0</v>
      </c>
      <c r="M78" s="261"/>
      <c r="N78" s="262"/>
      <c r="O78" s="421">
        <f t="shared" ref="O78:O79" si="98">SUM(P78:Q78)</f>
        <v>0</v>
      </c>
      <c r="P78" s="261"/>
      <c r="Q78" s="262"/>
      <c r="R78" s="384" t="str">
        <f t="shared" si="75"/>
        <v xml:space="preserve"> </v>
      </c>
      <c r="S78" s="1050"/>
      <c r="AJ78" s="381" t="str">
        <f t="shared" si="76"/>
        <v/>
      </c>
      <c r="AK78" s="381" t="str">
        <f t="shared" si="77"/>
        <v/>
      </c>
      <c r="AL78" s="381" t="str">
        <f t="shared" si="78"/>
        <v/>
      </c>
      <c r="AM78" s="381" t="str">
        <f t="shared" ref="AM78:AM79" si="99">IF(AND(D78&lt;&gt;0,M78=""),"* No olvide escribir en la celda de Pueblos Originarios (Digite CERO si no tiene). ",IF(AND(E78&lt;&gt;0,N78=""),"* No olvide escribir en la celda de Pueblos Originarios (Digite CERO si no tiene). ",""))</f>
        <v/>
      </c>
      <c r="AN78" s="381" t="str">
        <f t="shared" ref="AN78:AN79" si="100">IF(AND(D78&lt;&gt;0,P78=""),"* No olvide escribir en la celda de Población Migrantes (Digite CERO si no tiene). ",IF(AND(E78&lt;&gt;0,Q78=""),"* No olvide escribir en la celda de Población Migrantes (Digite CERO si no tiene). ",""))</f>
        <v/>
      </c>
      <c r="AT78" s="385"/>
      <c r="AU78" s="391">
        <f t="shared" si="42"/>
        <v>0</v>
      </c>
      <c r="AV78" s="391">
        <f t="shared" si="81"/>
        <v>0</v>
      </c>
      <c r="AW78" s="391">
        <f t="shared" si="82"/>
        <v>0</v>
      </c>
      <c r="AX78" s="391">
        <f t="shared" ref="AX78:AX79" si="101">IF(AND(D78&lt;&gt;0,M78=""),1,IF(AND(E78&lt;&gt;0,N78=""),1,0))</f>
        <v>0</v>
      </c>
      <c r="AY78" s="391">
        <f t="shared" ref="AY78:AY79" si="102">IF(AND(D78&lt;&gt;0,P78=""),1,IF(AND(E78&lt;&gt;0,Q78=""),1,0))</f>
        <v>0</v>
      </c>
    </row>
    <row r="79" spans="1:51" ht="18" customHeight="1" x14ac:dyDescent="0.15">
      <c r="A79" s="2330" t="s">
        <v>432</v>
      </c>
      <c r="B79" s="2331"/>
      <c r="C79" s="417">
        <f t="shared" si="92"/>
        <v>0</v>
      </c>
      <c r="D79" s="418">
        <f t="shared" si="93"/>
        <v>0</v>
      </c>
      <c r="E79" s="417">
        <f t="shared" si="94"/>
        <v>0</v>
      </c>
      <c r="F79" s="421">
        <f t="shared" si="95"/>
        <v>0</v>
      </c>
      <c r="G79" s="261"/>
      <c r="H79" s="262"/>
      <c r="I79" s="421">
        <f t="shared" si="96"/>
        <v>0</v>
      </c>
      <c r="J79" s="261"/>
      <c r="K79" s="285"/>
      <c r="L79" s="1406">
        <f t="shared" si="97"/>
        <v>0</v>
      </c>
      <c r="M79" s="261"/>
      <c r="N79" s="262"/>
      <c r="O79" s="421">
        <f t="shared" si="98"/>
        <v>0</v>
      </c>
      <c r="P79" s="261"/>
      <c r="Q79" s="262"/>
      <c r="R79" s="384" t="str">
        <f t="shared" si="75"/>
        <v xml:space="preserve"> </v>
      </c>
      <c r="AJ79" s="381" t="str">
        <f t="shared" si="76"/>
        <v/>
      </c>
      <c r="AK79" s="381" t="str">
        <f t="shared" si="77"/>
        <v/>
      </c>
      <c r="AL79" s="381" t="str">
        <f t="shared" si="78"/>
        <v/>
      </c>
      <c r="AM79" s="381" t="str">
        <f t="shared" si="99"/>
        <v/>
      </c>
      <c r="AN79" s="381" t="str">
        <f t="shared" si="100"/>
        <v/>
      </c>
      <c r="AT79" s="385"/>
      <c r="AU79" s="391">
        <f t="shared" si="42"/>
        <v>0</v>
      </c>
      <c r="AV79" s="391">
        <f t="shared" si="81"/>
        <v>0</v>
      </c>
      <c r="AW79" s="391">
        <f t="shared" si="82"/>
        <v>0</v>
      </c>
      <c r="AX79" s="391">
        <f t="shared" si="101"/>
        <v>0</v>
      </c>
      <c r="AY79" s="391">
        <f t="shared" si="102"/>
        <v>0</v>
      </c>
    </row>
    <row r="80" spans="1:51" ht="18" customHeight="1" x14ac:dyDescent="0.15">
      <c r="A80" s="2337" t="s">
        <v>835</v>
      </c>
      <c r="B80" s="2337"/>
      <c r="C80" s="419">
        <f t="shared" si="85"/>
        <v>0</v>
      </c>
      <c r="D80" s="418">
        <f t="shared" si="86"/>
        <v>0</v>
      </c>
      <c r="E80" s="417">
        <f t="shared" si="87"/>
        <v>0</v>
      </c>
      <c r="F80" s="421">
        <f t="shared" si="88"/>
        <v>0</v>
      </c>
      <c r="G80" s="261"/>
      <c r="H80" s="262"/>
      <c r="I80" s="421">
        <f t="shared" si="89"/>
        <v>0</v>
      </c>
      <c r="J80" s="261"/>
      <c r="K80" s="285"/>
      <c r="L80" s="1406">
        <f t="shared" si="90"/>
        <v>0</v>
      </c>
      <c r="M80" s="261"/>
      <c r="N80" s="262"/>
      <c r="O80" s="421">
        <f t="shared" si="91"/>
        <v>0</v>
      </c>
      <c r="P80" s="261"/>
      <c r="Q80" s="262"/>
      <c r="R80" s="384" t="str">
        <f t="shared" si="75"/>
        <v xml:space="preserve"> </v>
      </c>
      <c r="AJ80" s="381" t="str">
        <f t="shared" si="76"/>
        <v/>
      </c>
      <c r="AK80" s="381" t="str">
        <f t="shared" si="77"/>
        <v/>
      </c>
      <c r="AL80" s="381" t="str">
        <f t="shared" si="78"/>
        <v/>
      </c>
      <c r="AM80" s="381" t="str">
        <f t="shared" si="79"/>
        <v/>
      </c>
      <c r="AN80" s="381" t="str">
        <f t="shared" si="80"/>
        <v/>
      </c>
      <c r="AT80" s="385"/>
      <c r="AU80" s="391">
        <f t="shared" si="42"/>
        <v>0</v>
      </c>
      <c r="AV80" s="391">
        <f t="shared" si="81"/>
        <v>0</v>
      </c>
      <c r="AW80" s="391">
        <f t="shared" si="82"/>
        <v>0</v>
      </c>
      <c r="AX80" s="391">
        <f t="shared" si="83"/>
        <v>0</v>
      </c>
      <c r="AY80" s="391">
        <f t="shared" si="84"/>
        <v>0</v>
      </c>
    </row>
    <row r="81" spans="1:51" ht="23.25" customHeight="1" x14ac:dyDescent="0.15">
      <c r="A81" s="2338" t="s">
        <v>836</v>
      </c>
      <c r="B81" s="2339"/>
      <c r="C81" s="422">
        <f t="shared" si="85"/>
        <v>0</v>
      </c>
      <c r="D81" s="423">
        <f t="shared" si="86"/>
        <v>0</v>
      </c>
      <c r="E81" s="422">
        <f t="shared" si="87"/>
        <v>0</v>
      </c>
      <c r="F81" s="1398">
        <f t="shared" si="88"/>
        <v>0</v>
      </c>
      <c r="G81" s="283"/>
      <c r="H81" s="284"/>
      <c r="I81" s="1398">
        <f t="shared" si="89"/>
        <v>0</v>
      </c>
      <c r="J81" s="283"/>
      <c r="K81" s="290"/>
      <c r="L81" s="1397">
        <f t="shared" si="90"/>
        <v>0</v>
      </c>
      <c r="M81" s="283"/>
      <c r="N81" s="284"/>
      <c r="O81" s="1398">
        <f t="shared" si="91"/>
        <v>0</v>
      </c>
      <c r="P81" s="283"/>
      <c r="Q81" s="284"/>
      <c r="R81" s="384" t="str">
        <f t="shared" si="75"/>
        <v xml:space="preserve"> </v>
      </c>
      <c r="AJ81" s="381" t="str">
        <f t="shared" si="76"/>
        <v/>
      </c>
      <c r="AK81" s="381" t="str">
        <f t="shared" si="77"/>
        <v/>
      </c>
      <c r="AL81" s="381" t="str">
        <f t="shared" si="78"/>
        <v/>
      </c>
      <c r="AM81" s="381" t="str">
        <f t="shared" si="79"/>
        <v/>
      </c>
      <c r="AN81" s="381" t="str">
        <f t="shared" si="80"/>
        <v/>
      </c>
      <c r="AT81" s="385"/>
      <c r="AU81" s="391">
        <f t="shared" si="42"/>
        <v>0</v>
      </c>
      <c r="AV81" s="391">
        <f t="shared" si="81"/>
        <v>0</v>
      </c>
      <c r="AW81" s="391">
        <f t="shared" si="82"/>
        <v>0</v>
      </c>
      <c r="AX81" s="391">
        <f t="shared" si="83"/>
        <v>0</v>
      </c>
      <c r="AY81" s="391">
        <f t="shared" si="84"/>
        <v>0</v>
      </c>
    </row>
    <row r="82" spans="1:51" ht="24.75" customHeight="1" x14ac:dyDescent="0.15">
      <c r="A82" s="198" t="s">
        <v>894</v>
      </c>
      <c r="F82" s="1411"/>
      <c r="AT82" s="385"/>
      <c r="AU82" s="385"/>
      <c r="AV82" s="385"/>
      <c r="AW82" s="385"/>
      <c r="AX82" s="385"/>
      <c r="AY82" s="385"/>
    </row>
    <row r="83" spans="1:51" ht="15" customHeight="1" x14ac:dyDescent="0.15">
      <c r="A83" s="2259" t="s">
        <v>449</v>
      </c>
      <c r="B83" s="2292" t="s">
        <v>368</v>
      </c>
      <c r="C83" s="2292" t="s">
        <v>375</v>
      </c>
      <c r="D83" s="2292"/>
      <c r="E83" s="2334"/>
      <c r="F83" s="2335" t="s">
        <v>851</v>
      </c>
      <c r="G83" s="2292"/>
      <c r="H83" s="2292"/>
      <c r="I83" s="2303" t="s">
        <v>814</v>
      </c>
      <c r="J83" s="2249"/>
      <c r="K83" s="2245"/>
      <c r="L83" s="2249" t="s">
        <v>549</v>
      </c>
      <c r="M83" s="2249"/>
      <c r="N83" s="2245"/>
      <c r="AT83" s="385"/>
      <c r="AU83" s="385"/>
      <c r="AV83" s="385"/>
      <c r="AW83" s="385"/>
      <c r="AX83" s="385"/>
      <c r="AY83" s="385"/>
    </row>
    <row r="84" spans="1:51" ht="15" customHeight="1" x14ac:dyDescent="0.15">
      <c r="A84" s="2254"/>
      <c r="B84" s="2292"/>
      <c r="C84" s="2292"/>
      <c r="D84" s="2292"/>
      <c r="E84" s="2334"/>
      <c r="F84" s="2335"/>
      <c r="G84" s="2292"/>
      <c r="H84" s="2292"/>
      <c r="I84" s="2258"/>
      <c r="J84" s="2250"/>
      <c r="K84" s="2247"/>
      <c r="L84" s="2250"/>
      <c r="M84" s="2250"/>
      <c r="N84" s="2247"/>
      <c r="AT84" s="385"/>
      <c r="AU84" s="385"/>
      <c r="AV84" s="385"/>
      <c r="AW84" s="385"/>
      <c r="AX84" s="385"/>
      <c r="AY84" s="385"/>
    </row>
    <row r="85" spans="1:51" ht="33" customHeight="1" x14ac:dyDescent="0.15">
      <c r="A85" s="2255"/>
      <c r="B85" s="2292"/>
      <c r="C85" s="181" t="s">
        <v>369</v>
      </c>
      <c r="D85" s="181" t="s">
        <v>416</v>
      </c>
      <c r="E85" s="1363" t="s">
        <v>30</v>
      </c>
      <c r="F85" s="1179" t="s">
        <v>369</v>
      </c>
      <c r="G85" s="181" t="s">
        <v>416</v>
      </c>
      <c r="H85" s="212" t="s">
        <v>30</v>
      </c>
      <c r="I85" s="181" t="s">
        <v>369</v>
      </c>
      <c r="J85" s="181" t="s">
        <v>416</v>
      </c>
      <c r="K85" s="212" t="s">
        <v>30</v>
      </c>
      <c r="L85" s="181" t="s">
        <v>369</v>
      </c>
      <c r="M85" s="181" t="s">
        <v>416</v>
      </c>
      <c r="N85" s="212" t="s">
        <v>30</v>
      </c>
      <c r="AT85" s="385"/>
      <c r="AU85" s="385"/>
      <c r="AV85" s="385"/>
      <c r="AW85" s="385"/>
      <c r="AX85" s="385"/>
      <c r="AY85" s="385"/>
    </row>
    <row r="86" spans="1:51" ht="16.5" customHeight="1" x14ac:dyDescent="0.15">
      <c r="A86" s="2318" t="s">
        <v>535</v>
      </c>
      <c r="B86" s="432" t="s">
        <v>525</v>
      </c>
      <c r="C86" s="1412">
        <f>SUM(D86:E86)</f>
        <v>0</v>
      </c>
      <c r="D86" s="261"/>
      <c r="E86" s="285"/>
      <c r="F86" s="1413">
        <f>SUM(G86:H86)</f>
        <v>0</v>
      </c>
      <c r="G86" s="261"/>
      <c r="H86" s="262"/>
      <c r="I86" s="1412">
        <f>SUM(J86:K86)</f>
        <v>0</v>
      </c>
      <c r="J86" s="261"/>
      <c r="K86" s="262"/>
      <c r="L86" s="1414">
        <f>SUM(M86:N86)</f>
        <v>0</v>
      </c>
      <c r="M86" s="261"/>
      <c r="N86" s="262"/>
      <c r="O86" s="384" t="str">
        <f>AI86 &amp; AJ86 &amp; AK86 &amp; AL86 &amp; AM86 &amp; AN86</f>
        <v/>
      </c>
      <c r="AI86" s="381" t="str">
        <f t="shared" ref="AI86:AI99" si="103">IF($C86&lt;$F86, "* El total de Adolescentes de Pueblos Originarios no puede ser mayor al total de Adolescentes. ", "")</f>
        <v/>
      </c>
      <c r="AJ86" s="381" t="str">
        <f t="shared" ref="AJ86:AJ99" si="104">IF($C86&lt;$I86, "* El total de Adolescentes de Migrantes no puede ser mayor al total de Adolescentes. ", "")</f>
        <v/>
      </c>
      <c r="AK86" s="381" t="str">
        <f>IF($C86&lt;$L86, "* El total de Adolescentes de Espacios Amigables no puede ser mayor al total de Adolescentes. ", "")</f>
        <v/>
      </c>
      <c r="AL86" s="381" t="str">
        <f t="shared" ref="AL86:AL99" si="105">IF(AND(D86&lt;&gt;0,G86=""),"* No olvide escribir en la celda de Pueblos Originarios (Digite CERO si no tiene). ",IF(AND(E86&lt;&gt;0,H86=""),"* No olvide escribir en la celda de Pueblos Originarios (Digite CERO si no tiene). ",""))</f>
        <v/>
      </c>
      <c r="AM86" s="381" t="str">
        <f t="shared" ref="AM86:AM99" si="106">IF(AND(D86&lt;&gt;0,J86=""),"* No olvide escribir en la celda de Población Migrantes (Digite CERO si no tiene). ",IF(AND(E86&lt;&gt;0,K86=""),"* No olvide escribir en la celda de Población Migrantes (Digite CERO si no tiene). ",""))</f>
        <v/>
      </c>
      <c r="AN86" s="381" t="str">
        <f>IF(AND(D86&lt;&gt;0,M86=""),"* No olvide escribir en la celda de Espacios Amigables (Digite CERO si no tiene). ",IF(AND(E86&lt;&gt;0,N86=""),"* No olvide escribir en la celda de Espacios Amigables (Digite CERO si no tiene). ",""))</f>
        <v/>
      </c>
      <c r="AT86" s="391">
        <f>IF($C86&lt;$F86, 1,0)</f>
        <v>0</v>
      </c>
      <c r="AU86" s="391">
        <f>IF($C86&lt;$I86, 1,0)</f>
        <v>0</v>
      </c>
      <c r="AV86" s="391">
        <f>IF($C86&lt;$L86, 1,0)</f>
        <v>0</v>
      </c>
      <c r="AW86" s="391">
        <f t="shared" ref="AW86:AW99" si="107">IF(AND(D86&lt;&gt;0,G86=""),1,IF(AND(E86&lt;&gt;0,H86=""),1,0))</f>
        <v>0</v>
      </c>
      <c r="AX86" s="391">
        <f t="shared" ref="AX86:AX99" si="108">IF(AND(D86&lt;&gt;0,J86=""),1,IF(AND(E86&lt;&gt;0,K86=""),1,0))</f>
        <v>0</v>
      </c>
      <c r="AY86" s="391">
        <f>IF(AND(D86&lt;&gt;0,M86=""),1,IF(AND(E86&lt;&gt;0,N86=""),1,0))</f>
        <v>0</v>
      </c>
    </row>
    <row r="87" spans="1:51" ht="16.5" customHeight="1" x14ac:dyDescent="0.15">
      <c r="A87" s="2319"/>
      <c r="B87" s="434" t="s">
        <v>370</v>
      </c>
      <c r="C87" s="1415">
        <f>SUM(D87:E87)</f>
        <v>0</v>
      </c>
      <c r="D87" s="271"/>
      <c r="E87" s="288"/>
      <c r="F87" s="1416">
        <f t="shared" ref="F87:F99" si="109">SUM(G87:H87)</f>
        <v>0</v>
      </c>
      <c r="G87" s="271"/>
      <c r="H87" s="272"/>
      <c r="I87" s="1415">
        <f t="shared" ref="I87:I99" si="110">SUM(J87:K87)</f>
        <v>0</v>
      </c>
      <c r="J87" s="271"/>
      <c r="K87" s="272"/>
      <c r="L87" s="1417">
        <f t="shared" ref="L87:L97" si="111">SUM(M87:N87)</f>
        <v>0</v>
      </c>
      <c r="M87" s="271"/>
      <c r="N87" s="272"/>
      <c r="O87" s="384" t="str">
        <f t="shared" ref="O87:O99" si="112">AI87 &amp; AJ87 &amp; AK87 &amp; AL87 &amp; AM87 &amp; AN87</f>
        <v/>
      </c>
      <c r="AI87" s="381" t="str">
        <f t="shared" si="103"/>
        <v/>
      </c>
      <c r="AJ87" s="381" t="str">
        <f t="shared" si="104"/>
        <v/>
      </c>
      <c r="AK87" s="381" t="str">
        <f t="shared" ref="AK87:AK99" si="113">IF($C87&lt;$L87, "* El total de Adolescentes de Espacios Amigables no puede ser mayor al total de Adolescentes. ", "")</f>
        <v/>
      </c>
      <c r="AL87" s="381" t="str">
        <f t="shared" si="105"/>
        <v/>
      </c>
      <c r="AM87" s="381" t="str">
        <f t="shared" si="106"/>
        <v/>
      </c>
      <c r="AN87" s="381" t="str">
        <f t="shared" ref="AN87:AN99" si="114">IF(AND(D87&lt;&gt;0,M87=""),"* No olvide escribir en la celda de Espacios Amigables (Digite CERO si no tiene). ",IF(AND(E87&lt;&gt;0,N87=""),"* No olvide escribir en la celda de Espacios Amigables (Digite CERO si no tiene). ",""))</f>
        <v/>
      </c>
      <c r="AT87" s="391">
        <f t="shared" ref="AT87:AT99" si="115">IF($C87&lt;$F87, 1,0)</f>
        <v>0</v>
      </c>
      <c r="AU87" s="391">
        <f t="shared" ref="AU87:AU99" si="116">IF($C87&lt;$I87, 1,0)</f>
        <v>0</v>
      </c>
      <c r="AV87" s="391">
        <f t="shared" ref="AV87:AV99" si="117">IF($C87&lt;$L87, 1,0)</f>
        <v>0</v>
      </c>
      <c r="AW87" s="391">
        <f t="shared" si="107"/>
        <v>0</v>
      </c>
      <c r="AX87" s="391">
        <f t="shared" si="108"/>
        <v>0</v>
      </c>
      <c r="AY87" s="391">
        <f t="shared" ref="AY87:AY99" si="118">IF(AND(D87&lt;&gt;0,M87=""),1,IF(AND(E87&lt;&gt;0,N87=""),1,0))</f>
        <v>0</v>
      </c>
    </row>
    <row r="88" spans="1:51" ht="16.5" customHeight="1" x14ac:dyDescent="0.25">
      <c r="A88" s="2315" t="s">
        <v>419</v>
      </c>
      <c r="B88" s="432" t="s">
        <v>525</v>
      </c>
      <c r="C88" s="1418">
        <f t="shared" ref="C88:C99" si="119">SUM(D88:E88)</f>
        <v>0</v>
      </c>
      <c r="D88" s="273"/>
      <c r="E88" s="289"/>
      <c r="F88" s="1404">
        <f t="shared" si="109"/>
        <v>0</v>
      </c>
      <c r="G88" s="273"/>
      <c r="H88" s="274"/>
      <c r="I88" s="1418">
        <f t="shared" si="110"/>
        <v>0</v>
      </c>
      <c r="J88" s="273"/>
      <c r="K88" s="274"/>
      <c r="L88" s="1405">
        <f t="shared" si="111"/>
        <v>0</v>
      </c>
      <c r="M88" s="273"/>
      <c r="N88" s="274"/>
      <c r="O88" s="384" t="str">
        <f t="shared" si="112"/>
        <v/>
      </c>
      <c r="P88" s="1050"/>
      <c r="AI88" s="381" t="str">
        <f t="shared" si="103"/>
        <v/>
      </c>
      <c r="AJ88" s="381" t="str">
        <f t="shared" si="104"/>
        <v/>
      </c>
      <c r="AK88" s="381" t="str">
        <f t="shared" si="113"/>
        <v/>
      </c>
      <c r="AL88" s="381" t="str">
        <f t="shared" si="105"/>
        <v/>
      </c>
      <c r="AM88" s="381" t="str">
        <f t="shared" si="106"/>
        <v/>
      </c>
      <c r="AN88" s="381" t="str">
        <f t="shared" si="114"/>
        <v/>
      </c>
      <c r="AT88" s="391">
        <f t="shared" si="115"/>
        <v>0</v>
      </c>
      <c r="AU88" s="391">
        <f t="shared" si="116"/>
        <v>0</v>
      </c>
      <c r="AV88" s="391">
        <f t="shared" si="117"/>
        <v>0</v>
      </c>
      <c r="AW88" s="391">
        <f t="shared" si="107"/>
        <v>0</v>
      </c>
      <c r="AX88" s="391">
        <f t="shared" si="108"/>
        <v>0</v>
      </c>
      <c r="AY88" s="391">
        <f t="shared" si="118"/>
        <v>0</v>
      </c>
    </row>
    <row r="89" spans="1:51" ht="16.5" customHeight="1" x14ac:dyDescent="0.15">
      <c r="A89" s="2314"/>
      <c r="B89" s="435" t="s">
        <v>370</v>
      </c>
      <c r="C89" s="1419">
        <f t="shared" si="119"/>
        <v>0</v>
      </c>
      <c r="D89" s="283"/>
      <c r="E89" s="290"/>
      <c r="F89" s="1397">
        <f t="shared" si="109"/>
        <v>0</v>
      </c>
      <c r="G89" s="283"/>
      <c r="H89" s="284"/>
      <c r="I89" s="1419">
        <f t="shared" si="110"/>
        <v>0</v>
      </c>
      <c r="J89" s="283"/>
      <c r="K89" s="284"/>
      <c r="L89" s="1398">
        <f>SUM(M89:N89)</f>
        <v>0</v>
      </c>
      <c r="M89" s="283"/>
      <c r="N89" s="284"/>
      <c r="O89" s="384" t="str">
        <f t="shared" si="112"/>
        <v/>
      </c>
      <c r="AI89" s="381" t="str">
        <f t="shared" si="103"/>
        <v/>
      </c>
      <c r="AJ89" s="381" t="str">
        <f t="shared" si="104"/>
        <v/>
      </c>
      <c r="AK89" s="381" t="str">
        <f t="shared" si="113"/>
        <v/>
      </c>
      <c r="AL89" s="381" t="str">
        <f t="shared" si="105"/>
        <v/>
      </c>
      <c r="AM89" s="381" t="str">
        <f t="shared" si="106"/>
        <v/>
      </c>
      <c r="AN89" s="381" t="str">
        <f t="shared" si="114"/>
        <v/>
      </c>
      <c r="AT89" s="391">
        <f t="shared" si="115"/>
        <v>0</v>
      </c>
      <c r="AU89" s="391">
        <f t="shared" si="116"/>
        <v>0</v>
      </c>
      <c r="AV89" s="391">
        <f t="shared" si="117"/>
        <v>0</v>
      </c>
      <c r="AW89" s="391">
        <f t="shared" si="107"/>
        <v>0</v>
      </c>
      <c r="AX89" s="391">
        <f t="shared" si="108"/>
        <v>0</v>
      </c>
      <c r="AY89" s="391">
        <f t="shared" si="118"/>
        <v>0</v>
      </c>
    </row>
    <row r="90" spans="1:51" ht="16.5" customHeight="1" x14ac:dyDescent="0.15">
      <c r="A90" s="2316" t="s">
        <v>420</v>
      </c>
      <c r="B90" s="432" t="s">
        <v>525</v>
      </c>
      <c r="C90" s="1418">
        <f t="shared" si="119"/>
        <v>0</v>
      </c>
      <c r="D90" s="273"/>
      <c r="E90" s="289"/>
      <c r="F90" s="1404">
        <f t="shared" si="109"/>
        <v>0</v>
      </c>
      <c r="G90" s="273"/>
      <c r="H90" s="274"/>
      <c r="I90" s="1418">
        <f t="shared" si="110"/>
        <v>0</v>
      </c>
      <c r="J90" s="273"/>
      <c r="K90" s="274"/>
      <c r="L90" s="1405">
        <f t="shared" si="111"/>
        <v>0</v>
      </c>
      <c r="M90" s="273"/>
      <c r="N90" s="274"/>
      <c r="O90" s="384" t="str">
        <f t="shared" si="112"/>
        <v/>
      </c>
      <c r="AI90" s="381" t="str">
        <f t="shared" si="103"/>
        <v/>
      </c>
      <c r="AJ90" s="381" t="str">
        <f t="shared" si="104"/>
        <v/>
      </c>
      <c r="AK90" s="381" t="str">
        <f t="shared" si="113"/>
        <v/>
      </c>
      <c r="AL90" s="381" t="str">
        <f t="shared" si="105"/>
        <v/>
      </c>
      <c r="AM90" s="381" t="str">
        <f t="shared" si="106"/>
        <v/>
      </c>
      <c r="AN90" s="381" t="str">
        <f t="shared" si="114"/>
        <v/>
      </c>
      <c r="AT90" s="391">
        <f t="shared" si="115"/>
        <v>0</v>
      </c>
      <c r="AU90" s="391">
        <f t="shared" si="116"/>
        <v>0</v>
      </c>
      <c r="AV90" s="391">
        <f t="shared" si="117"/>
        <v>0</v>
      </c>
      <c r="AW90" s="391">
        <f t="shared" si="107"/>
        <v>0</v>
      </c>
      <c r="AX90" s="391">
        <f t="shared" si="108"/>
        <v>0</v>
      </c>
      <c r="AY90" s="391">
        <f t="shared" si="118"/>
        <v>0</v>
      </c>
    </row>
    <row r="91" spans="1:51" ht="16.5" customHeight="1" x14ac:dyDescent="0.25">
      <c r="A91" s="2317"/>
      <c r="B91" s="435" t="s">
        <v>370</v>
      </c>
      <c r="C91" s="1419">
        <f t="shared" si="119"/>
        <v>0</v>
      </c>
      <c r="D91" s="283"/>
      <c r="E91" s="290"/>
      <c r="F91" s="1397">
        <f t="shared" si="109"/>
        <v>0</v>
      </c>
      <c r="G91" s="283"/>
      <c r="H91" s="284"/>
      <c r="I91" s="1419">
        <f t="shared" si="110"/>
        <v>0</v>
      </c>
      <c r="J91" s="283"/>
      <c r="K91" s="284"/>
      <c r="L91" s="1398">
        <f t="shared" si="111"/>
        <v>0</v>
      </c>
      <c r="M91" s="283"/>
      <c r="N91" s="284"/>
      <c r="O91" s="384" t="str">
        <f t="shared" si="112"/>
        <v/>
      </c>
      <c r="P91" s="1050"/>
      <c r="AI91" s="381" t="str">
        <f t="shared" si="103"/>
        <v/>
      </c>
      <c r="AJ91" s="381" t="str">
        <f t="shared" si="104"/>
        <v/>
      </c>
      <c r="AK91" s="381" t="str">
        <f t="shared" si="113"/>
        <v/>
      </c>
      <c r="AL91" s="381" t="str">
        <f t="shared" si="105"/>
        <v/>
      </c>
      <c r="AM91" s="381" t="str">
        <f t="shared" si="106"/>
        <v/>
      </c>
      <c r="AN91" s="381" t="str">
        <f t="shared" si="114"/>
        <v/>
      </c>
      <c r="AT91" s="391">
        <f t="shared" si="115"/>
        <v>0</v>
      </c>
      <c r="AU91" s="391">
        <f t="shared" si="116"/>
        <v>0</v>
      </c>
      <c r="AV91" s="391">
        <f t="shared" si="117"/>
        <v>0</v>
      </c>
      <c r="AW91" s="391">
        <f t="shared" si="107"/>
        <v>0</v>
      </c>
      <c r="AX91" s="391">
        <f t="shared" si="108"/>
        <v>0</v>
      </c>
      <c r="AY91" s="391">
        <f t="shared" si="118"/>
        <v>0</v>
      </c>
    </row>
    <row r="92" spans="1:51" ht="16.5" customHeight="1" x14ac:dyDescent="0.15">
      <c r="A92" s="2315" t="s">
        <v>421</v>
      </c>
      <c r="B92" s="432" t="s">
        <v>525</v>
      </c>
      <c r="C92" s="1418">
        <f t="shared" si="119"/>
        <v>0</v>
      </c>
      <c r="D92" s="273"/>
      <c r="E92" s="289"/>
      <c r="F92" s="1404">
        <f t="shared" si="109"/>
        <v>0</v>
      </c>
      <c r="G92" s="273"/>
      <c r="H92" s="274"/>
      <c r="I92" s="1418">
        <f t="shared" si="110"/>
        <v>0</v>
      </c>
      <c r="J92" s="273"/>
      <c r="K92" s="274"/>
      <c r="L92" s="1405">
        <f t="shared" si="111"/>
        <v>0</v>
      </c>
      <c r="M92" s="273"/>
      <c r="N92" s="274"/>
      <c r="O92" s="384" t="str">
        <f t="shared" si="112"/>
        <v/>
      </c>
      <c r="AI92" s="381" t="str">
        <f t="shared" si="103"/>
        <v/>
      </c>
      <c r="AJ92" s="381" t="str">
        <f t="shared" si="104"/>
        <v/>
      </c>
      <c r="AK92" s="381" t="str">
        <f t="shared" si="113"/>
        <v/>
      </c>
      <c r="AL92" s="381" t="str">
        <f t="shared" si="105"/>
        <v/>
      </c>
      <c r="AM92" s="381" t="str">
        <f t="shared" si="106"/>
        <v/>
      </c>
      <c r="AN92" s="381" t="str">
        <f t="shared" si="114"/>
        <v/>
      </c>
      <c r="AT92" s="391">
        <f t="shared" si="115"/>
        <v>0</v>
      </c>
      <c r="AU92" s="391">
        <f t="shared" si="116"/>
        <v>0</v>
      </c>
      <c r="AV92" s="391">
        <f t="shared" si="117"/>
        <v>0</v>
      </c>
      <c r="AW92" s="391">
        <f t="shared" si="107"/>
        <v>0</v>
      </c>
      <c r="AX92" s="391">
        <f t="shared" si="108"/>
        <v>0</v>
      </c>
      <c r="AY92" s="391">
        <f t="shared" si="118"/>
        <v>0</v>
      </c>
    </row>
    <row r="93" spans="1:51" ht="16.5" customHeight="1" x14ac:dyDescent="0.15">
      <c r="A93" s="2314"/>
      <c r="B93" s="435" t="s">
        <v>370</v>
      </c>
      <c r="C93" s="1419">
        <f t="shared" si="119"/>
        <v>0</v>
      </c>
      <c r="D93" s="283"/>
      <c r="E93" s="290"/>
      <c r="F93" s="1397">
        <f t="shared" si="109"/>
        <v>0</v>
      </c>
      <c r="G93" s="283"/>
      <c r="H93" s="284"/>
      <c r="I93" s="1419">
        <f t="shared" si="110"/>
        <v>0</v>
      </c>
      <c r="J93" s="283"/>
      <c r="K93" s="284"/>
      <c r="L93" s="1398">
        <f t="shared" si="111"/>
        <v>0</v>
      </c>
      <c r="M93" s="283"/>
      <c r="N93" s="284"/>
      <c r="O93" s="384" t="str">
        <f t="shared" si="112"/>
        <v/>
      </c>
      <c r="AI93" s="381" t="str">
        <f t="shared" si="103"/>
        <v/>
      </c>
      <c r="AJ93" s="381" t="str">
        <f t="shared" si="104"/>
        <v/>
      </c>
      <c r="AK93" s="381" t="str">
        <f t="shared" si="113"/>
        <v/>
      </c>
      <c r="AL93" s="381" t="str">
        <f t="shared" si="105"/>
        <v/>
      </c>
      <c r="AM93" s="381" t="str">
        <f t="shared" si="106"/>
        <v/>
      </c>
      <c r="AN93" s="381" t="str">
        <f t="shared" si="114"/>
        <v/>
      </c>
      <c r="AT93" s="391">
        <f t="shared" si="115"/>
        <v>0</v>
      </c>
      <c r="AU93" s="391">
        <f t="shared" si="116"/>
        <v>0</v>
      </c>
      <c r="AV93" s="391">
        <f t="shared" si="117"/>
        <v>0</v>
      </c>
      <c r="AW93" s="391">
        <f t="shared" si="107"/>
        <v>0</v>
      </c>
      <c r="AX93" s="391">
        <f t="shared" si="108"/>
        <v>0</v>
      </c>
      <c r="AY93" s="391">
        <f t="shared" si="118"/>
        <v>0</v>
      </c>
    </row>
    <row r="94" spans="1:51" ht="16.5" customHeight="1" x14ac:dyDescent="0.15">
      <c r="A94" s="2315" t="s">
        <v>422</v>
      </c>
      <c r="B94" s="432" t="s">
        <v>525</v>
      </c>
      <c r="C94" s="1418">
        <f t="shared" si="119"/>
        <v>0</v>
      </c>
      <c r="D94" s="273"/>
      <c r="E94" s="289"/>
      <c r="F94" s="1404">
        <f t="shared" si="109"/>
        <v>0</v>
      </c>
      <c r="G94" s="273"/>
      <c r="H94" s="274"/>
      <c r="I94" s="1418">
        <f t="shared" si="110"/>
        <v>0</v>
      </c>
      <c r="J94" s="273"/>
      <c r="K94" s="274"/>
      <c r="L94" s="1405">
        <f t="shared" si="111"/>
        <v>0</v>
      </c>
      <c r="M94" s="273"/>
      <c r="N94" s="274"/>
      <c r="O94" s="384" t="str">
        <f t="shared" si="112"/>
        <v/>
      </c>
      <c r="AI94" s="381" t="str">
        <f t="shared" si="103"/>
        <v/>
      </c>
      <c r="AJ94" s="381" t="str">
        <f t="shared" si="104"/>
        <v/>
      </c>
      <c r="AK94" s="381" t="str">
        <f t="shared" si="113"/>
        <v/>
      </c>
      <c r="AL94" s="381" t="str">
        <f t="shared" si="105"/>
        <v/>
      </c>
      <c r="AM94" s="381" t="str">
        <f t="shared" si="106"/>
        <v/>
      </c>
      <c r="AN94" s="381" t="str">
        <f t="shared" si="114"/>
        <v/>
      </c>
      <c r="AT94" s="391">
        <f t="shared" si="115"/>
        <v>0</v>
      </c>
      <c r="AU94" s="391">
        <f t="shared" si="116"/>
        <v>0</v>
      </c>
      <c r="AV94" s="391">
        <f t="shared" si="117"/>
        <v>0</v>
      </c>
      <c r="AW94" s="391">
        <f t="shared" si="107"/>
        <v>0</v>
      </c>
      <c r="AX94" s="391">
        <f t="shared" si="108"/>
        <v>0</v>
      </c>
      <c r="AY94" s="391">
        <f t="shared" si="118"/>
        <v>0</v>
      </c>
    </row>
    <row r="95" spans="1:51" ht="16.5" customHeight="1" x14ac:dyDescent="0.15">
      <c r="A95" s="2314"/>
      <c r="B95" s="435" t="s">
        <v>370</v>
      </c>
      <c r="C95" s="1419">
        <f t="shared" si="119"/>
        <v>0</v>
      </c>
      <c r="D95" s="283"/>
      <c r="E95" s="290"/>
      <c r="F95" s="1397">
        <f t="shared" si="109"/>
        <v>0</v>
      </c>
      <c r="G95" s="283"/>
      <c r="H95" s="284"/>
      <c r="I95" s="1419">
        <f t="shared" si="110"/>
        <v>0</v>
      </c>
      <c r="J95" s="283"/>
      <c r="K95" s="284"/>
      <c r="L95" s="1398">
        <f t="shared" si="111"/>
        <v>0</v>
      </c>
      <c r="M95" s="283"/>
      <c r="N95" s="284"/>
      <c r="O95" s="384" t="str">
        <f t="shared" si="112"/>
        <v/>
      </c>
      <c r="AI95" s="381" t="str">
        <f t="shared" si="103"/>
        <v/>
      </c>
      <c r="AJ95" s="381" t="str">
        <f t="shared" si="104"/>
        <v/>
      </c>
      <c r="AK95" s="381" t="str">
        <f t="shared" si="113"/>
        <v/>
      </c>
      <c r="AL95" s="381" t="str">
        <f t="shared" si="105"/>
        <v/>
      </c>
      <c r="AM95" s="381" t="str">
        <f t="shared" si="106"/>
        <v/>
      </c>
      <c r="AN95" s="381" t="str">
        <f t="shared" si="114"/>
        <v/>
      </c>
      <c r="AT95" s="391">
        <f t="shared" si="115"/>
        <v>0</v>
      </c>
      <c r="AU95" s="391">
        <f t="shared" si="116"/>
        <v>0</v>
      </c>
      <c r="AV95" s="391">
        <f t="shared" si="117"/>
        <v>0</v>
      </c>
      <c r="AW95" s="391">
        <f t="shared" si="107"/>
        <v>0</v>
      </c>
      <c r="AX95" s="391">
        <f t="shared" si="108"/>
        <v>0</v>
      </c>
      <c r="AY95" s="391">
        <f t="shared" si="118"/>
        <v>0</v>
      </c>
    </row>
    <row r="96" spans="1:51" ht="16.5" customHeight="1" x14ac:dyDescent="0.15">
      <c r="A96" s="2315" t="s">
        <v>423</v>
      </c>
      <c r="B96" s="432" t="s">
        <v>525</v>
      </c>
      <c r="C96" s="1418">
        <f t="shared" si="119"/>
        <v>0</v>
      </c>
      <c r="D96" s="273"/>
      <c r="E96" s="289"/>
      <c r="F96" s="1404">
        <f t="shared" si="109"/>
        <v>0</v>
      </c>
      <c r="G96" s="273"/>
      <c r="H96" s="274"/>
      <c r="I96" s="1418">
        <f t="shared" si="110"/>
        <v>0</v>
      </c>
      <c r="J96" s="273"/>
      <c r="K96" s="274"/>
      <c r="L96" s="1405">
        <f t="shared" si="111"/>
        <v>0</v>
      </c>
      <c r="M96" s="273"/>
      <c r="N96" s="274"/>
      <c r="O96" s="384" t="str">
        <f t="shared" si="112"/>
        <v/>
      </c>
      <c r="AI96" s="381" t="str">
        <f t="shared" si="103"/>
        <v/>
      </c>
      <c r="AJ96" s="381" t="str">
        <f t="shared" si="104"/>
        <v/>
      </c>
      <c r="AK96" s="381" t="str">
        <f t="shared" si="113"/>
        <v/>
      </c>
      <c r="AL96" s="381" t="str">
        <f t="shared" si="105"/>
        <v/>
      </c>
      <c r="AM96" s="381" t="str">
        <f t="shared" si="106"/>
        <v/>
      </c>
      <c r="AN96" s="381" t="str">
        <f t="shared" si="114"/>
        <v/>
      </c>
      <c r="AT96" s="391">
        <f t="shared" si="115"/>
        <v>0</v>
      </c>
      <c r="AU96" s="391">
        <f t="shared" si="116"/>
        <v>0</v>
      </c>
      <c r="AV96" s="391">
        <f t="shared" si="117"/>
        <v>0</v>
      </c>
      <c r="AW96" s="391">
        <f t="shared" si="107"/>
        <v>0</v>
      </c>
      <c r="AX96" s="391">
        <f t="shared" si="108"/>
        <v>0</v>
      </c>
      <c r="AY96" s="391">
        <f t="shared" si="118"/>
        <v>0</v>
      </c>
    </row>
    <row r="97" spans="1:51" ht="16.5" customHeight="1" x14ac:dyDescent="0.15">
      <c r="A97" s="2314"/>
      <c r="B97" s="435" t="s">
        <v>370</v>
      </c>
      <c r="C97" s="1419">
        <f t="shared" si="119"/>
        <v>0</v>
      </c>
      <c r="D97" s="283"/>
      <c r="E97" s="290"/>
      <c r="F97" s="1397">
        <f t="shared" si="109"/>
        <v>0</v>
      </c>
      <c r="G97" s="283"/>
      <c r="H97" s="284"/>
      <c r="I97" s="1419">
        <f t="shared" si="110"/>
        <v>0</v>
      </c>
      <c r="J97" s="283"/>
      <c r="K97" s="284"/>
      <c r="L97" s="1398">
        <f t="shared" si="111"/>
        <v>0</v>
      </c>
      <c r="M97" s="283"/>
      <c r="N97" s="284"/>
      <c r="O97" s="384" t="str">
        <f t="shared" si="112"/>
        <v/>
      </c>
      <c r="AI97" s="381" t="str">
        <f t="shared" si="103"/>
        <v/>
      </c>
      <c r="AJ97" s="381" t="str">
        <f t="shared" si="104"/>
        <v/>
      </c>
      <c r="AK97" s="381" t="str">
        <f t="shared" si="113"/>
        <v/>
      </c>
      <c r="AL97" s="381" t="str">
        <f t="shared" si="105"/>
        <v/>
      </c>
      <c r="AM97" s="381" t="str">
        <f t="shared" si="106"/>
        <v/>
      </c>
      <c r="AN97" s="381" t="str">
        <f t="shared" si="114"/>
        <v/>
      </c>
      <c r="AT97" s="391">
        <f t="shared" si="115"/>
        <v>0</v>
      </c>
      <c r="AU97" s="391">
        <f t="shared" si="116"/>
        <v>0</v>
      </c>
      <c r="AV97" s="391">
        <f t="shared" si="117"/>
        <v>0</v>
      </c>
      <c r="AW97" s="391">
        <f t="shared" si="107"/>
        <v>0</v>
      </c>
      <c r="AX97" s="391">
        <f t="shared" si="108"/>
        <v>0</v>
      </c>
      <c r="AY97" s="391">
        <f t="shared" si="118"/>
        <v>0</v>
      </c>
    </row>
    <row r="98" spans="1:51" ht="16.5" customHeight="1" x14ac:dyDescent="0.15">
      <c r="A98" s="2313" t="s">
        <v>424</v>
      </c>
      <c r="B98" s="436" t="s">
        <v>525</v>
      </c>
      <c r="C98" s="1420">
        <f t="shared" si="119"/>
        <v>0</v>
      </c>
      <c r="D98" s="261"/>
      <c r="E98" s="285"/>
      <c r="F98" s="1395">
        <f t="shared" si="109"/>
        <v>0</v>
      </c>
      <c r="G98" s="261"/>
      <c r="H98" s="262"/>
      <c r="I98" s="1420">
        <f t="shared" si="110"/>
        <v>0</v>
      </c>
      <c r="J98" s="261"/>
      <c r="K98" s="262"/>
      <c r="L98" s="1396">
        <f>SUM(M98:N98)</f>
        <v>0</v>
      </c>
      <c r="M98" s="261"/>
      <c r="N98" s="262"/>
      <c r="O98" s="384" t="str">
        <f t="shared" si="112"/>
        <v/>
      </c>
      <c r="AI98" s="381" t="str">
        <f t="shared" si="103"/>
        <v/>
      </c>
      <c r="AJ98" s="381" t="str">
        <f t="shared" si="104"/>
        <v/>
      </c>
      <c r="AK98" s="381" t="str">
        <f t="shared" si="113"/>
        <v/>
      </c>
      <c r="AL98" s="381" t="str">
        <f t="shared" si="105"/>
        <v/>
      </c>
      <c r="AM98" s="381" t="str">
        <f t="shared" si="106"/>
        <v/>
      </c>
      <c r="AN98" s="381" t="str">
        <f t="shared" si="114"/>
        <v/>
      </c>
      <c r="AT98" s="391">
        <f t="shared" si="115"/>
        <v>0</v>
      </c>
      <c r="AU98" s="391">
        <f t="shared" si="116"/>
        <v>0</v>
      </c>
      <c r="AV98" s="391">
        <f t="shared" si="117"/>
        <v>0</v>
      </c>
      <c r="AW98" s="391">
        <f t="shared" si="107"/>
        <v>0</v>
      </c>
      <c r="AX98" s="391">
        <f t="shared" si="108"/>
        <v>0</v>
      </c>
      <c r="AY98" s="391">
        <f t="shared" si="118"/>
        <v>0</v>
      </c>
    </row>
    <row r="99" spans="1:51" ht="16.5" customHeight="1" x14ac:dyDescent="0.15">
      <c r="A99" s="2314"/>
      <c r="B99" s="435" t="s">
        <v>370</v>
      </c>
      <c r="C99" s="1401">
        <f t="shared" si="119"/>
        <v>0</v>
      </c>
      <c r="D99" s="283"/>
      <c r="E99" s="291"/>
      <c r="F99" s="1402">
        <f t="shared" si="109"/>
        <v>0</v>
      </c>
      <c r="G99" s="283"/>
      <c r="H99" s="284"/>
      <c r="I99" s="1401">
        <f t="shared" si="110"/>
        <v>0</v>
      </c>
      <c r="J99" s="283"/>
      <c r="K99" s="284"/>
      <c r="L99" s="1403">
        <f>SUM(M99:N99)</f>
        <v>0</v>
      </c>
      <c r="M99" s="283"/>
      <c r="N99" s="284"/>
      <c r="O99" s="384" t="str">
        <f t="shared" si="112"/>
        <v/>
      </c>
      <c r="P99" s="1421"/>
      <c r="Q99" s="1421"/>
      <c r="R99" s="1421"/>
      <c r="AI99" s="381" t="str">
        <f t="shared" si="103"/>
        <v/>
      </c>
      <c r="AJ99" s="381" t="str">
        <f t="shared" si="104"/>
        <v/>
      </c>
      <c r="AK99" s="381" t="str">
        <f t="shared" si="113"/>
        <v/>
      </c>
      <c r="AL99" s="381" t="str">
        <f t="shared" si="105"/>
        <v/>
      </c>
      <c r="AM99" s="381" t="str">
        <f t="shared" si="106"/>
        <v/>
      </c>
      <c r="AN99" s="381" t="str">
        <f t="shared" si="114"/>
        <v/>
      </c>
      <c r="AT99" s="391">
        <f t="shared" si="115"/>
        <v>0</v>
      </c>
      <c r="AU99" s="391">
        <f t="shared" si="116"/>
        <v>0</v>
      </c>
      <c r="AV99" s="391">
        <f t="shared" si="117"/>
        <v>0</v>
      </c>
      <c r="AW99" s="391">
        <f t="shared" si="107"/>
        <v>0</v>
      </c>
      <c r="AX99" s="391">
        <f t="shared" si="108"/>
        <v>0</v>
      </c>
      <c r="AY99" s="391">
        <f t="shared" si="118"/>
        <v>0</v>
      </c>
    </row>
    <row r="100" spans="1:51" ht="15" customHeight="1" x14ac:dyDescent="0.15">
      <c r="AT100" s="385"/>
      <c r="AU100" s="385"/>
      <c r="AV100" s="385"/>
      <c r="AW100" s="385"/>
      <c r="AX100" s="385"/>
      <c r="AY100" s="385"/>
    </row>
    <row r="101" spans="1:51" ht="15" customHeight="1" x14ac:dyDescent="0.15"/>
    <row r="104" spans="1:51" x14ac:dyDescent="0.15">
      <c r="A104" s="326"/>
      <c r="B104" s="326"/>
    </row>
    <row r="105" spans="1:51" s="387" customFormat="1" ht="11.45" hidden="1" customHeight="1" x14ac:dyDescent="0.15">
      <c r="A105" s="1286">
        <f>SUM(C12:Q40,C46:Q51,C57:Q66,C72:Q81,C86:N99)</f>
        <v>0</v>
      </c>
      <c r="B105" s="381" t="s">
        <v>317</v>
      </c>
    </row>
    <row r="106" spans="1:51" s="387" customFormat="1" ht="11.45" hidden="1" customHeight="1" x14ac:dyDescent="0.15">
      <c r="A106" s="1286">
        <f>SUM(AT11:AY100)</f>
        <v>0</v>
      </c>
      <c r="B106" s="381" t="s">
        <v>318</v>
      </c>
    </row>
    <row r="107" spans="1:51" ht="11.45" customHeight="1" x14ac:dyDescent="0.15"/>
  </sheetData>
  <sheetProtection algorithmName="SHA-512" hashValue="CEH+rVT9uh+WZNkyFl9UjdxEdtK/0uJUD9w/0opQx2sx21RnfphYj5oROiKmEHgn4m8vMDY02p6Qma7gBuV7OQ==" saltValue="P7+6hJQ30s2bPhLcItfVDg==" spinCount="100000" sheet="1" objects="1" scenarios="1"/>
  <mergeCells count="64">
    <mergeCell ref="A12:B12"/>
    <mergeCell ref="A10:B11"/>
    <mergeCell ref="C10:E10"/>
    <mergeCell ref="A21:A27"/>
    <mergeCell ref="A32:A40"/>
    <mergeCell ref="A13:A20"/>
    <mergeCell ref="A28:A31"/>
    <mergeCell ref="A42:B45"/>
    <mergeCell ref="F42:H44"/>
    <mergeCell ref="I83:K84"/>
    <mergeCell ref="C83:E84"/>
    <mergeCell ref="F83:H84"/>
    <mergeCell ref="A53:B56"/>
    <mergeCell ref="A49:B49"/>
    <mergeCell ref="A76:B76"/>
    <mergeCell ref="A77:B77"/>
    <mergeCell ref="A80:B80"/>
    <mergeCell ref="A81:B81"/>
    <mergeCell ref="A72:B72"/>
    <mergeCell ref="A73:B73"/>
    <mergeCell ref="A74:B74"/>
    <mergeCell ref="A75:B75"/>
    <mergeCell ref="A50:B50"/>
    <mergeCell ref="A51:B51"/>
    <mergeCell ref="A46:B46"/>
    <mergeCell ref="A47:B47"/>
    <mergeCell ref="A48:B48"/>
    <mergeCell ref="A96:A97"/>
    <mergeCell ref="A68:B71"/>
    <mergeCell ref="A78:B78"/>
    <mergeCell ref="A79:B79"/>
    <mergeCell ref="A98:A99"/>
    <mergeCell ref="A83:A85"/>
    <mergeCell ref="B83:B85"/>
    <mergeCell ref="A92:A93"/>
    <mergeCell ref="A94:A95"/>
    <mergeCell ref="A90:A91"/>
    <mergeCell ref="A86:A87"/>
    <mergeCell ref="A88:A89"/>
    <mergeCell ref="L68:N70"/>
    <mergeCell ref="L53:N55"/>
    <mergeCell ref="A58:B58"/>
    <mergeCell ref="F53:H55"/>
    <mergeCell ref="I53:K55"/>
    <mergeCell ref="A63:B63"/>
    <mergeCell ref="A66:B66"/>
    <mergeCell ref="A64:B64"/>
    <mergeCell ref="A65:B65"/>
    <mergeCell ref="L83:N84"/>
    <mergeCell ref="C7:Q7"/>
    <mergeCell ref="C42:E44"/>
    <mergeCell ref="C53:E55"/>
    <mergeCell ref="C68:E70"/>
    <mergeCell ref="O68:Q70"/>
    <mergeCell ref="O53:Q55"/>
    <mergeCell ref="O42:Q44"/>
    <mergeCell ref="L42:N44"/>
    <mergeCell ref="O10:Q10"/>
    <mergeCell ref="L10:N10"/>
    <mergeCell ref="I10:K10"/>
    <mergeCell ref="F10:H10"/>
    <mergeCell ref="I42:K44"/>
    <mergeCell ref="F68:H70"/>
    <mergeCell ref="I68:K70"/>
  </mergeCells>
  <dataValidations count="2">
    <dataValidation allowBlank="1" showInputMessage="1" showErrorMessage="1" errorTitle=" Error de ingreso" error="Debe ingresar sólo números enteros positivos." sqref="V11 V14 S48 S51 S59 S62 S75 S78 P88 P91" xr:uid="{E4D3D412-A293-4B28-91FB-47E20A3F68EA}"/>
    <dataValidation type="whole" operator="greaterThanOrEqual" allowBlank="1" showInputMessage="1" showErrorMessage="1" sqref="G12:Q40 G46:Q51 G57:Q66 G72:Q81 D86:N99" xr:uid="{0ACDB982-174C-4034-9AFD-6A96EB104E0F}">
      <formula1>0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CY34"/>
  <sheetViews>
    <sheetView showGridLines="0" zoomScaleNormal="100" workbookViewId="0">
      <selection activeCell="A7" sqref="A7:Q7"/>
    </sheetView>
  </sheetViews>
  <sheetFormatPr baseColWidth="10" defaultColWidth="11.42578125" defaultRowHeight="15" x14ac:dyDescent="0.25"/>
  <cols>
    <col min="1" max="1" width="27.85546875" style="308" customWidth="1"/>
    <col min="2" max="2" width="18.85546875" style="308" customWidth="1"/>
    <col min="3" max="3" width="14.5703125" style="308" customWidth="1"/>
    <col min="4" max="4" width="13.42578125" style="308" customWidth="1"/>
    <col min="5" max="18" width="11.140625" style="308" customWidth="1"/>
    <col min="19" max="32" width="11.140625" style="180" customWidth="1"/>
    <col min="33" max="34" width="9.28515625" style="180" customWidth="1"/>
    <col min="35" max="35" width="11.7109375" style="180" customWidth="1"/>
    <col min="36" max="36" width="11.42578125" style="180" customWidth="1"/>
    <col min="37" max="43" width="10.7109375" style="180" customWidth="1"/>
    <col min="44" max="44" width="9.42578125" style="180" customWidth="1"/>
    <col min="45" max="45" width="11.7109375" style="180" customWidth="1"/>
    <col min="46" max="46" width="11" style="180" customWidth="1"/>
    <col min="47" max="47" width="10.5703125" style="180" customWidth="1"/>
    <col min="48" max="48" width="11.7109375" style="180" customWidth="1"/>
    <col min="49" max="50" width="13.28515625" style="180" customWidth="1"/>
    <col min="51" max="51" width="7.85546875" style="180" customWidth="1"/>
    <col min="52" max="53" width="12.140625" style="180" customWidth="1"/>
    <col min="79" max="101" width="12.140625" style="387" hidden="1" customWidth="1"/>
    <col min="102" max="103" width="11.7109375" style="387" hidden="1" customWidth="1"/>
    <col min="104" max="104" width="0" style="180" hidden="1" customWidth="1"/>
    <col min="105" max="16384" width="11.42578125" style="180"/>
  </cols>
  <sheetData>
    <row r="1" spans="1:101" ht="13.5" customHeight="1" x14ac:dyDescent="0.25">
      <c r="A1" s="125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500"/>
    </row>
    <row r="2" spans="1:101" ht="13.5" customHeight="1" x14ac:dyDescent="0.25">
      <c r="A2" s="125" t="str">
        <f>CONCATENATE("COMUNA: ",NOMBRE!$B$2," - ","( ",NOMBRE!$C$2,NOMBRE!$D$2,NOMBRE!$E$2,NOMBRE!$F$2,NOMBRE!$G$2," )")</f>
        <v>COMUNA:  - (  )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500"/>
    </row>
    <row r="3" spans="1:101" ht="13.5" customHeight="1" x14ac:dyDescent="0.25">
      <c r="A3" s="125" t="str">
        <f>CONCATENATE("ESTABLECIMIENTO/ESTRATEGIA: ",NOMBRE!$B$3," - ","( ",NOMBRE!$C$3,NOMBRE!$D$3,NOMBRE!$E$3,NOMBRE!$F$3,NOMBRE!$G$3,NOMBRE!$H$3," )")</f>
        <v>ESTABLECIMIENTO/ESTRATEGIA:  - (  )</v>
      </c>
      <c r="B3" s="213"/>
      <c r="C3" s="214"/>
      <c r="D3" s="213"/>
      <c r="E3" s="213"/>
      <c r="F3" s="213"/>
      <c r="G3" s="213"/>
      <c r="H3" s="213"/>
      <c r="I3" s="213"/>
      <c r="J3" s="213"/>
      <c r="K3" s="213"/>
      <c r="L3" s="500"/>
    </row>
    <row r="4" spans="1:101" ht="13.5" customHeight="1" x14ac:dyDescent="0.25">
      <c r="A4" s="125" t="str">
        <f>CONCATENATE("MES: ",NOMBRE!$B$6," - ","( ",NOMBRE!$C$6,NOMBRE!$D$6," )")</f>
        <v>MES:  - (  )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500"/>
    </row>
    <row r="5" spans="1:101" ht="13.5" customHeight="1" x14ac:dyDescent="0.25">
      <c r="A5" s="125" t="str">
        <f>CONCATENATE("AÑO: ",NOMBRE!$B$7)</f>
        <v>AÑO: 2023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500"/>
    </row>
    <row r="6" spans="1:101" x14ac:dyDescent="0.25">
      <c r="A6" s="215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500"/>
    </row>
    <row r="7" spans="1:101" ht="18" customHeight="1" x14ac:dyDescent="0.25">
      <c r="A7" s="2363" t="s">
        <v>584</v>
      </c>
      <c r="B7" s="2363"/>
      <c r="C7" s="2363"/>
      <c r="D7" s="2363"/>
      <c r="E7" s="2363"/>
      <c r="F7" s="2363"/>
      <c r="G7" s="2363"/>
      <c r="H7" s="2363"/>
      <c r="I7" s="2363"/>
      <c r="J7" s="2363"/>
      <c r="K7" s="2363"/>
      <c r="L7" s="2363"/>
      <c r="M7" s="2363"/>
      <c r="N7" s="2363"/>
      <c r="O7" s="2363"/>
      <c r="P7" s="2363"/>
      <c r="Q7" s="2363"/>
    </row>
    <row r="8" spans="1:101" ht="44.25" customHeight="1" x14ac:dyDescent="0.25">
      <c r="A8" s="504" t="s">
        <v>585</v>
      </c>
      <c r="B8" s="501"/>
      <c r="C8" s="501"/>
      <c r="D8" s="501"/>
      <c r="E8" s="501"/>
      <c r="F8" s="501"/>
      <c r="G8" s="500"/>
      <c r="H8" s="500"/>
      <c r="I8" s="500"/>
      <c r="J8" s="500"/>
      <c r="K8" s="500"/>
      <c r="L8" s="500"/>
    </row>
    <row r="9" spans="1:101" ht="22.5" customHeight="1" x14ac:dyDescent="0.25">
      <c r="A9" s="2351" t="s">
        <v>151</v>
      </c>
      <c r="B9" s="2351"/>
      <c r="C9" s="2352"/>
      <c r="D9" s="2350" t="s">
        <v>13</v>
      </c>
      <c r="E9" s="2351"/>
      <c r="F9" s="2352"/>
      <c r="G9" s="1975" t="s">
        <v>508</v>
      </c>
      <c r="H9" s="2356"/>
      <c r="I9" s="2356"/>
      <c r="J9" s="2356"/>
      <c r="K9" s="2356"/>
      <c r="L9" s="2356"/>
      <c r="M9" s="2356"/>
      <c r="N9" s="2356"/>
      <c r="O9" s="2356"/>
      <c r="P9" s="2356"/>
      <c r="Q9" s="2356"/>
      <c r="R9" s="2356"/>
      <c r="S9" s="2356"/>
      <c r="T9" s="2356"/>
      <c r="U9" s="2356"/>
      <c r="V9" s="2356"/>
      <c r="W9" s="2356"/>
      <c r="X9" s="2356"/>
      <c r="Y9" s="2356"/>
      <c r="Z9" s="2356"/>
      <c r="AA9" s="2356"/>
      <c r="AB9" s="2356"/>
      <c r="AC9" s="2356"/>
      <c r="AD9" s="2356"/>
      <c r="AE9" s="2356"/>
      <c r="AF9" s="2356"/>
      <c r="AG9" s="2356"/>
      <c r="AH9" s="2356"/>
      <c r="AI9" s="2356"/>
      <c r="AJ9" s="2356"/>
      <c r="AK9" s="2356"/>
      <c r="AL9" s="2356"/>
      <c r="AM9" s="2356"/>
      <c r="AN9" s="2356"/>
      <c r="AO9" s="2356"/>
      <c r="AP9" s="2356"/>
      <c r="AQ9" s="2356"/>
      <c r="AR9" s="2357"/>
      <c r="AS9" s="1840" t="s">
        <v>249</v>
      </c>
      <c r="AT9" s="2371"/>
      <c r="AU9" s="2368" t="s">
        <v>15</v>
      </c>
      <c r="AV9" s="2346" t="s">
        <v>689</v>
      </c>
      <c r="AW9" s="2346" t="s">
        <v>719</v>
      </c>
      <c r="AX9" s="1734" t="s">
        <v>690</v>
      </c>
      <c r="CB9" s="2374" t="s">
        <v>249</v>
      </c>
      <c r="CC9" s="2375"/>
      <c r="CD9" s="2344" t="s">
        <v>15</v>
      </c>
      <c r="CE9" s="2344" t="s">
        <v>465</v>
      </c>
      <c r="CF9" s="2344" t="s">
        <v>570</v>
      </c>
      <c r="CG9" s="2344" t="s">
        <v>886</v>
      </c>
      <c r="CH9" s="2260" t="s">
        <v>249</v>
      </c>
      <c r="CI9" s="2260" t="s">
        <v>15</v>
      </c>
      <c r="CJ9" s="2260" t="s">
        <v>465</v>
      </c>
      <c r="CK9" s="2260" t="s">
        <v>570</v>
      </c>
      <c r="CL9" s="2260" t="s">
        <v>886</v>
      </c>
      <c r="CM9" s="2374" t="s">
        <v>249</v>
      </c>
      <c r="CN9" s="2375"/>
      <c r="CO9" s="2344" t="s">
        <v>15</v>
      </c>
      <c r="CP9" s="2344" t="s">
        <v>465</v>
      </c>
      <c r="CQ9" s="2260" t="s">
        <v>570</v>
      </c>
      <c r="CR9" s="2260" t="s">
        <v>886</v>
      </c>
      <c r="CS9" s="2260" t="s">
        <v>249</v>
      </c>
      <c r="CT9" s="2260" t="s">
        <v>15</v>
      </c>
      <c r="CU9" s="2260" t="s">
        <v>465</v>
      </c>
      <c r="CV9" s="2260" t="s">
        <v>570</v>
      </c>
      <c r="CW9" s="2260" t="s">
        <v>886</v>
      </c>
    </row>
    <row r="10" spans="1:101" ht="23.25" customHeight="1" x14ac:dyDescent="0.25">
      <c r="A10" s="2379"/>
      <c r="B10" s="2379"/>
      <c r="C10" s="2380"/>
      <c r="D10" s="2353"/>
      <c r="E10" s="2354"/>
      <c r="F10" s="2355"/>
      <c r="G10" s="1968" t="s">
        <v>250</v>
      </c>
      <c r="H10" s="1969"/>
      <c r="I10" s="2361" t="s">
        <v>251</v>
      </c>
      <c r="J10" s="2361"/>
      <c r="K10" s="2372" t="s">
        <v>248</v>
      </c>
      <c r="L10" s="2373"/>
      <c r="M10" s="2361" t="s">
        <v>207</v>
      </c>
      <c r="N10" s="2361"/>
      <c r="O10" s="1968" t="s">
        <v>128</v>
      </c>
      <c r="P10" s="1969"/>
      <c r="Q10" s="2361" t="s">
        <v>17</v>
      </c>
      <c r="R10" s="2361"/>
      <c r="S10" s="2358" t="s">
        <v>18</v>
      </c>
      <c r="T10" s="2362"/>
      <c r="U10" s="2359" t="s">
        <v>19</v>
      </c>
      <c r="V10" s="2359"/>
      <c r="W10" s="2358" t="s">
        <v>20</v>
      </c>
      <c r="X10" s="2362"/>
      <c r="Y10" s="2359" t="s">
        <v>21</v>
      </c>
      <c r="Z10" s="2359"/>
      <c r="AA10" s="2358" t="s">
        <v>22</v>
      </c>
      <c r="AB10" s="2362"/>
      <c r="AC10" s="2359" t="s">
        <v>23</v>
      </c>
      <c r="AD10" s="2359"/>
      <c r="AE10" s="2358" t="s">
        <v>24</v>
      </c>
      <c r="AF10" s="2362"/>
      <c r="AG10" s="2358" t="s">
        <v>208</v>
      </c>
      <c r="AH10" s="2362"/>
      <c r="AI10" s="2359" t="s">
        <v>209</v>
      </c>
      <c r="AJ10" s="2359"/>
      <c r="AK10" s="2358" t="s">
        <v>181</v>
      </c>
      <c r="AL10" s="2362"/>
      <c r="AM10" s="2361" t="s">
        <v>182</v>
      </c>
      <c r="AN10" s="2361"/>
      <c r="AO10" s="1968" t="s">
        <v>183</v>
      </c>
      <c r="AP10" s="1969"/>
      <c r="AQ10" s="2361" t="s">
        <v>195</v>
      </c>
      <c r="AR10" s="2360"/>
      <c r="AS10" s="1795"/>
      <c r="AT10" s="1798"/>
      <c r="AU10" s="2369"/>
      <c r="AV10" s="2347"/>
      <c r="AW10" s="2347"/>
      <c r="AX10" s="2348"/>
      <c r="CB10" s="2376"/>
      <c r="CC10" s="2377"/>
      <c r="CD10" s="2345"/>
      <c r="CE10" s="2345"/>
      <c r="CF10" s="2345"/>
      <c r="CG10" s="2345"/>
      <c r="CH10" s="2261"/>
      <c r="CI10" s="2261"/>
      <c r="CJ10" s="2261"/>
      <c r="CK10" s="2261"/>
      <c r="CL10" s="2261"/>
      <c r="CM10" s="2376"/>
      <c r="CN10" s="2377"/>
      <c r="CO10" s="2345"/>
      <c r="CP10" s="2345"/>
      <c r="CQ10" s="2345"/>
      <c r="CR10" s="2345"/>
      <c r="CS10" s="2261"/>
      <c r="CT10" s="2261"/>
      <c r="CU10" s="2261"/>
      <c r="CV10" s="2261"/>
      <c r="CW10" s="2261"/>
    </row>
    <row r="11" spans="1:101" ht="32.25" customHeight="1" x14ac:dyDescent="0.25">
      <c r="A11" s="2354"/>
      <c r="B11" s="2354"/>
      <c r="C11" s="2355"/>
      <c r="D11" s="1032" t="s">
        <v>93</v>
      </c>
      <c r="E11" s="216" t="s">
        <v>31</v>
      </c>
      <c r="F11" s="217" t="s">
        <v>94</v>
      </c>
      <c r="G11" s="61" t="s">
        <v>129</v>
      </c>
      <c r="H11" s="218" t="s">
        <v>94</v>
      </c>
      <c r="I11" s="86" t="s">
        <v>129</v>
      </c>
      <c r="J11" s="219" t="s">
        <v>94</v>
      </c>
      <c r="K11" s="61" t="s">
        <v>129</v>
      </c>
      <c r="L11" s="218" t="s">
        <v>94</v>
      </c>
      <c r="M11" s="86" t="s">
        <v>129</v>
      </c>
      <c r="N11" s="219" t="s">
        <v>94</v>
      </c>
      <c r="O11" s="61" t="s">
        <v>129</v>
      </c>
      <c r="P11" s="218" t="s">
        <v>94</v>
      </c>
      <c r="Q11" s="86" t="s">
        <v>129</v>
      </c>
      <c r="R11" s="219" t="s">
        <v>94</v>
      </c>
      <c r="S11" s="61" t="s">
        <v>129</v>
      </c>
      <c r="T11" s="218" t="s">
        <v>94</v>
      </c>
      <c r="U11" s="86" t="s">
        <v>129</v>
      </c>
      <c r="V11" s="219" t="s">
        <v>94</v>
      </c>
      <c r="W11" s="61" t="s">
        <v>129</v>
      </c>
      <c r="X11" s="218" t="s">
        <v>94</v>
      </c>
      <c r="Y11" s="86" t="s">
        <v>129</v>
      </c>
      <c r="Z11" s="219" t="s">
        <v>94</v>
      </c>
      <c r="AA11" s="61" t="s">
        <v>129</v>
      </c>
      <c r="AB11" s="218" t="s">
        <v>94</v>
      </c>
      <c r="AC11" s="86" t="s">
        <v>129</v>
      </c>
      <c r="AD11" s="219" t="s">
        <v>94</v>
      </c>
      <c r="AE11" s="61" t="s">
        <v>129</v>
      </c>
      <c r="AF11" s="218" t="s">
        <v>94</v>
      </c>
      <c r="AG11" s="61" t="s">
        <v>129</v>
      </c>
      <c r="AH11" s="218" t="s">
        <v>94</v>
      </c>
      <c r="AI11" s="86" t="s">
        <v>129</v>
      </c>
      <c r="AJ11" s="219" t="s">
        <v>94</v>
      </c>
      <c r="AK11" s="61" t="s">
        <v>129</v>
      </c>
      <c r="AL11" s="218" t="s">
        <v>94</v>
      </c>
      <c r="AM11" s="86" t="s">
        <v>129</v>
      </c>
      <c r="AN11" s="219" t="s">
        <v>94</v>
      </c>
      <c r="AO11" s="61" t="s">
        <v>129</v>
      </c>
      <c r="AP11" s="218" t="s">
        <v>94</v>
      </c>
      <c r="AQ11" s="86" t="s">
        <v>129</v>
      </c>
      <c r="AR11" s="220" t="s">
        <v>94</v>
      </c>
      <c r="AS11" s="324" t="s">
        <v>463</v>
      </c>
      <c r="AT11" s="219" t="s">
        <v>464</v>
      </c>
      <c r="AU11" s="2370"/>
      <c r="AV11" s="1898"/>
      <c r="AW11" s="1898"/>
      <c r="AX11" s="1735"/>
      <c r="CB11" s="973" t="s">
        <v>463</v>
      </c>
      <c r="CC11" s="973" t="s">
        <v>545</v>
      </c>
      <c r="CD11" s="2261"/>
      <c r="CE11" s="2261"/>
      <c r="CF11" s="2261"/>
      <c r="CG11" s="2261"/>
      <c r="CH11" s="973" t="s">
        <v>543</v>
      </c>
      <c r="CI11" s="973" t="s">
        <v>543</v>
      </c>
      <c r="CJ11" s="973" t="s">
        <v>543</v>
      </c>
      <c r="CK11" s="973" t="s">
        <v>543</v>
      </c>
      <c r="CL11" s="973" t="s">
        <v>543</v>
      </c>
      <c r="CM11" s="973" t="s">
        <v>463</v>
      </c>
      <c r="CN11" s="973" t="s">
        <v>545</v>
      </c>
      <c r="CO11" s="2261"/>
      <c r="CP11" s="2261"/>
      <c r="CQ11" s="2261"/>
      <c r="CR11" s="2261"/>
      <c r="CS11" s="973" t="s">
        <v>543</v>
      </c>
      <c r="CT11" s="973" t="s">
        <v>543</v>
      </c>
      <c r="CU11" s="973" t="s">
        <v>543</v>
      </c>
      <c r="CV11" s="973" t="s">
        <v>543</v>
      </c>
      <c r="CW11" s="973" t="s">
        <v>543</v>
      </c>
    </row>
    <row r="12" spans="1:101" ht="36.75" customHeight="1" x14ac:dyDescent="0.25">
      <c r="A12" s="1797" t="s">
        <v>562</v>
      </c>
      <c r="B12" s="2378" t="s">
        <v>563</v>
      </c>
      <c r="C12" s="1033" t="s">
        <v>564</v>
      </c>
      <c r="D12" s="1034">
        <f>SUM(F12)</f>
        <v>0</v>
      </c>
      <c r="E12" s="1518"/>
      <c r="F12" s="1035">
        <f>+P12+R12+T12+V12+X12+Z12+AB12+AD12+AF12+AH12</f>
        <v>0</v>
      </c>
      <c r="G12" s="1085"/>
      <c r="H12" s="1086"/>
      <c r="I12" s="1085"/>
      <c r="J12" s="1086"/>
      <c r="K12" s="1085"/>
      <c r="L12" s="1086"/>
      <c r="M12" s="1085"/>
      <c r="N12" s="1086"/>
      <c r="O12" s="1085"/>
      <c r="P12" s="274"/>
      <c r="Q12" s="1085"/>
      <c r="R12" s="274"/>
      <c r="S12" s="1085"/>
      <c r="T12" s="274"/>
      <c r="U12" s="1085"/>
      <c r="V12" s="274"/>
      <c r="W12" s="1085"/>
      <c r="X12" s="274"/>
      <c r="Y12" s="1085"/>
      <c r="Z12" s="274"/>
      <c r="AA12" s="1085"/>
      <c r="AB12" s="274"/>
      <c r="AC12" s="1085"/>
      <c r="AD12" s="274"/>
      <c r="AE12" s="1085"/>
      <c r="AF12" s="274"/>
      <c r="AG12" s="1085"/>
      <c r="AH12" s="274"/>
      <c r="AI12" s="1085"/>
      <c r="AJ12" s="1086"/>
      <c r="AK12" s="1085"/>
      <c r="AL12" s="1086"/>
      <c r="AM12" s="1085"/>
      <c r="AN12" s="1086"/>
      <c r="AO12" s="1085"/>
      <c r="AP12" s="1086"/>
      <c r="AQ12" s="1085"/>
      <c r="AR12" s="1089"/>
      <c r="AS12" s="1111"/>
      <c r="AT12" s="289"/>
      <c r="AU12" s="1111"/>
      <c r="AV12" s="1112"/>
      <c r="AW12" s="1014"/>
      <c r="AX12" s="1014"/>
      <c r="AY12" s="376" t="str">
        <f>CA12&amp;CB12&amp;CC12&amp;CD12&amp;CE12&amp;CF12&amp;CG12&amp;CH12&amp;CI12&amp;CJ12&amp;CK12&amp;CL12</f>
        <v/>
      </c>
      <c r="CB12" s="502" t="str">
        <f>IF(($AS12+$AT12)&lt;=$F12,"","* La suma de las celdas 'Trans' no debe ser mayor al Total de personas bajo control. ")</f>
        <v/>
      </c>
      <c r="CC12" s="502"/>
      <c r="CD12" s="502" t="str">
        <f>IF($AU12&lt;=$F12,"","* La celda de 'Pueblos Originarios' no debe ser mayor al Total de personas bajo control. ")</f>
        <v/>
      </c>
      <c r="CE12" s="502" t="str">
        <f>IF($AV12&lt;=$F12,"","* La celda de 'Población Migrantes' no debe ser mayor al Total de personas bajo control. ")</f>
        <v/>
      </c>
      <c r="CF12" s="502" t="str">
        <f>IF($AW12&lt;=$F12,"","* La celda de 'Población SENAME' no debe ser mayor al Total de personas bajo control. ")</f>
        <v/>
      </c>
      <c r="CG12" s="502" t="str">
        <f>IF($AX12&lt;=$F12,"","* La celda de 'Población Mejor Niñez' no debe ser mayor al Total de personas bajo control. ")</f>
        <v/>
      </c>
      <c r="CH12" s="381" t="str">
        <f>IF(AND($F12&lt;&gt;0,$AT12=""),"* No olvide escribir en la celda de Trans (Digite CERO si no tiene). ",IF(AND(D12&lt;&gt;0,AS12=""),"* No olvide escribir en la celda Trans (Digite CERO si no tiene). ",""))</f>
        <v/>
      </c>
      <c r="CI12" s="381" t="str">
        <f>IF(AND($F12&lt;&gt;0,$AU12=""),"* No olvide escribir en la celda de Pueblos Originarios (Digite CERO si no tiene). ","")</f>
        <v/>
      </c>
      <c r="CJ12" s="381" t="str">
        <f>IF(AND($F12&lt;&gt;0,$AV12=""),"* No olvide escribir en la celda de Población Migrantes (Digite CERO si no tiene). ","")</f>
        <v/>
      </c>
      <c r="CK12" s="381" t="str">
        <f>IF(AND($F12&lt;&gt;0,$AW12=""),"* No olvide escribir en la celda de Población SENAME (Digite CERO si no tiene). ","")</f>
        <v/>
      </c>
      <c r="CL12" s="381" t="str">
        <f>IF(AND($F12&lt;&gt;0,$AX12=""),"* No olvide escribir en la celda de Población Mejor Niñez (Digite CERO si no tiene). ","")</f>
        <v/>
      </c>
      <c r="CM12" s="503">
        <f>IF(($AS12+$AT12)&lt;=$F12,0,1)</f>
        <v>0</v>
      </c>
      <c r="CN12" s="503"/>
      <c r="CO12" s="503">
        <f>IF($AU12&lt;=$F12,0,1)</f>
        <v>0</v>
      </c>
      <c r="CP12" s="503">
        <f>IF($AV12&lt;=$F12,0,1)</f>
        <v>0</v>
      </c>
      <c r="CQ12" s="503">
        <f>IF($AW12&lt;=$F12,0,1)</f>
        <v>0</v>
      </c>
      <c r="CR12" s="503">
        <f>IF($AX12&lt;=$F12,0,1)</f>
        <v>0</v>
      </c>
      <c r="CS12" s="449">
        <f>IF(AND($F12&lt;&gt;0,$AT12=""),1,0)</f>
        <v>0</v>
      </c>
      <c r="CT12" s="449">
        <f>IF(AND($F12&lt;&gt;0,$AU12=""),1,0)</f>
        <v>0</v>
      </c>
      <c r="CU12" s="449">
        <f>IF(AND($F12&lt;&gt;0,$AV12=""),1,0)</f>
        <v>0</v>
      </c>
      <c r="CV12" s="449">
        <f>IF(AND($F12&lt;&gt;0,$AW12=""),1,0)</f>
        <v>0</v>
      </c>
      <c r="CW12" s="449">
        <f>IF(AND($F12&lt;&gt;0,$AX12=""),1,0)</f>
        <v>0</v>
      </c>
    </row>
    <row r="13" spans="1:101" ht="25.5" customHeight="1" x14ac:dyDescent="0.25">
      <c r="A13" s="2113"/>
      <c r="B13" s="2365"/>
      <c r="C13" s="1036" t="s">
        <v>565</v>
      </c>
      <c r="D13" s="1037">
        <f>SUM(F13)</f>
        <v>0</v>
      </c>
      <c r="E13" s="1519"/>
      <c r="F13" s="1038">
        <f>+P13+R13+T13+V13+X13+Z13+AB13+AD13+AF13+AH13</f>
        <v>0</v>
      </c>
      <c r="G13" s="1087"/>
      <c r="H13" s="1088"/>
      <c r="I13" s="1087"/>
      <c r="J13" s="1088"/>
      <c r="K13" s="1087"/>
      <c r="L13" s="1088"/>
      <c r="M13" s="1087"/>
      <c r="N13" s="1088"/>
      <c r="O13" s="1087"/>
      <c r="P13" s="284"/>
      <c r="Q13" s="1087"/>
      <c r="R13" s="284"/>
      <c r="S13" s="1087"/>
      <c r="T13" s="284"/>
      <c r="U13" s="1087"/>
      <c r="V13" s="284"/>
      <c r="W13" s="1087"/>
      <c r="X13" s="284"/>
      <c r="Y13" s="1087"/>
      <c r="Z13" s="284"/>
      <c r="AA13" s="1087"/>
      <c r="AB13" s="284"/>
      <c r="AC13" s="1087"/>
      <c r="AD13" s="284"/>
      <c r="AE13" s="1087"/>
      <c r="AF13" s="284"/>
      <c r="AG13" s="1087"/>
      <c r="AH13" s="284"/>
      <c r="AI13" s="1087"/>
      <c r="AJ13" s="1088"/>
      <c r="AK13" s="1087"/>
      <c r="AL13" s="1088"/>
      <c r="AM13" s="1087"/>
      <c r="AN13" s="1088"/>
      <c r="AO13" s="1087"/>
      <c r="AP13" s="1088"/>
      <c r="AQ13" s="1087"/>
      <c r="AR13" s="1090"/>
      <c r="AS13" s="1113"/>
      <c r="AT13" s="290"/>
      <c r="AU13" s="1113"/>
      <c r="AV13" s="1114"/>
      <c r="AW13" s="1013"/>
      <c r="AX13" s="1013"/>
      <c r="AY13" s="376" t="str">
        <f t="shared" ref="AY13:AY17" si="0">CA13&amp;CB13&amp;CC13&amp;CD13&amp;CE13&amp;CF13&amp;CG13&amp;CH13&amp;CI13&amp;CJ13&amp;CK13&amp;CL13</f>
        <v/>
      </c>
      <c r="CB13" s="502" t="str">
        <f>IF(($AS13+$AT13)&lt;=$F13,"","* La suma de las celdas 'Trans' no debe ser mayor al Total de personas bajo control. ")</f>
        <v/>
      </c>
      <c r="CC13" s="502"/>
      <c r="CD13" s="502" t="str">
        <f>IF($AU13&lt;=$F13,"","* La celda de 'Pueblos Originarios' no debe ser mayor al Total de personas bajo control. ")</f>
        <v/>
      </c>
      <c r="CE13" s="502" t="str">
        <f>IF($AV13&lt;=$F13,"","* La celda de 'Población Migrantes' no debe ser mayor al Total de personas bajo control. ")</f>
        <v/>
      </c>
      <c r="CF13" s="502" t="str">
        <f>IF($AW13&lt;=$F13,"","* La celda de 'Población SENAME' no debe ser mayor al Total de personas bajo control. ")</f>
        <v/>
      </c>
      <c r="CG13" s="502" t="str">
        <f t="shared" ref="CG13:CG17" si="1">IF($AX13&lt;=$F13,"","* La celda de 'Población Mejor Niñez' no debe ser mayor al Total de personas bajo control. ")</f>
        <v/>
      </c>
      <c r="CH13" s="381" t="str">
        <f>IF(AND($F13&lt;&gt;0,$AT13=""),"* No olvide escribir en la celda de Trans (Digite CERO si no tiene). ",IF(AND(D13&lt;&gt;0,AS13=""),"* No olvide escribir en la celda Trans (Digite CERO si no tiene). ",""))</f>
        <v/>
      </c>
      <c r="CI13" s="381" t="str">
        <f>IF(AND($F13&lt;&gt;0,$AU13=""),"* No olvide escribir en la celda de Pueblos Originarios (Digite CERO si no tiene). ","")</f>
        <v/>
      </c>
      <c r="CJ13" s="381" t="str">
        <f>IF(AND($F13&lt;&gt;0,$AV13=""),"* No olvide escribir en la celda de Población Migrantes (Digite CERO si no tiene). ","")</f>
        <v/>
      </c>
      <c r="CK13" s="381" t="str">
        <f>IF(AND($F13&lt;&gt;0,$AW13=""),"* No olvide escribir en la celda de Población SENAME (Digite CERO si no tiene). ","")</f>
        <v/>
      </c>
      <c r="CL13" s="381" t="str">
        <f t="shared" ref="CL13:CL17" si="2">IF(AND($F13&lt;&gt;0,$AX13=""),"* No olvide escribir en la celda de Población Mejor Niñez (Digite CERO si no tiene). ","")</f>
        <v/>
      </c>
      <c r="CM13" s="503">
        <f>IF(($AS13+$AT13)&lt;=$F13,0,1)</f>
        <v>0</v>
      </c>
      <c r="CN13" s="503"/>
      <c r="CO13" s="503">
        <f>IF($AU13&lt;=$F13,0,1)</f>
        <v>0</v>
      </c>
      <c r="CP13" s="503">
        <f>IF($AV13&lt;=$F13,0,1)</f>
        <v>0</v>
      </c>
      <c r="CQ13" s="503">
        <f>IF($AW13&lt;=$F13,0,1)</f>
        <v>0</v>
      </c>
      <c r="CR13" s="503">
        <f t="shared" ref="CR13:CR17" si="3">IF($AX13&lt;=$F13,0,1)</f>
        <v>0</v>
      </c>
      <c r="CS13" s="449">
        <f>IF(AND($F13&lt;&gt;0,$AT13=""),1,0)</f>
        <v>0</v>
      </c>
      <c r="CT13" s="449">
        <f>IF(AND($F13&lt;&gt;0,$AU13=""),1,0)</f>
        <v>0</v>
      </c>
      <c r="CU13" s="449">
        <f>IF(AND($F13&lt;&gt;0,$AV13=""),1,0)</f>
        <v>0</v>
      </c>
      <c r="CV13" s="449">
        <f>IF(AND($F13&lt;&gt;0,$AW13=""),1,0)</f>
        <v>0</v>
      </c>
      <c r="CW13" s="449">
        <f t="shared" ref="CW13:CW17" si="4">IF(AND($F13&lt;&gt;0,$AX13=""),1,0)</f>
        <v>0</v>
      </c>
    </row>
    <row r="14" spans="1:101" ht="20.25" customHeight="1" x14ac:dyDescent="0.25">
      <c r="A14" s="2113"/>
      <c r="B14" s="2364" t="s">
        <v>566</v>
      </c>
      <c r="C14" s="1039" t="s">
        <v>567</v>
      </c>
      <c r="D14" s="1034">
        <f>SUM(E14:F14)</f>
        <v>0</v>
      </c>
      <c r="E14" s="1040">
        <f>+G14+I14+K14+M14+O14+Q14+S14+U14+W14+Y14+AA14+AC14+AE14+AG14+AI14+AK14+AM14+AO14+AQ14</f>
        <v>0</v>
      </c>
      <c r="F14" s="1041">
        <f>+H14+J14+L14+N14+P14+R14+T14+V14+X14+Z14+AB14+AD14+AF14+AH14+AJ14+AL14+AN14+AP14+AR14</f>
        <v>0</v>
      </c>
      <c r="G14" s="261"/>
      <c r="H14" s="262"/>
      <c r="I14" s="261"/>
      <c r="J14" s="262"/>
      <c r="K14" s="261"/>
      <c r="L14" s="262"/>
      <c r="M14" s="261"/>
      <c r="N14" s="262"/>
      <c r="O14" s="261"/>
      <c r="P14" s="262"/>
      <c r="Q14" s="261"/>
      <c r="R14" s="262"/>
      <c r="S14" s="261"/>
      <c r="T14" s="262"/>
      <c r="U14" s="261"/>
      <c r="V14" s="262"/>
      <c r="W14" s="261"/>
      <c r="X14" s="262"/>
      <c r="Y14" s="261"/>
      <c r="Z14" s="262"/>
      <c r="AA14" s="261"/>
      <c r="AB14" s="262"/>
      <c r="AC14" s="261"/>
      <c r="AD14" s="262"/>
      <c r="AE14" s="261"/>
      <c r="AF14" s="262"/>
      <c r="AG14" s="261"/>
      <c r="AH14" s="262"/>
      <c r="AI14" s="261"/>
      <c r="AJ14" s="262"/>
      <c r="AK14" s="261"/>
      <c r="AL14" s="262"/>
      <c r="AM14" s="261"/>
      <c r="AN14" s="262"/>
      <c r="AO14" s="261"/>
      <c r="AP14" s="262"/>
      <c r="AQ14" s="261"/>
      <c r="AR14" s="268"/>
      <c r="AS14" s="1115"/>
      <c r="AT14" s="285"/>
      <c r="AU14" s="1115"/>
      <c r="AV14" s="1116"/>
      <c r="AW14" s="1011"/>
      <c r="AX14" s="1011"/>
      <c r="AY14" s="376" t="str">
        <f t="shared" si="0"/>
        <v/>
      </c>
      <c r="CB14" s="502" t="str">
        <f>IF(($AS14+$AT14)&lt;=$D14,"","* La suma de las celdas 'Trans' no debe ser mayor al Total de personas bajo control. ")</f>
        <v/>
      </c>
      <c r="CC14" s="502"/>
      <c r="CD14" s="502" t="str">
        <f>IF($AU14&lt;=$D14,"","* La celda de 'Pueblos Originarios' no debe ser mayor al Total de personas bajo control. ")</f>
        <v/>
      </c>
      <c r="CE14" s="502" t="str">
        <f>IF($AV14&lt;=$D14,"","* La celda de 'Población Migrantes' no debe ser mayor al Total de personas bajo control. ")</f>
        <v/>
      </c>
      <c r="CF14" s="502" t="str">
        <f>IF($AW14&lt;=$D14,"","* La celda de 'Población SENAME' no debe ser mayor al Total de personas bajo control. ")</f>
        <v/>
      </c>
      <c r="CG14" s="502" t="str">
        <f t="shared" si="1"/>
        <v/>
      </c>
      <c r="CH14" s="381" t="str">
        <f>IF(AND($D14&lt;&gt;0,$AT14=""),"* No olvide escribir en la celda de Trans (Digite CERO si no tiene). ",IF(AND(D14&lt;&gt;0,AS14=""),"* No olvide escribir en la celda Trans (Digite CERO si no tiene). ",""))</f>
        <v/>
      </c>
      <c r="CI14" s="381" t="str">
        <f>IF(AND($D14&lt;&gt;0,$AU14=""),"* No olvide escribir en la celda de Pueblos Originarios (Digite CERO si no tiene). ","")</f>
        <v/>
      </c>
      <c r="CJ14" s="381" t="str">
        <f>IF(AND($D14&lt;&gt;0,$AV14=""),"* No olvide escribir en la celda de Población Migrantes (Digite CERO si no tiene). ","")</f>
        <v/>
      </c>
      <c r="CK14" s="381" t="str">
        <f>IF(AND($D14&lt;&gt;0,$AW14=""),"* No olvide escribir en la celda de Población SENAME (Digite CERO si no tiene). ","")</f>
        <v/>
      </c>
      <c r="CL14" s="381" t="str">
        <f t="shared" si="2"/>
        <v/>
      </c>
      <c r="CM14" s="503">
        <f>IF(($AS14+$AT14)&lt;=$D14,0,1)</f>
        <v>0</v>
      </c>
      <c r="CN14" s="503"/>
      <c r="CO14" s="503">
        <f>IF($AU14&lt;=$D14,0,1)</f>
        <v>0</v>
      </c>
      <c r="CP14" s="503">
        <f>IF($AV14&lt;=$D14,0,1)</f>
        <v>0</v>
      </c>
      <c r="CQ14" s="503">
        <f>IF($AW14&lt;=$D14,0,1)</f>
        <v>0</v>
      </c>
      <c r="CR14" s="503">
        <f t="shared" si="3"/>
        <v>0</v>
      </c>
      <c r="CS14" s="449">
        <f>IF(AND($D14&lt;&gt;0,$AT14=""),1,0)</f>
        <v>0</v>
      </c>
      <c r="CT14" s="449">
        <f>IF(AND($D14&lt;&gt;0,$AU14=""),1,0)</f>
        <v>0</v>
      </c>
      <c r="CU14" s="449">
        <f>IF(AND($D14&lt;&gt;0,$AV14=""),1,0)</f>
        <v>0</v>
      </c>
      <c r="CV14" s="449">
        <f>IF(AND($D14&lt;&gt;0,$AW14=""),1,0)</f>
        <v>0</v>
      </c>
      <c r="CW14" s="449">
        <f t="shared" si="4"/>
        <v>0</v>
      </c>
    </row>
    <row r="15" spans="1:101" ht="20.25" customHeight="1" x14ac:dyDescent="0.25">
      <c r="A15" s="1799"/>
      <c r="B15" s="2365"/>
      <c r="C15" s="1036" t="s">
        <v>568</v>
      </c>
      <c r="D15" s="1042">
        <f>SUM(E15:F15)</f>
        <v>0</v>
      </c>
      <c r="E15" s="1043">
        <f>+G15+I15+K15+M15+O15+Q15+S15+U15+W15+Y15+AA15+AC15+AE15+AG15+AI15+AK15+AM15+AO15+AQ15</f>
        <v>0</v>
      </c>
      <c r="F15" s="1038">
        <f>+H15+J15+L15+N15+P15+R15+T15+V15+X15+Z15+AB15+AD15+AF15+AH15+AJ15+AL15+AN15+AP15+AR15</f>
        <v>0</v>
      </c>
      <c r="G15" s="283"/>
      <c r="H15" s="284"/>
      <c r="I15" s="283"/>
      <c r="J15" s="284"/>
      <c r="K15" s="283"/>
      <c r="L15" s="284"/>
      <c r="M15" s="283"/>
      <c r="N15" s="284"/>
      <c r="O15" s="283"/>
      <c r="P15" s="284"/>
      <c r="Q15" s="283"/>
      <c r="R15" s="284"/>
      <c r="S15" s="283"/>
      <c r="T15" s="284"/>
      <c r="U15" s="283"/>
      <c r="V15" s="284"/>
      <c r="W15" s="283"/>
      <c r="X15" s="284"/>
      <c r="Y15" s="283"/>
      <c r="Z15" s="284"/>
      <c r="AA15" s="283"/>
      <c r="AB15" s="284"/>
      <c r="AC15" s="283"/>
      <c r="AD15" s="284"/>
      <c r="AE15" s="283"/>
      <c r="AF15" s="284"/>
      <c r="AG15" s="283"/>
      <c r="AH15" s="284"/>
      <c r="AI15" s="283"/>
      <c r="AJ15" s="284"/>
      <c r="AK15" s="283"/>
      <c r="AL15" s="284"/>
      <c r="AM15" s="283"/>
      <c r="AN15" s="284"/>
      <c r="AO15" s="283"/>
      <c r="AP15" s="284"/>
      <c r="AQ15" s="283"/>
      <c r="AR15" s="304"/>
      <c r="AS15" s="1113"/>
      <c r="AT15" s="290"/>
      <c r="AU15" s="1113"/>
      <c r="AV15" s="1114"/>
      <c r="AW15" s="1013"/>
      <c r="AX15" s="1013"/>
      <c r="AY15" s="376" t="str">
        <f t="shared" si="0"/>
        <v/>
      </c>
      <c r="CB15" s="502" t="str">
        <f>IF(($AS15+$AT15)&lt;=$D15,"","* La suma de las celdas 'Trans' no debe ser mayor al Total de personas bajo control. ")</f>
        <v/>
      </c>
      <c r="CC15" s="502"/>
      <c r="CD15" s="502" t="str">
        <f>IF($AU15&lt;=$D15,"","* La celda de 'Pueblos Originarios' no debe ser mayor al Total de personas bajo control. ")</f>
        <v/>
      </c>
      <c r="CE15" s="502" t="str">
        <f>IF($AV15&lt;=$D15,"","* La celda de 'Población Migrantes' no debe ser mayor al Total de personas bajo control. ")</f>
        <v/>
      </c>
      <c r="CF15" s="502" t="str">
        <f>IF($AW15&lt;=$D15,"","* La celda de 'Población SENAME' no debe ser mayor al Total de personas bajo control. ")</f>
        <v/>
      </c>
      <c r="CG15" s="502" t="str">
        <f t="shared" si="1"/>
        <v/>
      </c>
      <c r="CH15" s="381" t="str">
        <f>IF(AND($D15&lt;&gt;0,$AT15=""),"* No olvide escribir en la celda de Trans (Digite CERO si no tiene). ",IF(AND(D15&lt;&gt;0,AS15=""),"* No olvide escribir en la celda Trans (Digite CERO si no tiene). ",""))</f>
        <v/>
      </c>
      <c r="CI15" s="381" t="str">
        <f>IF(AND($D15&lt;&gt;0,$AU15=""),"* No olvide escribir en la celda de Pueblos Originarios (Digite CERO si no tiene). ","")</f>
        <v/>
      </c>
      <c r="CJ15" s="381" t="str">
        <f>IF(AND($D15&lt;&gt;0,$AV15=""),"* No olvide escribir en la celda de Población Migrantes (Digite CERO si no tiene). ","")</f>
        <v/>
      </c>
      <c r="CK15" s="381" t="str">
        <f>IF(AND($D15&lt;&gt;0,$AW15=""),"* No olvide escribir en la celda de Población SENAME (Digite CERO si no tiene). ","")</f>
        <v/>
      </c>
      <c r="CL15" s="381" t="str">
        <f t="shared" si="2"/>
        <v/>
      </c>
      <c r="CM15" s="503">
        <f>IF(($AS15+$AT15)&lt;=$D15,0,1)</f>
        <v>0</v>
      </c>
      <c r="CN15" s="503"/>
      <c r="CO15" s="503">
        <f>IF($AU15&lt;=$D15,0,1)</f>
        <v>0</v>
      </c>
      <c r="CP15" s="503">
        <f>IF($AV15&lt;=$D15,0,1)</f>
        <v>0</v>
      </c>
      <c r="CQ15" s="503">
        <f>IF($AW15&lt;=$D15,0,1)</f>
        <v>0</v>
      </c>
      <c r="CR15" s="503">
        <f t="shared" si="3"/>
        <v>0</v>
      </c>
      <c r="CS15" s="449">
        <f>IF(AND($D15&lt;&gt;0,$AT15=""),1,0)</f>
        <v>0</v>
      </c>
      <c r="CT15" s="449">
        <f>IF(AND($D15&lt;&gt;0,$AU15=""),1,0)</f>
        <v>0</v>
      </c>
      <c r="CU15" s="449">
        <f>IF(AND($D15&lt;&gt;0,$AV15=""),1,0)</f>
        <v>0</v>
      </c>
      <c r="CV15" s="449">
        <f>IF(AND($D15&lt;&gt;0,$AW15=""),1,0)</f>
        <v>0</v>
      </c>
      <c r="CW15" s="449">
        <f t="shared" si="4"/>
        <v>0</v>
      </c>
    </row>
    <row r="16" spans="1:101" ht="33.75" customHeight="1" x14ac:dyDescent="0.25">
      <c r="A16" s="2232" t="s">
        <v>612</v>
      </c>
      <c r="B16" s="1251" t="s">
        <v>563</v>
      </c>
      <c r="C16" s="1252" t="s">
        <v>626</v>
      </c>
      <c r="D16" s="1110">
        <f>SUM(F16)</f>
        <v>0</v>
      </c>
      <c r="E16" s="1518"/>
      <c r="F16" s="1035">
        <f>+P16+R16+T16+V16+X16+Z16+AB16+AD16+AF16+AH16</f>
        <v>0</v>
      </c>
      <c r="G16" s="1085"/>
      <c r="H16" s="1086"/>
      <c r="I16" s="1085"/>
      <c r="J16" s="1086"/>
      <c r="K16" s="1085"/>
      <c r="L16" s="1086"/>
      <c r="M16" s="1085"/>
      <c r="N16" s="1086"/>
      <c r="O16" s="1085"/>
      <c r="P16" s="274"/>
      <c r="Q16" s="1085"/>
      <c r="R16" s="274"/>
      <c r="S16" s="1085"/>
      <c r="T16" s="274"/>
      <c r="U16" s="1085"/>
      <c r="V16" s="274"/>
      <c r="W16" s="1085"/>
      <c r="X16" s="274"/>
      <c r="Y16" s="1085"/>
      <c r="Z16" s="274"/>
      <c r="AA16" s="1085"/>
      <c r="AB16" s="274"/>
      <c r="AC16" s="1085"/>
      <c r="AD16" s="274"/>
      <c r="AE16" s="1085"/>
      <c r="AF16" s="274"/>
      <c r="AG16" s="1085"/>
      <c r="AH16" s="274"/>
      <c r="AI16" s="1085"/>
      <c r="AJ16" s="1086"/>
      <c r="AK16" s="1085"/>
      <c r="AL16" s="1086"/>
      <c r="AM16" s="1085"/>
      <c r="AN16" s="1086"/>
      <c r="AO16" s="1085"/>
      <c r="AP16" s="1086"/>
      <c r="AQ16" s="1085"/>
      <c r="AR16" s="1089"/>
      <c r="AS16" s="1111"/>
      <c r="AT16" s="289"/>
      <c r="AU16" s="1111"/>
      <c r="AV16" s="1112"/>
      <c r="AW16" s="1014"/>
      <c r="AX16" s="1014"/>
      <c r="AY16" s="376" t="str">
        <f t="shared" si="0"/>
        <v/>
      </c>
      <c r="CB16" s="502" t="str">
        <f t="shared" ref="CB16:CB17" si="5">IF(($AS16+$AT16)&lt;=$D16,"","* La suma de las celdas 'Trans' no debe ser mayor al Total de personas bajo control. ")</f>
        <v/>
      </c>
      <c r="CC16" s="502"/>
      <c r="CD16" s="502" t="str">
        <f t="shared" ref="CD16:CD17" si="6">IF($AU16&lt;=$D16,"","* La celda de 'Pueblos Originarios' no debe ser mayor al Total de personas bajo control. ")</f>
        <v/>
      </c>
      <c r="CE16" s="502" t="str">
        <f t="shared" ref="CE16:CE17" si="7">IF($AV16&lt;=$D16,"","* La celda de 'Población Migrantes' no debe ser mayor al Total de personas bajo control. ")</f>
        <v/>
      </c>
      <c r="CF16" s="502" t="str">
        <f t="shared" ref="CF16:CF17" si="8">IF($AW16&lt;=$D16,"","* La celda de 'Población SENAME' no debe ser mayor al Total de personas bajo control. ")</f>
        <v/>
      </c>
      <c r="CG16" s="502" t="str">
        <f t="shared" si="1"/>
        <v/>
      </c>
      <c r="CH16" s="381" t="str">
        <f>IF(AND($D16&lt;&gt;0,$AT16=""),"* No olvide escribir en la celda de Trans (Digite CERO si no tiene). ",IF(AND(D16&lt;&gt;0,AS16=""),"* No olvide escribir en la celda Trans (Digite CERO si no tiene). ",""))</f>
        <v/>
      </c>
      <c r="CI16" s="381" t="str">
        <f t="shared" ref="CI16:CI17" si="9">IF(AND($D16&lt;&gt;0,$AU16=""),"* No olvide escribir en la celda de Pueblos Originarios (Digite CERO si no tiene). ","")</f>
        <v/>
      </c>
      <c r="CJ16" s="381" t="str">
        <f t="shared" ref="CJ16:CJ17" si="10">IF(AND($D16&lt;&gt;0,$AV16=""),"* No olvide escribir en la celda de Población Migrantes (Digite CERO si no tiene). ","")</f>
        <v/>
      </c>
      <c r="CK16" s="381" t="str">
        <f t="shared" ref="CK16:CK17" si="11">IF(AND($D16&lt;&gt;0,$AW16=""),"* No olvide escribir en la celda de Población SENAME (Digite CERO si no tiene). ","")</f>
        <v/>
      </c>
      <c r="CL16" s="381" t="str">
        <f t="shared" si="2"/>
        <v/>
      </c>
      <c r="CM16" s="503">
        <f t="shared" ref="CM16:CM17" si="12">IF(($AS16+$AT16)&lt;=$D16,0,1)</f>
        <v>0</v>
      </c>
      <c r="CN16" s="503"/>
      <c r="CO16" s="503">
        <f t="shared" ref="CO16:CO17" si="13">IF($AU16&lt;=$D16,0,1)</f>
        <v>0</v>
      </c>
      <c r="CP16" s="503">
        <f t="shared" ref="CP16:CP17" si="14">IF($AV16&lt;=$D16,0,1)</f>
        <v>0</v>
      </c>
      <c r="CQ16" s="503">
        <f t="shared" ref="CQ16:CQ17" si="15">IF($AW16&lt;=$D16,0,1)</f>
        <v>0</v>
      </c>
      <c r="CR16" s="503">
        <f t="shared" si="3"/>
        <v>0</v>
      </c>
      <c r="CS16" s="449">
        <f t="shared" ref="CS16:CS17" si="16">IF(AND($D16&lt;&gt;0,$AT16=""),1,0)</f>
        <v>0</v>
      </c>
      <c r="CT16" s="449">
        <f t="shared" ref="CT16:CT17" si="17">IF(AND($D16&lt;&gt;0,$AU16=""),1,0)</f>
        <v>0</v>
      </c>
      <c r="CU16" s="449">
        <f t="shared" ref="CU16:CU17" si="18">IF(AND($D16&lt;&gt;0,$AV16=""),1,0)</f>
        <v>0</v>
      </c>
      <c r="CV16" s="449">
        <f t="shared" ref="CV16:CV17" si="19">IF(AND($D16&lt;&gt;0,$AW16=""),1,0)</f>
        <v>0</v>
      </c>
      <c r="CW16" s="449">
        <f t="shared" si="4"/>
        <v>0</v>
      </c>
    </row>
    <row r="17" spans="1:101" ht="27" customHeight="1" x14ac:dyDescent="0.25">
      <c r="A17" s="1799"/>
      <c r="B17" s="1223" t="s">
        <v>566</v>
      </c>
      <c r="C17" s="1253" t="s">
        <v>626</v>
      </c>
      <c r="D17" s="1042">
        <f>SUM(E17:F17)</f>
        <v>0</v>
      </c>
      <c r="E17" s="1043">
        <f>+G17+I17+K17+M17+O17+Q17+S17+U17+W17+Y17+AA17+AC17+AE17+AG17+AI17+AK17+AM17+AO17+AQ17</f>
        <v>0</v>
      </c>
      <c r="F17" s="1038">
        <f>+H17+J17+L17+N17+P17+R17+T17+V17+X17+Z17+AB17+AD17+AF17+AH17+AJ17+AL17+AN17+AP17+AR17</f>
        <v>0</v>
      </c>
      <c r="G17" s="283"/>
      <c r="H17" s="284"/>
      <c r="I17" s="283"/>
      <c r="J17" s="284"/>
      <c r="K17" s="283"/>
      <c r="L17" s="284"/>
      <c r="M17" s="283"/>
      <c r="N17" s="284"/>
      <c r="O17" s="283"/>
      <c r="P17" s="284"/>
      <c r="Q17" s="283"/>
      <c r="R17" s="284"/>
      <c r="S17" s="283"/>
      <c r="T17" s="284"/>
      <c r="U17" s="283"/>
      <c r="V17" s="284"/>
      <c r="W17" s="283"/>
      <c r="X17" s="284"/>
      <c r="Y17" s="283"/>
      <c r="Z17" s="284"/>
      <c r="AA17" s="283"/>
      <c r="AB17" s="284"/>
      <c r="AC17" s="283"/>
      <c r="AD17" s="284"/>
      <c r="AE17" s="283"/>
      <c r="AF17" s="284"/>
      <c r="AG17" s="283"/>
      <c r="AH17" s="284"/>
      <c r="AI17" s="283"/>
      <c r="AJ17" s="284"/>
      <c r="AK17" s="283"/>
      <c r="AL17" s="284"/>
      <c r="AM17" s="283"/>
      <c r="AN17" s="284"/>
      <c r="AO17" s="283"/>
      <c r="AP17" s="284"/>
      <c r="AQ17" s="283"/>
      <c r="AR17" s="304"/>
      <c r="AS17" s="1113"/>
      <c r="AT17" s="290"/>
      <c r="AU17" s="1113"/>
      <c r="AV17" s="1114"/>
      <c r="AW17" s="1013"/>
      <c r="AX17" s="1013"/>
      <c r="AY17" s="376" t="str">
        <f t="shared" si="0"/>
        <v/>
      </c>
      <c r="CB17" s="502" t="str">
        <f t="shared" si="5"/>
        <v/>
      </c>
      <c r="CC17" s="502"/>
      <c r="CD17" s="502" t="str">
        <f t="shared" si="6"/>
        <v/>
      </c>
      <c r="CE17" s="502" t="str">
        <f t="shared" si="7"/>
        <v/>
      </c>
      <c r="CF17" s="502" t="str">
        <f t="shared" si="8"/>
        <v/>
      </c>
      <c r="CG17" s="502" t="str">
        <f t="shared" si="1"/>
        <v/>
      </c>
      <c r="CH17" s="381" t="str">
        <f>IF(AND($D17&lt;&gt;0,$AT17=""),"* No olvide escribir en la celda de Trans (Digite CERO si no tiene). ",IF(AND(D17&lt;&gt;0,AS17=""),"* No olvide escribir en la celda Trans (Digite CERO si no tiene). ",""))</f>
        <v/>
      </c>
      <c r="CI17" s="381" t="str">
        <f t="shared" si="9"/>
        <v/>
      </c>
      <c r="CJ17" s="381" t="str">
        <f t="shared" si="10"/>
        <v/>
      </c>
      <c r="CK17" s="381" t="str">
        <f t="shared" si="11"/>
        <v/>
      </c>
      <c r="CL17" s="381" t="str">
        <f t="shared" si="2"/>
        <v/>
      </c>
      <c r="CM17" s="503">
        <f t="shared" si="12"/>
        <v>0</v>
      </c>
      <c r="CN17" s="503"/>
      <c r="CO17" s="503">
        <f t="shared" si="13"/>
        <v>0</v>
      </c>
      <c r="CP17" s="503">
        <f t="shared" si="14"/>
        <v>0</v>
      </c>
      <c r="CQ17" s="503">
        <f t="shared" si="15"/>
        <v>0</v>
      </c>
      <c r="CR17" s="503">
        <f t="shared" si="3"/>
        <v>0</v>
      </c>
      <c r="CS17" s="449">
        <f t="shared" si="16"/>
        <v>0</v>
      </c>
      <c r="CT17" s="449">
        <f t="shared" si="17"/>
        <v>0</v>
      </c>
      <c r="CU17" s="449">
        <f t="shared" si="18"/>
        <v>0</v>
      </c>
      <c r="CV17" s="449">
        <f t="shared" si="19"/>
        <v>0</v>
      </c>
      <c r="CW17" s="449">
        <f t="shared" si="4"/>
        <v>0</v>
      </c>
    </row>
    <row r="18" spans="1:101" ht="22.5" customHeight="1" x14ac:dyDescent="0.25">
      <c r="A18" s="504" t="s">
        <v>650</v>
      </c>
      <c r="B18" s="501"/>
      <c r="C18" s="501"/>
      <c r="D18" s="501"/>
      <c r="E18" s="501"/>
      <c r="F18" s="501"/>
      <c r="G18" s="500"/>
      <c r="H18" s="500"/>
      <c r="I18" s="500"/>
      <c r="J18" s="500"/>
      <c r="K18" s="500"/>
      <c r="L18" s="500"/>
      <c r="Q18" s="57"/>
    </row>
    <row r="19" spans="1:101" ht="24" customHeight="1" x14ac:dyDescent="0.25">
      <c r="A19" s="2349" t="s">
        <v>151</v>
      </c>
      <c r="B19" s="2350" t="s">
        <v>13</v>
      </c>
      <c r="C19" s="2351"/>
      <c r="D19" s="2352"/>
      <c r="E19" s="1975" t="s">
        <v>508</v>
      </c>
      <c r="F19" s="2356"/>
      <c r="G19" s="2356"/>
      <c r="H19" s="2356"/>
      <c r="I19" s="2356"/>
      <c r="J19" s="2356"/>
      <c r="K19" s="2356"/>
      <c r="L19" s="2356"/>
      <c r="M19" s="2356"/>
      <c r="N19" s="2356"/>
      <c r="O19" s="2356"/>
      <c r="P19" s="2356"/>
      <c r="Q19" s="2356"/>
      <c r="R19" s="2356"/>
      <c r="S19" s="2356"/>
      <c r="T19" s="2356"/>
      <c r="U19" s="2356"/>
      <c r="V19" s="2356"/>
      <c r="W19" s="2356"/>
      <c r="X19" s="2356"/>
      <c r="Y19" s="2356"/>
      <c r="Z19" s="2356"/>
      <c r="AA19" s="2356"/>
      <c r="AB19" s="2356"/>
      <c r="AC19" s="2356"/>
      <c r="AD19" s="2356"/>
      <c r="AE19" s="2356"/>
      <c r="AF19" s="2357"/>
      <c r="AG19" s="1840" t="s">
        <v>249</v>
      </c>
      <c r="AH19" s="2232"/>
      <c r="AI19" s="2366" t="s">
        <v>15</v>
      </c>
      <c r="AJ19" s="2232" t="s">
        <v>689</v>
      </c>
      <c r="CC19" s="2112" t="s">
        <v>249</v>
      </c>
      <c r="CD19" s="2112"/>
      <c r="CE19" s="2112" t="s">
        <v>15</v>
      </c>
      <c r="CF19" s="2112" t="s">
        <v>465</v>
      </c>
      <c r="CG19" s="2112" t="s">
        <v>249</v>
      </c>
      <c r="CH19" s="2344" t="s">
        <v>15</v>
      </c>
      <c r="CI19" s="2344" t="s">
        <v>465</v>
      </c>
      <c r="CN19" s="2132" t="s">
        <v>249</v>
      </c>
      <c r="CO19" s="2132"/>
      <c r="CP19" s="2132" t="s">
        <v>15</v>
      </c>
      <c r="CQ19" s="2132" t="s">
        <v>465</v>
      </c>
      <c r="CR19" s="2132" t="s">
        <v>249</v>
      </c>
      <c r="CS19" s="2342" t="s">
        <v>15</v>
      </c>
      <c r="CT19" s="2342" t="s">
        <v>465</v>
      </c>
    </row>
    <row r="20" spans="1:101" ht="25.5" customHeight="1" x14ac:dyDescent="0.25">
      <c r="A20" s="2349"/>
      <c r="B20" s="2353"/>
      <c r="C20" s="2354"/>
      <c r="D20" s="2355"/>
      <c r="E20" s="1968" t="s">
        <v>17</v>
      </c>
      <c r="F20" s="1969"/>
      <c r="G20" s="1968" t="s">
        <v>18</v>
      </c>
      <c r="H20" s="1969"/>
      <c r="I20" s="1968" t="s">
        <v>19</v>
      </c>
      <c r="J20" s="1969"/>
      <c r="K20" s="2358" t="s">
        <v>20</v>
      </c>
      <c r="L20" s="2359"/>
      <c r="M20" s="2358" t="s">
        <v>21</v>
      </c>
      <c r="N20" s="2359"/>
      <c r="O20" s="2358" t="s">
        <v>22</v>
      </c>
      <c r="P20" s="2359"/>
      <c r="Q20" s="2358" t="s">
        <v>23</v>
      </c>
      <c r="R20" s="2359"/>
      <c r="S20" s="2358" t="s">
        <v>24</v>
      </c>
      <c r="T20" s="2359"/>
      <c r="U20" s="2358" t="s">
        <v>208</v>
      </c>
      <c r="V20" s="2359"/>
      <c r="W20" s="2358" t="s">
        <v>209</v>
      </c>
      <c r="X20" s="2359"/>
      <c r="Y20" s="2358" t="s">
        <v>181</v>
      </c>
      <c r="Z20" s="2359"/>
      <c r="AA20" s="1968" t="s">
        <v>182</v>
      </c>
      <c r="AB20" s="2361"/>
      <c r="AC20" s="1968" t="s">
        <v>183</v>
      </c>
      <c r="AD20" s="2361"/>
      <c r="AE20" s="1968" t="s">
        <v>195</v>
      </c>
      <c r="AF20" s="2360"/>
      <c r="AG20" s="1795"/>
      <c r="AH20" s="1799"/>
      <c r="AI20" s="2367"/>
      <c r="AJ20" s="2113"/>
      <c r="CC20" s="2112"/>
      <c r="CD20" s="2112"/>
      <c r="CE20" s="2112"/>
      <c r="CF20" s="2112"/>
      <c r="CG20" s="2112"/>
      <c r="CH20" s="2261"/>
      <c r="CI20" s="2261"/>
      <c r="CN20" s="2132"/>
      <c r="CO20" s="2132"/>
      <c r="CP20" s="2132"/>
      <c r="CQ20" s="2132"/>
      <c r="CR20" s="2132"/>
      <c r="CS20" s="2343"/>
      <c r="CT20" s="2343"/>
    </row>
    <row r="21" spans="1:101" ht="27.75" customHeight="1" x14ac:dyDescent="0.25">
      <c r="A21" s="2349"/>
      <c r="B21" s="181" t="s">
        <v>93</v>
      </c>
      <c r="C21" s="216" t="s">
        <v>31</v>
      </c>
      <c r="D21" s="217" t="s">
        <v>94</v>
      </c>
      <c r="E21" s="61" t="s">
        <v>129</v>
      </c>
      <c r="F21" s="218" t="s">
        <v>94</v>
      </c>
      <c r="G21" s="61" t="s">
        <v>129</v>
      </c>
      <c r="H21" s="218" t="s">
        <v>94</v>
      </c>
      <c r="I21" s="61" t="s">
        <v>129</v>
      </c>
      <c r="J21" s="218" t="s">
        <v>94</v>
      </c>
      <c r="K21" s="61" t="s">
        <v>129</v>
      </c>
      <c r="L21" s="218" t="s">
        <v>94</v>
      </c>
      <c r="M21" s="61" t="s">
        <v>129</v>
      </c>
      <c r="N21" s="218" t="s">
        <v>94</v>
      </c>
      <c r="O21" s="61" t="s">
        <v>129</v>
      </c>
      <c r="P21" s="218" t="s">
        <v>94</v>
      </c>
      <c r="Q21" s="61" t="s">
        <v>129</v>
      </c>
      <c r="R21" s="218" t="s">
        <v>94</v>
      </c>
      <c r="S21" s="61" t="s">
        <v>129</v>
      </c>
      <c r="T21" s="218" t="s">
        <v>94</v>
      </c>
      <c r="U21" s="61" t="s">
        <v>129</v>
      </c>
      <c r="V21" s="218" t="s">
        <v>94</v>
      </c>
      <c r="W21" s="61" t="s">
        <v>129</v>
      </c>
      <c r="X21" s="218" t="s">
        <v>94</v>
      </c>
      <c r="Y21" s="61" t="s">
        <v>129</v>
      </c>
      <c r="Z21" s="218" t="s">
        <v>94</v>
      </c>
      <c r="AA21" s="61" t="s">
        <v>129</v>
      </c>
      <c r="AB21" s="218" t="s">
        <v>94</v>
      </c>
      <c r="AC21" s="61" t="s">
        <v>129</v>
      </c>
      <c r="AD21" s="218" t="s">
        <v>94</v>
      </c>
      <c r="AE21" s="61" t="s">
        <v>129</v>
      </c>
      <c r="AF21" s="220" t="s">
        <v>94</v>
      </c>
      <c r="AG21" s="324" t="s">
        <v>463</v>
      </c>
      <c r="AH21" s="218" t="s">
        <v>464</v>
      </c>
      <c r="AI21" s="1751"/>
      <c r="AJ21" s="1799"/>
      <c r="CC21" s="973" t="s">
        <v>463</v>
      </c>
      <c r="CD21" s="973" t="s">
        <v>545</v>
      </c>
      <c r="CE21" s="2112"/>
      <c r="CF21" s="2112"/>
      <c r="CG21" s="973" t="s">
        <v>543</v>
      </c>
      <c r="CH21" s="973" t="s">
        <v>543</v>
      </c>
      <c r="CI21" s="973" t="s">
        <v>543</v>
      </c>
      <c r="CN21" s="977" t="s">
        <v>463</v>
      </c>
      <c r="CO21" s="977" t="s">
        <v>545</v>
      </c>
      <c r="CP21" s="2132"/>
      <c r="CQ21" s="2132"/>
      <c r="CR21" s="977" t="s">
        <v>543</v>
      </c>
      <c r="CS21" s="977" t="s">
        <v>543</v>
      </c>
      <c r="CT21" s="977" t="s">
        <v>543</v>
      </c>
    </row>
    <row r="22" spans="1:101" ht="26.25" customHeight="1" x14ac:dyDescent="0.25">
      <c r="A22" s="221" t="s">
        <v>252</v>
      </c>
      <c r="B22" s="954">
        <f>SUM(C22:D22)</f>
        <v>0</v>
      </c>
      <c r="C22" s="955">
        <f>+E22+G22+I22+K22+M22+O22+Q22+S22+U22+W22+Y22+AA22+AC22+AE22</f>
        <v>0</v>
      </c>
      <c r="D22" s="953">
        <f>+F22+H22+J22+L22+N22+P22+R22+T22+V22+X22+Z22+AB22+AD22+AF22</f>
        <v>0</v>
      </c>
      <c r="E22" s="259"/>
      <c r="F22" s="956"/>
      <c r="G22" s="259"/>
      <c r="H22" s="956"/>
      <c r="I22" s="259"/>
      <c r="J22" s="956"/>
      <c r="K22" s="259"/>
      <c r="L22" s="956"/>
      <c r="M22" s="259"/>
      <c r="N22" s="956"/>
      <c r="O22" s="259"/>
      <c r="P22" s="956"/>
      <c r="Q22" s="259"/>
      <c r="R22" s="956"/>
      <c r="S22" s="259"/>
      <c r="T22" s="956"/>
      <c r="U22" s="259"/>
      <c r="V22" s="956"/>
      <c r="W22" s="259"/>
      <c r="X22" s="956"/>
      <c r="Y22" s="259"/>
      <c r="Z22" s="956"/>
      <c r="AA22" s="259"/>
      <c r="AB22" s="956"/>
      <c r="AC22" s="259"/>
      <c r="AD22" s="956"/>
      <c r="AE22" s="259"/>
      <c r="AF22" s="302"/>
      <c r="AG22" s="957"/>
      <c r="AH22" s="1117"/>
      <c r="AI22" s="1118"/>
      <c r="AJ22" s="1117"/>
      <c r="AK22" s="376" t="str">
        <f xml:space="preserve"> CC22 &amp; CD22 &amp; CE22 &amp; CF22 &amp; CG22 &amp; CH22 &amp; CI22</f>
        <v/>
      </c>
      <c r="CC22" s="502" t="str">
        <f>IF(($AG22+$AH22)&lt;=$B22,"","* La suma de las celdas 'Trans' no debe ser mayor al Total de personas bajo control. ")</f>
        <v/>
      </c>
      <c r="CD22" s="502"/>
      <c r="CE22" s="502" t="str">
        <f>IF($AI22&lt;=$B22,"","* La celda de 'Pueblos Originarios' no debe ser mayor al Total de personas bajo control. ")</f>
        <v/>
      </c>
      <c r="CF22" s="502" t="str">
        <f>IF($AJ22&lt;=$B22,"","* La celda de 'Población Migrantes' no debe ser mayor al Total de personas bajo control. ")</f>
        <v/>
      </c>
      <c r="CG22" s="381" t="str">
        <f>IF(AND($B22&lt;&gt;0,$AG22=""),"* No olvide escribir en la celda de Trans (Digite CERO si no tiene). ",IF(AND($B22&lt;&gt;0,$AH22=""),"* No olvide escribir en la celda Trans (Digite CERO si no tiene). ",""))</f>
        <v/>
      </c>
      <c r="CH22" s="381" t="str">
        <f>IF(AND($B22&lt;&gt;0,$AI22=""),"* No olvide escribir en la celda de Pueblos Originarios (Digite CERO si no tiene). ","")</f>
        <v/>
      </c>
      <c r="CI22" s="381" t="str">
        <f>IF(AND($B22&lt;&gt;0,$AJ22=""),"* No olvide escribir en la celda de Población Migrantes (Digite CERO si no tiene). ","")</f>
        <v/>
      </c>
      <c r="CK22" s="333"/>
      <c r="CN22" s="503">
        <f>IF(($AG22+$AH22)&lt;=$B22,0,1)</f>
        <v>0</v>
      </c>
      <c r="CO22" s="503">
        <f>IF($AH22&lt;=$D22,0,0)</f>
        <v>0</v>
      </c>
      <c r="CP22" s="503">
        <f>IF($AI22&lt;=$B22,0,1)</f>
        <v>0</v>
      </c>
      <c r="CQ22" s="503">
        <f>IF($AJ22&lt;=$B22,0,1)</f>
        <v>0</v>
      </c>
      <c r="CR22" s="391">
        <f>IF(AND($B22&lt;&gt;0,$AG22=""),1,IF(AND($B22&lt;&gt;0,$AH22=""),1,0))</f>
        <v>0</v>
      </c>
      <c r="CS22" s="391">
        <f>IF(AND($B22&lt;&gt;0,$AI22=""),1,0)</f>
        <v>0</v>
      </c>
      <c r="CT22" s="391">
        <f>IF(AND($B22&lt;&gt;0,$AJ22=""),1,0)</f>
        <v>0</v>
      </c>
    </row>
    <row r="23" spans="1:101" x14ac:dyDescent="0.25">
      <c r="CK23" s="333"/>
      <c r="CL23" s="333"/>
      <c r="CM23" s="333"/>
      <c r="CN23" s="333"/>
    </row>
    <row r="24" spans="1:101" x14ac:dyDescent="0.25">
      <c r="Q24" s="57"/>
      <c r="CK24" s="333"/>
      <c r="CL24" s="333"/>
      <c r="CM24" s="333"/>
      <c r="CN24" s="333"/>
    </row>
    <row r="25" spans="1:101" x14ac:dyDescent="0.25">
      <c r="CK25" s="333"/>
      <c r="CL25" s="333"/>
      <c r="CM25" s="333"/>
    </row>
    <row r="26" spans="1:101" x14ac:dyDescent="0.25">
      <c r="CK26" s="333"/>
      <c r="CL26" s="333"/>
      <c r="CM26" s="333"/>
    </row>
    <row r="27" spans="1:101" x14ac:dyDescent="0.25">
      <c r="CK27" s="333"/>
      <c r="CL27" s="333"/>
      <c r="CM27" s="333"/>
    </row>
    <row r="28" spans="1:101" x14ac:dyDescent="0.25">
      <c r="CK28" s="333"/>
      <c r="CL28" s="333"/>
    </row>
    <row r="29" spans="1:101" x14ac:dyDescent="0.25">
      <c r="CK29" s="333"/>
      <c r="CL29" s="333"/>
    </row>
    <row r="30" spans="1:101" x14ac:dyDescent="0.25">
      <c r="CK30" s="333"/>
    </row>
    <row r="33" spans="1:48" s="387" customFormat="1" ht="14.45" hidden="1" customHeight="1" x14ac:dyDescent="0.15">
      <c r="A33" s="1286">
        <f>SUM(D12:AX17,B22:AJ22)</f>
        <v>0</v>
      </c>
      <c r="B33" s="381" t="s">
        <v>317</v>
      </c>
    </row>
    <row r="34" spans="1:48" ht="14.45" hidden="1" customHeight="1" x14ac:dyDescent="0.25">
      <c r="A34" s="1286">
        <f>SUM(CM12:CU22)</f>
        <v>0</v>
      </c>
      <c r="B34" s="381" t="s">
        <v>318</v>
      </c>
      <c r="C34" s="387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A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  <c r="AR34" s="387"/>
      <c r="AS34" s="387"/>
      <c r="AT34" s="387"/>
      <c r="AU34" s="387"/>
      <c r="AV34" s="387"/>
    </row>
  </sheetData>
  <sheetProtection algorithmName="SHA-512" hashValue="G6pHVwG1hiNAVIVs+4j8zFPA3meQV1V4jbNEk+m1MQ8zj8Hq21qqnNtv/inmGNqcDMZh7BEIV2SkHrRQZOH2Sg==" saltValue="VWO6lKclmoDu7gZ5Oct7TA==" spinCount="100000" sheet="1" objects="1" scenarios="1"/>
  <mergeCells count="84">
    <mergeCell ref="CW9:CW10"/>
    <mergeCell ref="CK9:CK10"/>
    <mergeCell ref="CG9:CG11"/>
    <mergeCell ref="CL9:CL10"/>
    <mergeCell ref="CR9:CR11"/>
    <mergeCell ref="CV9:CV10"/>
    <mergeCell ref="A16:A17"/>
    <mergeCell ref="CU9:CU10"/>
    <mergeCell ref="CF9:CF11"/>
    <mergeCell ref="CQ9:CQ11"/>
    <mergeCell ref="CT9:CT10"/>
    <mergeCell ref="CB9:CC10"/>
    <mergeCell ref="CD9:CD11"/>
    <mergeCell ref="CE9:CE11"/>
    <mergeCell ref="CH9:CH10"/>
    <mergeCell ref="CS9:CS10"/>
    <mergeCell ref="CJ9:CJ10"/>
    <mergeCell ref="CI9:CI10"/>
    <mergeCell ref="CM9:CN10"/>
    <mergeCell ref="A12:A15"/>
    <mergeCell ref="B12:B13"/>
    <mergeCell ref="A9:C11"/>
    <mergeCell ref="B14:B15"/>
    <mergeCell ref="AV9:AV11"/>
    <mergeCell ref="AJ19:AJ21"/>
    <mergeCell ref="AI19:AI21"/>
    <mergeCell ref="AU9:AU11"/>
    <mergeCell ref="AQ10:AR10"/>
    <mergeCell ref="AO10:AP10"/>
    <mergeCell ref="AS9:AT10"/>
    <mergeCell ref="AG19:AH20"/>
    <mergeCell ref="AC20:AD20"/>
    <mergeCell ref="G10:H10"/>
    <mergeCell ref="I10:J10"/>
    <mergeCell ref="K10:L10"/>
    <mergeCell ref="M10:N10"/>
    <mergeCell ref="Y10:Z10"/>
    <mergeCell ref="S10:T10"/>
    <mergeCell ref="W10:X10"/>
    <mergeCell ref="U10:V10"/>
    <mergeCell ref="A7:Q7"/>
    <mergeCell ref="G9:AR9"/>
    <mergeCell ref="AK10:AL10"/>
    <mergeCell ref="O10:P10"/>
    <mergeCell ref="Q10:R10"/>
    <mergeCell ref="AM10:AN10"/>
    <mergeCell ref="AI10:AJ10"/>
    <mergeCell ref="AA10:AB10"/>
    <mergeCell ref="AG10:AH10"/>
    <mergeCell ref="AC10:AD10"/>
    <mergeCell ref="AE10:AF10"/>
    <mergeCell ref="D9:F10"/>
    <mergeCell ref="A19:A21"/>
    <mergeCell ref="B19:D20"/>
    <mergeCell ref="E19:AF19"/>
    <mergeCell ref="E20:F20"/>
    <mergeCell ref="G20:H20"/>
    <mergeCell ref="K20:L20"/>
    <mergeCell ref="M20:N20"/>
    <mergeCell ref="O20:P20"/>
    <mergeCell ref="I20:J20"/>
    <mergeCell ref="S20:T20"/>
    <mergeCell ref="W20:X20"/>
    <mergeCell ref="AE20:AF20"/>
    <mergeCell ref="U20:V20"/>
    <mergeCell ref="Q20:R20"/>
    <mergeCell ref="Y20:Z20"/>
    <mergeCell ref="AA20:AB20"/>
    <mergeCell ref="AW9:AW11"/>
    <mergeCell ref="CC19:CD20"/>
    <mergeCell ref="CE19:CE21"/>
    <mergeCell ref="CF19:CF21"/>
    <mergeCell ref="CG19:CG20"/>
    <mergeCell ref="AX9:AX11"/>
    <mergeCell ref="CH19:CH20"/>
    <mergeCell ref="CI19:CI20"/>
    <mergeCell ref="CN19:CO20"/>
    <mergeCell ref="CP19:CP21"/>
    <mergeCell ref="CQ19:CQ21"/>
    <mergeCell ref="CR19:CR20"/>
    <mergeCell ref="CS19:CS20"/>
    <mergeCell ref="CT19:CT20"/>
    <mergeCell ref="CO9:CO11"/>
    <mergeCell ref="CP9:CP11"/>
  </mergeCells>
  <phoneticPr fontId="26" type="noConversion"/>
  <dataValidations count="2">
    <dataValidation type="whole" allowBlank="1" showInputMessage="1" showErrorMessage="1" sqref="A1" xr:uid="{06DBE62A-E7A5-43A0-990E-D828F03A76C7}">
      <formula1>0</formula1>
      <formula2>1E+46</formula2>
    </dataValidation>
    <dataValidation type="whole" operator="greaterThanOrEqual" allowBlank="1" showInputMessage="1" showErrorMessage="1" sqref="G12:AX17 E22:AJ22" xr:uid="{D8AE46B9-65FF-479D-8A3C-7D536BF70458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0" pageOrder="overThenDown" orientation="landscape" r:id="rId1"/>
  <colBreaks count="2" manualBreakCount="2">
    <brk id="14" max="20" man="1"/>
    <brk id="30" max="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BZ200"/>
  <sheetViews>
    <sheetView showGridLines="0" zoomScaleNormal="100" workbookViewId="0">
      <selection activeCell="A7" sqref="A7:K7"/>
    </sheetView>
  </sheetViews>
  <sheetFormatPr baseColWidth="10" defaultColWidth="11.42578125" defaultRowHeight="15" x14ac:dyDescent="0.25"/>
  <cols>
    <col min="1" max="1" width="23.85546875" style="244" customWidth="1"/>
    <col min="2" max="10" width="18" style="244" customWidth="1"/>
    <col min="11" max="11" width="18" style="223" customWidth="1"/>
    <col min="12" max="12" width="18.5703125" style="223" customWidth="1"/>
    <col min="13" max="25" width="10.140625" style="342" customWidth="1"/>
    <col min="26" max="26" width="12.85546875" style="342" customWidth="1"/>
    <col min="27" max="41" width="12.85546875" style="335" hidden="1" customWidth="1"/>
    <col min="42" max="52" width="11.42578125" style="1050" hidden="1" customWidth="1"/>
    <col min="53" max="64" width="12.85546875" style="335" hidden="1" customWidth="1"/>
    <col min="65" max="78" width="11.42578125" style="223" hidden="1" customWidth="1"/>
    <col min="79" max="16384" width="11.42578125" style="223"/>
  </cols>
  <sheetData>
    <row r="1" spans="1:78" s="57" customFormat="1" ht="13.5" customHeight="1" x14ac:dyDescent="0.15">
      <c r="A1" s="125" t="s">
        <v>0</v>
      </c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5"/>
      <c r="AB1" s="325"/>
      <c r="AC1" s="325"/>
      <c r="AD1" s="325"/>
      <c r="AE1" s="325"/>
      <c r="AF1" s="325"/>
      <c r="AG1" s="325"/>
      <c r="AH1" s="325"/>
      <c r="AI1" s="325"/>
      <c r="AJ1" s="325"/>
      <c r="AK1" s="325"/>
      <c r="AL1" s="325"/>
      <c r="AM1" s="325"/>
      <c r="AN1" s="325"/>
      <c r="AO1" s="325"/>
      <c r="BA1" s="325"/>
      <c r="BB1" s="325"/>
      <c r="BC1" s="325"/>
      <c r="BD1" s="325"/>
      <c r="BE1" s="325"/>
      <c r="BF1" s="325"/>
      <c r="BG1" s="325"/>
      <c r="BH1" s="325"/>
      <c r="BI1" s="325"/>
      <c r="BJ1" s="325"/>
      <c r="BK1" s="325"/>
      <c r="BL1" s="325"/>
    </row>
    <row r="2" spans="1:78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5"/>
      <c r="AB2" s="325"/>
      <c r="AC2" s="325"/>
      <c r="AD2" s="325"/>
      <c r="AE2" s="325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BA2" s="325"/>
      <c r="BB2" s="325"/>
      <c r="BC2" s="325"/>
      <c r="BD2" s="325"/>
      <c r="BE2" s="325"/>
      <c r="BF2" s="325"/>
      <c r="BG2" s="325"/>
      <c r="BH2" s="325"/>
      <c r="BI2" s="325"/>
      <c r="BJ2" s="325"/>
      <c r="BK2" s="325"/>
      <c r="BL2" s="325"/>
    </row>
    <row r="3" spans="1:78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BA3" s="325"/>
      <c r="BB3" s="325"/>
      <c r="BC3" s="325"/>
      <c r="BD3" s="325"/>
      <c r="BE3" s="325"/>
      <c r="BF3" s="325"/>
      <c r="BG3" s="325"/>
      <c r="BH3" s="325"/>
      <c r="BI3" s="325"/>
      <c r="BJ3" s="325"/>
      <c r="BK3" s="325"/>
      <c r="BL3" s="325"/>
    </row>
    <row r="4" spans="1:78" s="57" customFormat="1" ht="13.5" customHeight="1" x14ac:dyDescent="0.15">
      <c r="A4" s="125" t="str">
        <f>CONCATENATE("MES: ",NOMBRE!$B$6," - ","( ",NOMBRE!$C$6,NOMBRE!$D$6," )")</f>
        <v>MES:  - (  )</v>
      </c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</row>
    <row r="5" spans="1:78" s="57" customFormat="1" ht="13.5" customHeight="1" x14ac:dyDescent="0.15">
      <c r="A5" s="125" t="str">
        <f>CONCATENATE("AÑO: ",NOMBRE!$B$7)</f>
        <v>AÑO: 2023</v>
      </c>
      <c r="M5" s="326"/>
      <c r="N5" s="2401"/>
      <c r="O5" s="2401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2"/>
      <c r="AL5" s="352"/>
      <c r="AM5" s="352"/>
      <c r="AN5" s="352"/>
      <c r="AO5" s="352"/>
      <c r="BA5" s="352"/>
      <c r="BB5" s="352"/>
      <c r="BC5" s="352"/>
      <c r="BD5" s="352"/>
      <c r="BE5" s="352"/>
      <c r="BF5" s="352"/>
      <c r="BG5" s="352"/>
      <c r="BH5" s="352"/>
      <c r="BI5" s="352"/>
      <c r="BJ5" s="340"/>
      <c r="BK5" s="325"/>
      <c r="BL5" s="325"/>
    </row>
    <row r="6" spans="1:78" s="57" customFormat="1" ht="15" customHeight="1" x14ac:dyDescent="0.15">
      <c r="A6" s="125"/>
      <c r="M6" s="326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40"/>
      <c r="AB6" s="340"/>
      <c r="AC6" s="340"/>
      <c r="AD6" s="340"/>
      <c r="AE6" s="340"/>
      <c r="AF6" s="340"/>
      <c r="AG6" s="340"/>
      <c r="AH6" s="340"/>
      <c r="AI6" s="340"/>
      <c r="AJ6" s="340"/>
      <c r="AK6" s="340"/>
      <c r="AL6" s="340"/>
      <c r="AM6" s="340"/>
      <c r="AN6" s="340"/>
      <c r="AO6" s="340"/>
      <c r="BA6" s="340"/>
      <c r="BB6" s="340"/>
      <c r="BC6" s="340"/>
      <c r="BD6" s="340"/>
      <c r="BE6" s="340"/>
      <c r="BF6" s="340"/>
      <c r="BG6" s="340"/>
      <c r="BH6" s="340"/>
      <c r="BI6" s="340"/>
      <c r="BJ6" s="340"/>
      <c r="BK6" s="325"/>
      <c r="BL6" s="325"/>
    </row>
    <row r="7" spans="1:78" ht="27" customHeight="1" x14ac:dyDescent="0.25">
      <c r="A7" s="2402" t="s">
        <v>837</v>
      </c>
      <c r="B7" s="2403"/>
      <c r="C7" s="2403"/>
      <c r="D7" s="2403"/>
      <c r="E7" s="2403"/>
      <c r="F7" s="2403"/>
      <c r="G7" s="2403"/>
      <c r="H7" s="2403"/>
      <c r="I7" s="2403"/>
      <c r="J7" s="2403"/>
      <c r="K7" s="2403"/>
      <c r="L7" s="505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7"/>
      <c r="AB7" s="507"/>
      <c r="AC7" s="507"/>
      <c r="AD7" s="507"/>
      <c r="AE7" s="507"/>
      <c r="AF7" s="507"/>
      <c r="AG7" s="507"/>
      <c r="AH7" s="507"/>
      <c r="AI7" s="507"/>
      <c r="AJ7" s="507"/>
      <c r="AK7" s="507"/>
      <c r="AL7" s="507"/>
      <c r="AM7" s="507"/>
      <c r="AN7" s="507"/>
      <c r="AO7" s="507"/>
      <c r="BA7" s="507"/>
      <c r="BB7" s="507"/>
      <c r="BC7" s="507"/>
      <c r="BD7" s="507"/>
      <c r="BE7" s="507"/>
      <c r="BF7" s="507"/>
      <c r="BG7" s="507"/>
      <c r="BH7" s="507"/>
      <c r="BI7" s="507"/>
      <c r="BJ7" s="334"/>
    </row>
    <row r="8" spans="1:78" ht="31.5" customHeight="1" x14ac:dyDescent="0.25">
      <c r="A8" s="512" t="s">
        <v>861</v>
      </c>
      <c r="B8" s="1359"/>
      <c r="C8" s="1359"/>
      <c r="D8" s="237"/>
      <c r="E8" s="225"/>
      <c r="F8" s="225"/>
      <c r="G8" s="226"/>
      <c r="H8" s="226"/>
      <c r="I8" s="226"/>
      <c r="J8" s="226"/>
      <c r="K8" s="227"/>
      <c r="L8" s="227"/>
      <c r="M8" s="348"/>
    </row>
    <row r="9" spans="1:78" ht="72.75" customHeight="1" x14ac:dyDescent="0.25">
      <c r="A9" s="228" t="s">
        <v>46</v>
      </c>
      <c r="B9" s="309" t="s">
        <v>838</v>
      </c>
      <c r="C9" s="309" t="s">
        <v>839</v>
      </c>
      <c r="D9" s="230"/>
      <c r="E9" s="223"/>
      <c r="F9" s="223"/>
      <c r="G9" s="223"/>
      <c r="H9" s="223"/>
      <c r="I9" s="223"/>
      <c r="J9" s="223"/>
      <c r="BX9" s="224"/>
      <c r="BY9" s="224"/>
      <c r="BZ9" s="224"/>
    </row>
    <row r="10" spans="1:78" s="231" customFormat="1" ht="18.75" customHeight="1" x14ac:dyDescent="0.15">
      <c r="A10" s="238" t="s">
        <v>253</v>
      </c>
      <c r="B10" s="958"/>
      <c r="C10" s="958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6"/>
      <c r="BL10" s="336"/>
      <c r="BX10" s="232"/>
      <c r="BY10" s="232"/>
      <c r="BZ10" s="232"/>
    </row>
    <row r="11" spans="1:78" s="231" customFormat="1" ht="18.75" customHeight="1" x14ac:dyDescent="0.15">
      <c r="A11" s="233" t="s">
        <v>254</v>
      </c>
      <c r="B11" s="958"/>
      <c r="C11" s="958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/>
      <c r="AA11" s="336"/>
      <c r="AB11" s="33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  <c r="AM11" s="336"/>
      <c r="AN11" s="336"/>
      <c r="AO11" s="336"/>
      <c r="BA11" s="343"/>
      <c r="BB11" s="343"/>
      <c r="BC11" s="343"/>
      <c r="BD11" s="343"/>
      <c r="BE11" s="343"/>
      <c r="BF11" s="343"/>
      <c r="BG11" s="343"/>
      <c r="BH11" s="343"/>
      <c r="BI11" s="343"/>
      <c r="BJ11" s="343"/>
      <c r="BK11" s="343"/>
      <c r="BL11" s="343"/>
      <c r="BX11" s="232"/>
      <c r="BY11" s="232"/>
      <c r="BZ11" s="232"/>
    </row>
    <row r="12" spans="1:78" ht="18.75" customHeight="1" x14ac:dyDescent="0.25">
      <c r="A12" s="233" t="s">
        <v>20</v>
      </c>
      <c r="B12" s="958"/>
      <c r="C12" s="958"/>
      <c r="D12" s="223"/>
      <c r="E12" s="223"/>
      <c r="F12" s="223"/>
      <c r="G12" s="223"/>
      <c r="H12" s="223"/>
      <c r="I12" s="223"/>
      <c r="J12" s="223"/>
      <c r="BA12" s="344"/>
      <c r="BB12" s="344"/>
      <c r="BC12" s="344"/>
      <c r="BD12" s="344"/>
      <c r="BE12" s="344"/>
      <c r="BF12" s="344"/>
      <c r="BG12" s="344"/>
      <c r="BH12" s="344"/>
      <c r="BI12" s="344"/>
      <c r="BJ12" s="344"/>
      <c r="BK12" s="344"/>
      <c r="BL12" s="344"/>
      <c r="BX12" s="224"/>
      <c r="BY12" s="224"/>
      <c r="BZ12" s="224"/>
    </row>
    <row r="13" spans="1:78" ht="18.75" customHeight="1" x14ac:dyDescent="0.25">
      <c r="A13" s="233" t="s">
        <v>21</v>
      </c>
      <c r="B13" s="958"/>
      <c r="C13" s="958"/>
      <c r="D13" s="223"/>
      <c r="E13" s="223"/>
      <c r="F13" s="223"/>
      <c r="G13" s="223"/>
      <c r="H13" s="223"/>
      <c r="I13" s="223"/>
      <c r="J13" s="223"/>
      <c r="BA13" s="344"/>
      <c r="BB13" s="344"/>
      <c r="BC13" s="344"/>
      <c r="BD13" s="344"/>
      <c r="BE13" s="344"/>
      <c r="BF13" s="344"/>
      <c r="BG13" s="344"/>
      <c r="BH13" s="344"/>
      <c r="BI13" s="344"/>
      <c r="BJ13" s="344"/>
      <c r="BK13" s="344"/>
      <c r="BL13" s="344"/>
      <c r="BX13" s="224"/>
      <c r="BY13" s="224"/>
      <c r="BZ13" s="224"/>
    </row>
    <row r="14" spans="1:78" ht="18.75" customHeight="1" x14ac:dyDescent="0.25">
      <c r="A14" s="233" t="s">
        <v>22</v>
      </c>
      <c r="B14" s="958"/>
      <c r="C14" s="958"/>
      <c r="D14" s="223"/>
      <c r="E14" s="223"/>
      <c r="F14" s="223"/>
      <c r="G14" s="223"/>
      <c r="H14" s="223"/>
      <c r="I14" s="223"/>
      <c r="J14" s="223"/>
      <c r="BA14" s="344"/>
      <c r="BB14" s="344"/>
      <c r="BC14" s="344"/>
      <c r="BD14" s="344"/>
      <c r="BE14" s="344"/>
      <c r="BF14" s="344"/>
      <c r="BG14" s="344"/>
      <c r="BH14" s="344"/>
      <c r="BI14" s="344"/>
      <c r="BJ14" s="344"/>
      <c r="BK14" s="344"/>
      <c r="BL14" s="344"/>
      <c r="BX14" s="224"/>
      <c r="BY14" s="224"/>
      <c r="BZ14" s="224"/>
    </row>
    <row r="15" spans="1:78" ht="18.75" customHeight="1" x14ac:dyDescent="0.25">
      <c r="A15" s="233" t="s">
        <v>23</v>
      </c>
      <c r="B15" s="958"/>
      <c r="C15" s="958"/>
      <c r="D15" s="223"/>
      <c r="E15" s="223"/>
      <c r="F15" s="223"/>
      <c r="G15" s="223"/>
      <c r="H15" s="223"/>
      <c r="I15" s="223"/>
      <c r="J15" s="223"/>
      <c r="BA15" s="344"/>
      <c r="BB15" s="344"/>
      <c r="BC15" s="344"/>
      <c r="BD15" s="344"/>
      <c r="BE15" s="344"/>
      <c r="BF15" s="344"/>
      <c r="BG15" s="344"/>
      <c r="BH15" s="344"/>
      <c r="BI15" s="344"/>
      <c r="BJ15" s="344"/>
      <c r="BK15" s="344"/>
      <c r="BL15" s="344"/>
      <c r="BX15" s="224"/>
      <c r="BY15" s="224"/>
      <c r="BZ15" s="224"/>
    </row>
    <row r="16" spans="1:78" ht="18.75" customHeight="1" x14ac:dyDescent="0.25">
      <c r="A16" s="233" t="s">
        <v>24</v>
      </c>
      <c r="B16" s="958"/>
      <c r="C16" s="958"/>
      <c r="D16" s="223"/>
      <c r="E16" s="223"/>
      <c r="F16" s="223"/>
      <c r="G16" s="223"/>
      <c r="H16" s="223"/>
      <c r="I16" s="223"/>
      <c r="J16" s="223"/>
      <c r="BA16" s="344"/>
      <c r="BB16" s="344"/>
      <c r="BC16" s="344"/>
      <c r="BD16" s="344"/>
      <c r="BE16" s="344"/>
      <c r="BF16" s="344"/>
      <c r="BG16" s="344"/>
      <c r="BH16" s="344"/>
      <c r="BI16" s="344"/>
      <c r="BJ16" s="344"/>
      <c r="BK16" s="344"/>
      <c r="BL16" s="344"/>
      <c r="BX16" s="224"/>
      <c r="BY16" s="224"/>
      <c r="BZ16" s="224"/>
    </row>
    <row r="17" spans="1:78" ht="18.75" customHeight="1" x14ac:dyDescent="0.25">
      <c r="A17" s="233" t="s">
        <v>208</v>
      </c>
      <c r="B17" s="958"/>
      <c r="C17" s="958"/>
      <c r="D17" s="223"/>
      <c r="E17" s="223"/>
      <c r="F17" s="223"/>
      <c r="G17" s="223"/>
      <c r="H17" s="223"/>
      <c r="I17" s="223"/>
      <c r="J17" s="223"/>
      <c r="BA17" s="344"/>
      <c r="BB17" s="344"/>
      <c r="BC17" s="344"/>
      <c r="BD17" s="344"/>
      <c r="BE17" s="344"/>
      <c r="BF17" s="344"/>
      <c r="BG17" s="344"/>
      <c r="BH17" s="344"/>
      <c r="BI17" s="344"/>
      <c r="BJ17" s="344"/>
      <c r="BK17" s="344"/>
      <c r="BL17" s="344"/>
      <c r="BX17" s="224"/>
      <c r="BY17" s="224"/>
      <c r="BZ17" s="224"/>
    </row>
    <row r="18" spans="1:78" ht="18.75" customHeight="1" x14ac:dyDescent="0.25">
      <c r="A18" s="233" t="s">
        <v>209</v>
      </c>
      <c r="B18" s="958"/>
      <c r="C18" s="958"/>
      <c r="D18" s="223"/>
      <c r="E18" s="223"/>
      <c r="F18" s="223"/>
      <c r="G18" s="223"/>
      <c r="H18" s="223"/>
      <c r="I18" s="223"/>
      <c r="J18" s="223"/>
      <c r="BA18" s="344"/>
      <c r="BB18" s="344"/>
      <c r="BC18" s="344"/>
      <c r="BD18" s="344"/>
      <c r="BE18" s="344"/>
      <c r="BF18" s="344"/>
      <c r="BG18" s="344"/>
      <c r="BH18" s="344"/>
      <c r="BI18" s="344"/>
      <c r="BJ18" s="344"/>
      <c r="BK18" s="344"/>
      <c r="BL18" s="344"/>
      <c r="BX18" s="224"/>
      <c r="BY18" s="224"/>
      <c r="BZ18" s="224"/>
    </row>
    <row r="19" spans="1:78" ht="18.75" customHeight="1" x14ac:dyDescent="0.25">
      <c r="A19" s="233" t="s">
        <v>181</v>
      </c>
      <c r="B19" s="958"/>
      <c r="C19" s="958"/>
      <c r="D19" s="223"/>
      <c r="E19" s="223"/>
      <c r="F19" s="223"/>
      <c r="G19" s="223"/>
      <c r="H19" s="223"/>
      <c r="I19" s="223"/>
      <c r="J19" s="223"/>
      <c r="BA19" s="344"/>
      <c r="BB19" s="344"/>
      <c r="BC19" s="344"/>
      <c r="BD19" s="344"/>
      <c r="BE19" s="344"/>
      <c r="BF19" s="344"/>
      <c r="BG19" s="344"/>
      <c r="BH19" s="344"/>
      <c r="BI19" s="344"/>
      <c r="BJ19" s="344"/>
      <c r="BK19" s="344"/>
      <c r="BL19" s="344"/>
      <c r="BX19" s="224"/>
      <c r="BY19" s="224"/>
      <c r="BZ19" s="224"/>
    </row>
    <row r="20" spans="1:78" ht="18.75" customHeight="1" x14ac:dyDescent="0.25">
      <c r="A20" s="233" t="s">
        <v>182</v>
      </c>
      <c r="B20" s="958"/>
      <c r="C20" s="958"/>
      <c r="D20" s="223"/>
      <c r="E20" s="223"/>
      <c r="F20" s="223"/>
      <c r="G20" s="223"/>
      <c r="H20" s="223"/>
      <c r="I20" s="223"/>
      <c r="J20" s="223"/>
      <c r="BA20" s="344"/>
      <c r="BB20" s="344"/>
      <c r="BC20" s="344"/>
      <c r="BD20" s="344"/>
      <c r="BE20" s="344"/>
      <c r="BF20" s="344"/>
      <c r="BG20" s="344"/>
      <c r="BH20" s="344"/>
      <c r="BI20" s="344"/>
      <c r="BJ20" s="344"/>
      <c r="BK20" s="344"/>
      <c r="BL20" s="344"/>
      <c r="BX20" s="224"/>
      <c r="BY20" s="224"/>
      <c r="BZ20" s="224"/>
    </row>
    <row r="21" spans="1:78" ht="18.75" customHeight="1" x14ac:dyDescent="0.25">
      <c r="A21" s="233" t="s">
        <v>183</v>
      </c>
      <c r="B21" s="958"/>
      <c r="C21" s="958"/>
      <c r="D21" s="223"/>
      <c r="E21" s="223"/>
      <c r="F21" s="223"/>
      <c r="G21" s="223"/>
      <c r="H21" s="223"/>
      <c r="I21" s="223"/>
      <c r="J21" s="223"/>
      <c r="BA21" s="344"/>
      <c r="BB21" s="344"/>
      <c r="BC21" s="344"/>
      <c r="BD21" s="344"/>
      <c r="BE21" s="344"/>
      <c r="BF21" s="344"/>
      <c r="BG21" s="344"/>
      <c r="BH21" s="344"/>
      <c r="BI21" s="344"/>
      <c r="BJ21" s="344"/>
      <c r="BK21" s="344"/>
      <c r="BL21" s="344"/>
      <c r="BX21" s="224"/>
      <c r="BY21" s="224"/>
      <c r="BZ21" s="224"/>
    </row>
    <row r="22" spans="1:78" ht="18.75" customHeight="1" x14ac:dyDescent="0.25">
      <c r="A22" s="233" t="s">
        <v>195</v>
      </c>
      <c r="B22" s="958"/>
      <c r="C22" s="958"/>
      <c r="D22" s="223"/>
      <c r="E22" s="223"/>
      <c r="F22" s="223"/>
      <c r="G22" s="223"/>
      <c r="H22" s="223"/>
      <c r="I22" s="223"/>
      <c r="J22" s="223"/>
      <c r="BA22" s="344"/>
      <c r="BB22" s="344"/>
      <c r="BC22" s="344"/>
      <c r="BD22" s="344"/>
      <c r="BE22" s="344"/>
      <c r="BF22" s="344"/>
      <c r="BG22" s="344"/>
      <c r="BH22" s="344"/>
      <c r="BI22" s="344"/>
      <c r="BJ22" s="344"/>
      <c r="BK22" s="344"/>
      <c r="BL22" s="344"/>
      <c r="BX22" s="224"/>
      <c r="BY22" s="224"/>
      <c r="BZ22" s="224"/>
    </row>
    <row r="23" spans="1:78" ht="15.75" customHeight="1" x14ac:dyDescent="0.25">
      <c r="A23" s="234" t="s">
        <v>13</v>
      </c>
      <c r="B23" s="235">
        <f>SUM(B10:B22)</f>
        <v>0</v>
      </c>
      <c r="C23" s="235">
        <f>SUM(C10:C22)</f>
        <v>0</v>
      </c>
      <c r="D23" s="236"/>
      <c r="E23" s="236"/>
      <c r="F23" s="223"/>
      <c r="G23" s="223"/>
      <c r="H23" s="223"/>
      <c r="I23" s="223"/>
      <c r="J23" s="223"/>
      <c r="BA23" s="344"/>
      <c r="BB23" s="344"/>
      <c r="BC23" s="344"/>
      <c r="BD23" s="344"/>
      <c r="BE23" s="344"/>
      <c r="BF23" s="344"/>
      <c r="BG23" s="344"/>
      <c r="BH23" s="344"/>
      <c r="BI23" s="344"/>
      <c r="BJ23" s="344"/>
      <c r="BK23" s="344"/>
      <c r="BL23" s="344"/>
      <c r="BX23" s="224"/>
      <c r="BY23" s="224"/>
      <c r="BZ23" s="224"/>
    </row>
    <row r="24" spans="1:78" ht="15.75" customHeight="1" x14ac:dyDescent="0.25">
      <c r="A24" s="2400" t="s">
        <v>255</v>
      </c>
      <c r="B24" s="2400"/>
      <c r="C24" s="2400"/>
      <c r="D24" s="237"/>
      <c r="E24" s="237"/>
      <c r="F24" s="237"/>
      <c r="G24" s="237"/>
      <c r="H24" s="236"/>
      <c r="I24" s="236"/>
      <c r="J24" s="223"/>
      <c r="BA24" s="344"/>
      <c r="BB24" s="344"/>
      <c r="BC24" s="344"/>
      <c r="BD24" s="344"/>
      <c r="BE24" s="344"/>
      <c r="BF24" s="344"/>
      <c r="BG24" s="344"/>
      <c r="BH24" s="344"/>
      <c r="BI24" s="344"/>
      <c r="BJ24" s="344"/>
      <c r="BK24" s="344"/>
      <c r="BL24" s="344"/>
    </row>
    <row r="25" spans="1:78" ht="43.5" customHeight="1" x14ac:dyDescent="0.25">
      <c r="A25" s="2404" t="s">
        <v>720</v>
      </c>
      <c r="B25" s="2404"/>
      <c r="C25" s="2404"/>
      <c r="D25" s="2404"/>
      <c r="E25" s="2404"/>
      <c r="F25" s="2404"/>
      <c r="G25" s="2404"/>
      <c r="H25" s="2404"/>
      <c r="I25" s="2404"/>
      <c r="J25" s="2404"/>
      <c r="K25" s="2404"/>
      <c r="L25" s="508"/>
      <c r="M25" s="509"/>
      <c r="N25" s="509"/>
      <c r="O25" s="509"/>
      <c r="P25" s="509"/>
      <c r="Q25" s="509"/>
      <c r="R25" s="509"/>
      <c r="S25" s="509"/>
      <c r="T25" s="509"/>
      <c r="U25" s="509"/>
      <c r="V25" s="509"/>
      <c r="W25" s="509"/>
      <c r="X25" s="509"/>
      <c r="Y25" s="509"/>
      <c r="Z25" s="509"/>
      <c r="AA25" s="510"/>
      <c r="AB25" s="510"/>
      <c r="AC25" s="510"/>
      <c r="AD25" s="510"/>
      <c r="AE25" s="510"/>
      <c r="AF25" s="510"/>
      <c r="AG25" s="510"/>
      <c r="AH25" s="510"/>
      <c r="AI25" s="510"/>
      <c r="AJ25" s="510"/>
      <c r="AK25" s="510"/>
      <c r="AL25" s="510"/>
      <c r="AM25" s="510"/>
      <c r="AN25" s="510"/>
      <c r="AO25" s="510"/>
      <c r="BA25" s="511"/>
      <c r="BB25" s="511"/>
      <c r="BC25" s="511"/>
      <c r="BD25" s="511"/>
      <c r="BE25" s="511"/>
      <c r="BF25" s="511"/>
      <c r="BG25" s="511"/>
      <c r="BH25" s="511"/>
      <c r="BI25" s="511"/>
      <c r="BJ25" s="511"/>
      <c r="BK25" s="344"/>
      <c r="BL25" s="344"/>
    </row>
    <row r="26" spans="1:78" ht="18" customHeight="1" x14ac:dyDescent="0.25">
      <c r="A26" s="2381" t="s">
        <v>526</v>
      </c>
      <c r="B26" s="2382" t="s">
        <v>256</v>
      </c>
      <c r="C26" s="2396"/>
      <c r="D26" s="2396"/>
      <c r="E26" s="2396"/>
      <c r="F26" s="2396"/>
      <c r="G26" s="2396"/>
      <c r="H26" s="2396"/>
      <c r="I26" s="2396"/>
      <c r="J26" s="2396"/>
      <c r="K26" s="2396"/>
      <c r="L26" s="2397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BA26" s="345"/>
      <c r="BB26" s="345"/>
      <c r="BC26" s="345"/>
      <c r="BD26" s="345"/>
      <c r="BE26" s="345"/>
      <c r="BF26" s="345"/>
      <c r="BG26" s="345"/>
      <c r="BH26" s="345"/>
      <c r="BI26" s="345"/>
      <c r="BJ26" s="345"/>
      <c r="BK26" s="346"/>
      <c r="BL26" s="346"/>
    </row>
    <row r="27" spans="1:78" ht="23.25" customHeight="1" x14ac:dyDescent="0.25">
      <c r="A27" s="1916"/>
      <c r="B27" s="2398" t="s">
        <v>13</v>
      </c>
      <c r="C27" s="2399" t="s">
        <v>257</v>
      </c>
      <c r="D27" s="2381" t="s">
        <v>258</v>
      </c>
      <c r="E27" s="2381"/>
      <c r="F27" s="2382" t="s">
        <v>259</v>
      </c>
      <c r="G27" s="2396"/>
      <c r="H27" s="2396"/>
      <c r="I27" s="2396"/>
      <c r="J27" s="2396"/>
      <c r="K27" s="2405"/>
      <c r="L27" s="2406" t="s">
        <v>606</v>
      </c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BA27" s="345"/>
      <c r="BB27" s="345"/>
      <c r="BC27" s="345"/>
      <c r="BD27" s="345"/>
      <c r="BE27" s="345"/>
      <c r="BF27" s="345"/>
      <c r="BG27" s="345"/>
      <c r="BH27" s="345"/>
      <c r="BI27" s="345"/>
      <c r="BJ27" s="345"/>
      <c r="BK27" s="346"/>
      <c r="BL27" s="346"/>
    </row>
    <row r="28" spans="1:78" ht="24.75" customHeight="1" x14ac:dyDescent="0.25">
      <c r="A28" s="1916"/>
      <c r="B28" s="2386"/>
      <c r="C28" s="2388"/>
      <c r="D28" s="309" t="s">
        <v>260</v>
      </c>
      <c r="E28" s="1558" t="s">
        <v>261</v>
      </c>
      <c r="F28" s="1556" t="s">
        <v>262</v>
      </c>
      <c r="G28" s="1556" t="s">
        <v>263</v>
      </c>
      <c r="H28" s="1556" t="s">
        <v>264</v>
      </c>
      <c r="I28" s="1556" t="s">
        <v>265</v>
      </c>
      <c r="J28" s="1556" t="s">
        <v>266</v>
      </c>
      <c r="K28" s="1557" t="s">
        <v>267</v>
      </c>
      <c r="L28" s="2407"/>
      <c r="BA28" s="344"/>
      <c r="BB28" s="344"/>
      <c r="BC28" s="344"/>
      <c r="BD28" s="344"/>
      <c r="BE28" s="344"/>
      <c r="BF28" s="344"/>
      <c r="BG28" s="344"/>
      <c r="BH28" s="344"/>
      <c r="BI28" s="344"/>
      <c r="BJ28" s="344"/>
      <c r="BK28" s="344"/>
      <c r="BL28" s="344"/>
    </row>
    <row r="29" spans="1:78" ht="17.25" customHeight="1" x14ac:dyDescent="0.25">
      <c r="A29" s="238" t="s">
        <v>253</v>
      </c>
      <c r="B29" s="959">
        <f>SUM(C29:K29)</f>
        <v>0</v>
      </c>
      <c r="C29" s="958"/>
      <c r="D29" s="960"/>
      <c r="E29" s="958"/>
      <c r="F29" s="960"/>
      <c r="G29" s="960"/>
      <c r="H29" s="960"/>
      <c r="I29" s="960"/>
      <c r="J29" s="960"/>
      <c r="K29" s="1017"/>
      <c r="L29" s="1020"/>
      <c r="BA29" s="344"/>
      <c r="BB29" s="344"/>
      <c r="BC29" s="344"/>
      <c r="BD29" s="344"/>
      <c r="BE29" s="344"/>
      <c r="BF29" s="344"/>
      <c r="BG29" s="344"/>
      <c r="BH29" s="344"/>
      <c r="BI29" s="344"/>
      <c r="BJ29" s="344"/>
      <c r="BK29" s="344"/>
      <c r="BL29" s="344"/>
    </row>
    <row r="30" spans="1:78" ht="17.25" customHeight="1" x14ac:dyDescent="0.25">
      <c r="A30" s="233" t="s">
        <v>254</v>
      </c>
      <c r="B30" s="959">
        <f t="shared" ref="B30:B41" si="0">SUM(C30:K30)</f>
        <v>0</v>
      </c>
      <c r="C30" s="958"/>
      <c r="D30" s="960"/>
      <c r="E30" s="958"/>
      <c r="F30" s="960"/>
      <c r="G30" s="960"/>
      <c r="H30" s="960"/>
      <c r="I30" s="960"/>
      <c r="J30" s="960"/>
      <c r="K30" s="1017"/>
      <c r="L30" s="958"/>
      <c r="BA30" s="344"/>
      <c r="BB30" s="344"/>
      <c r="BC30" s="344"/>
      <c r="BD30" s="344"/>
      <c r="BE30" s="344"/>
      <c r="BF30" s="344"/>
      <c r="BG30" s="344"/>
      <c r="BH30" s="344"/>
      <c r="BI30" s="344"/>
      <c r="BJ30" s="344"/>
      <c r="BK30" s="344"/>
      <c r="BL30" s="344"/>
    </row>
    <row r="31" spans="1:78" ht="17.25" customHeight="1" x14ac:dyDescent="0.25">
      <c r="A31" s="233" t="s">
        <v>20</v>
      </c>
      <c r="B31" s="959">
        <f t="shared" si="0"/>
        <v>0</v>
      </c>
      <c r="C31" s="958"/>
      <c r="D31" s="960"/>
      <c r="E31" s="958"/>
      <c r="F31" s="960"/>
      <c r="G31" s="960"/>
      <c r="H31" s="960"/>
      <c r="I31" s="960"/>
      <c r="J31" s="960"/>
      <c r="K31" s="1017"/>
      <c r="L31" s="958"/>
      <c r="BA31" s="344"/>
      <c r="BB31" s="344"/>
      <c r="BC31" s="344"/>
      <c r="BD31" s="344"/>
      <c r="BE31" s="344"/>
      <c r="BF31" s="344"/>
      <c r="BG31" s="344"/>
      <c r="BH31" s="344"/>
      <c r="BI31" s="344"/>
      <c r="BJ31" s="344"/>
      <c r="BK31" s="344"/>
      <c r="BL31" s="344"/>
    </row>
    <row r="32" spans="1:78" ht="17.25" customHeight="1" x14ac:dyDescent="0.25">
      <c r="A32" s="233" t="s">
        <v>21</v>
      </c>
      <c r="B32" s="959">
        <f t="shared" si="0"/>
        <v>0</v>
      </c>
      <c r="C32" s="958"/>
      <c r="D32" s="960"/>
      <c r="E32" s="958"/>
      <c r="F32" s="960"/>
      <c r="G32" s="960"/>
      <c r="H32" s="960"/>
      <c r="I32" s="960"/>
      <c r="J32" s="960"/>
      <c r="K32" s="1017"/>
      <c r="L32" s="958"/>
      <c r="BA32" s="344"/>
      <c r="BB32" s="344"/>
      <c r="BC32" s="344"/>
      <c r="BD32" s="344"/>
      <c r="BE32" s="344"/>
      <c r="BF32" s="344"/>
      <c r="BG32" s="344"/>
      <c r="BH32" s="344"/>
      <c r="BI32" s="344"/>
      <c r="BJ32" s="344"/>
      <c r="BK32" s="344"/>
      <c r="BL32" s="344"/>
    </row>
    <row r="33" spans="1:78" ht="17.25" customHeight="1" x14ac:dyDescent="0.25">
      <c r="A33" s="233" t="s">
        <v>22</v>
      </c>
      <c r="B33" s="959">
        <f t="shared" si="0"/>
        <v>0</v>
      </c>
      <c r="C33" s="958"/>
      <c r="D33" s="960"/>
      <c r="E33" s="958"/>
      <c r="F33" s="960"/>
      <c r="G33" s="960"/>
      <c r="H33" s="960"/>
      <c r="I33" s="960"/>
      <c r="J33" s="960"/>
      <c r="K33" s="1017"/>
      <c r="L33" s="958"/>
      <c r="BA33" s="344"/>
      <c r="BB33" s="344"/>
      <c r="BC33" s="344"/>
      <c r="BD33" s="344"/>
      <c r="BE33" s="344"/>
      <c r="BF33" s="344"/>
      <c r="BG33" s="344"/>
      <c r="BH33" s="344"/>
      <c r="BI33" s="344"/>
      <c r="BJ33" s="344"/>
      <c r="BK33" s="344"/>
      <c r="BL33" s="344"/>
    </row>
    <row r="34" spans="1:78" ht="17.25" customHeight="1" x14ac:dyDescent="0.25">
      <c r="A34" s="233" t="s">
        <v>23</v>
      </c>
      <c r="B34" s="959">
        <f t="shared" si="0"/>
        <v>0</v>
      </c>
      <c r="C34" s="958"/>
      <c r="D34" s="960"/>
      <c r="E34" s="958"/>
      <c r="F34" s="960"/>
      <c r="G34" s="960"/>
      <c r="H34" s="960"/>
      <c r="I34" s="960"/>
      <c r="J34" s="960"/>
      <c r="K34" s="1017"/>
      <c r="L34" s="958"/>
      <c r="BA34" s="344"/>
      <c r="BB34" s="344"/>
      <c r="BC34" s="344"/>
      <c r="BD34" s="344"/>
      <c r="BE34" s="344"/>
      <c r="BF34" s="344"/>
      <c r="BG34" s="344"/>
      <c r="BH34" s="344"/>
      <c r="BI34" s="344"/>
      <c r="BJ34" s="344"/>
      <c r="BK34" s="344"/>
      <c r="BL34" s="344"/>
    </row>
    <row r="35" spans="1:78" ht="17.25" customHeight="1" x14ac:dyDescent="0.25">
      <c r="A35" s="233" t="s">
        <v>24</v>
      </c>
      <c r="B35" s="959">
        <f t="shared" si="0"/>
        <v>0</v>
      </c>
      <c r="C35" s="958"/>
      <c r="D35" s="960"/>
      <c r="E35" s="958"/>
      <c r="F35" s="960"/>
      <c r="G35" s="960"/>
      <c r="H35" s="960"/>
      <c r="I35" s="960"/>
      <c r="J35" s="960"/>
      <c r="K35" s="1017"/>
      <c r="L35" s="958"/>
      <c r="BA35" s="344"/>
      <c r="BB35" s="344"/>
      <c r="BC35" s="344"/>
      <c r="BD35" s="344"/>
      <c r="BE35" s="344"/>
      <c r="BF35" s="344"/>
      <c r="BG35" s="344"/>
      <c r="BH35" s="344"/>
      <c r="BI35" s="344"/>
      <c r="BJ35" s="344"/>
      <c r="BK35" s="344"/>
      <c r="BL35" s="344"/>
    </row>
    <row r="36" spans="1:78" ht="17.25" customHeight="1" x14ac:dyDescent="0.25">
      <c r="A36" s="233" t="s">
        <v>208</v>
      </c>
      <c r="B36" s="959">
        <f t="shared" si="0"/>
        <v>0</v>
      </c>
      <c r="C36" s="958"/>
      <c r="D36" s="960"/>
      <c r="E36" s="958"/>
      <c r="F36" s="960"/>
      <c r="G36" s="960"/>
      <c r="H36" s="960"/>
      <c r="I36" s="960"/>
      <c r="J36" s="960"/>
      <c r="K36" s="1017"/>
      <c r="L36" s="958"/>
      <c r="BA36" s="344"/>
      <c r="BB36" s="344"/>
      <c r="BC36" s="344"/>
      <c r="BD36" s="344"/>
      <c r="BE36" s="344"/>
      <c r="BF36" s="344"/>
      <c r="BG36" s="344"/>
      <c r="BH36" s="344"/>
      <c r="BI36" s="344"/>
      <c r="BJ36" s="344"/>
      <c r="BK36" s="344"/>
      <c r="BL36" s="344"/>
    </row>
    <row r="37" spans="1:78" ht="17.25" customHeight="1" x14ac:dyDescent="0.25">
      <c r="A37" s="233" t="s">
        <v>209</v>
      </c>
      <c r="B37" s="959">
        <f>SUM(C37:K37)</f>
        <v>0</v>
      </c>
      <c r="C37" s="958"/>
      <c r="D37" s="960"/>
      <c r="E37" s="958"/>
      <c r="F37" s="960"/>
      <c r="G37" s="960"/>
      <c r="H37" s="960"/>
      <c r="I37" s="960"/>
      <c r="J37" s="960"/>
      <c r="K37" s="1017"/>
      <c r="L37" s="958"/>
      <c r="BA37" s="344"/>
      <c r="BB37" s="344"/>
      <c r="BC37" s="344"/>
      <c r="BD37" s="344"/>
      <c r="BE37" s="344"/>
      <c r="BF37" s="344"/>
      <c r="BG37" s="344"/>
      <c r="BH37" s="344"/>
      <c r="BI37" s="344"/>
      <c r="BJ37" s="344"/>
      <c r="BK37" s="344"/>
      <c r="BL37" s="344"/>
    </row>
    <row r="38" spans="1:78" ht="17.25" customHeight="1" x14ac:dyDescent="0.25">
      <c r="A38" s="233" t="s">
        <v>181</v>
      </c>
      <c r="B38" s="959">
        <f t="shared" si="0"/>
        <v>0</v>
      </c>
      <c r="C38" s="958"/>
      <c r="D38" s="960"/>
      <c r="E38" s="958"/>
      <c r="F38" s="960"/>
      <c r="G38" s="960"/>
      <c r="H38" s="960"/>
      <c r="I38" s="960"/>
      <c r="J38" s="960"/>
      <c r="K38" s="1017"/>
      <c r="L38" s="958"/>
      <c r="BA38" s="344"/>
      <c r="BB38" s="344"/>
      <c r="BC38" s="344"/>
      <c r="BD38" s="344"/>
      <c r="BE38" s="344"/>
      <c r="BF38" s="344"/>
      <c r="BG38" s="344"/>
      <c r="BH38" s="344"/>
      <c r="BI38" s="344"/>
      <c r="BJ38" s="344"/>
      <c r="BK38" s="344"/>
      <c r="BL38" s="344"/>
    </row>
    <row r="39" spans="1:78" s="310" customFormat="1" ht="17.25" customHeight="1" x14ac:dyDescent="0.15">
      <c r="A39" s="233" t="s">
        <v>182</v>
      </c>
      <c r="B39" s="959">
        <f t="shared" si="0"/>
        <v>0</v>
      </c>
      <c r="C39" s="958"/>
      <c r="D39" s="960"/>
      <c r="E39" s="958"/>
      <c r="F39" s="960"/>
      <c r="G39" s="960"/>
      <c r="H39" s="960"/>
      <c r="I39" s="960"/>
      <c r="J39" s="960"/>
      <c r="K39" s="1017"/>
      <c r="L39" s="958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BW39" s="223"/>
      <c r="BX39" s="223"/>
      <c r="BY39" s="223"/>
      <c r="BZ39" s="223"/>
    </row>
    <row r="40" spans="1:78" s="310" customFormat="1" ht="17.25" customHeight="1" x14ac:dyDescent="0.15">
      <c r="A40" s="233" t="s">
        <v>183</v>
      </c>
      <c r="B40" s="959">
        <f t="shared" si="0"/>
        <v>0</v>
      </c>
      <c r="C40" s="958"/>
      <c r="D40" s="960"/>
      <c r="E40" s="958"/>
      <c r="F40" s="960"/>
      <c r="G40" s="960"/>
      <c r="H40" s="960"/>
      <c r="I40" s="960"/>
      <c r="J40" s="960"/>
      <c r="K40" s="1017"/>
      <c r="L40" s="958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BW40" s="223"/>
      <c r="BX40" s="223"/>
      <c r="BY40" s="223"/>
      <c r="BZ40" s="223"/>
    </row>
    <row r="41" spans="1:78" s="310" customFormat="1" ht="17.25" customHeight="1" x14ac:dyDescent="0.15">
      <c r="A41" s="239" t="s">
        <v>195</v>
      </c>
      <c r="B41" s="961">
        <f t="shared" si="0"/>
        <v>0</v>
      </c>
      <c r="C41" s="962"/>
      <c r="D41" s="963"/>
      <c r="E41" s="962"/>
      <c r="F41" s="963"/>
      <c r="G41" s="963"/>
      <c r="H41" s="963"/>
      <c r="I41" s="963"/>
      <c r="J41" s="963"/>
      <c r="K41" s="1018"/>
      <c r="L41" s="96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35"/>
      <c r="AB41" s="335"/>
      <c r="AC41" s="335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BW41" s="223"/>
      <c r="BX41" s="223"/>
      <c r="BY41" s="223"/>
      <c r="BZ41" s="223"/>
    </row>
    <row r="42" spans="1:78" ht="18.75" customHeight="1" x14ac:dyDescent="0.25">
      <c r="A42" s="242" t="s">
        <v>13</v>
      </c>
      <c r="B42" s="964">
        <f>SUM(C42:K42)</f>
        <v>0</v>
      </c>
      <c r="C42" s="964">
        <f>SUM(C29:C41)</f>
        <v>0</v>
      </c>
      <c r="D42" s="964">
        <f t="shared" ref="D42:K42" si="1">SUM(D29:D41)</f>
        <v>0</v>
      </c>
      <c r="E42" s="965">
        <f t="shared" si="1"/>
        <v>0</v>
      </c>
      <c r="F42" s="964">
        <f t="shared" si="1"/>
        <v>0</v>
      </c>
      <c r="G42" s="964">
        <f t="shared" si="1"/>
        <v>0</v>
      </c>
      <c r="H42" s="964">
        <f t="shared" si="1"/>
        <v>0</v>
      </c>
      <c r="I42" s="964">
        <f t="shared" si="1"/>
        <v>0</v>
      </c>
      <c r="J42" s="964">
        <f t="shared" si="1"/>
        <v>0</v>
      </c>
      <c r="K42" s="1019">
        <f t="shared" si="1"/>
        <v>0</v>
      </c>
      <c r="L42" s="965">
        <f>SUM(L29:L41)</f>
        <v>0</v>
      </c>
      <c r="BA42" s="344"/>
      <c r="BB42" s="344"/>
      <c r="BC42" s="344"/>
      <c r="BD42" s="344"/>
      <c r="BE42" s="344"/>
      <c r="BF42" s="344"/>
      <c r="BG42" s="344"/>
      <c r="BH42" s="344"/>
      <c r="BI42" s="344"/>
      <c r="BJ42" s="344"/>
      <c r="BK42" s="344"/>
      <c r="BL42" s="344"/>
    </row>
    <row r="43" spans="1:78" ht="15.75" customHeight="1" x14ac:dyDescent="0.25">
      <c r="A43" s="2400" t="s">
        <v>255</v>
      </c>
      <c r="B43" s="2400"/>
      <c r="C43" s="2400"/>
      <c r="D43" s="240"/>
      <c r="E43" s="240"/>
      <c r="F43" s="240"/>
      <c r="G43" s="240"/>
      <c r="H43" s="240"/>
      <c r="I43" s="240"/>
      <c r="J43" s="240"/>
      <c r="K43" s="240"/>
      <c r="L43" s="57"/>
      <c r="BA43" s="344"/>
      <c r="BB43" s="344"/>
      <c r="BC43" s="344"/>
      <c r="BD43" s="344"/>
      <c r="BE43" s="344"/>
      <c r="BF43" s="344"/>
      <c r="BG43" s="344"/>
      <c r="BH43" s="344"/>
      <c r="BI43" s="344"/>
      <c r="BJ43" s="344"/>
      <c r="BK43" s="347"/>
      <c r="BL43" s="344"/>
    </row>
    <row r="44" spans="1:78" ht="43.5" customHeight="1" x14ac:dyDescent="0.25">
      <c r="A44" s="2404" t="s">
        <v>721</v>
      </c>
      <c r="B44" s="2404"/>
      <c r="C44" s="2404"/>
      <c r="D44" s="2404"/>
      <c r="E44" s="2404"/>
      <c r="F44" s="2404"/>
      <c r="G44" s="2404"/>
      <c r="H44" s="2404"/>
      <c r="I44" s="2404"/>
      <c r="J44" s="2404"/>
      <c r="K44" s="2404"/>
      <c r="BA44" s="344"/>
      <c r="BB44" s="344"/>
      <c r="BC44" s="344"/>
      <c r="BD44" s="344"/>
      <c r="BE44" s="344"/>
      <c r="BF44" s="344"/>
      <c r="BG44" s="344"/>
      <c r="BH44" s="344"/>
      <c r="BI44" s="344"/>
      <c r="BJ44" s="344"/>
      <c r="BK44" s="344"/>
      <c r="BL44" s="344"/>
    </row>
    <row r="45" spans="1:78" ht="19.5" customHeight="1" x14ac:dyDescent="0.25">
      <c r="A45" s="2381" t="s">
        <v>526</v>
      </c>
      <c r="B45" s="2382" t="s">
        <v>256</v>
      </c>
      <c r="C45" s="2396"/>
      <c r="D45" s="2396"/>
      <c r="E45" s="2396"/>
      <c r="F45" s="2396"/>
      <c r="G45" s="2396"/>
      <c r="H45" s="2396"/>
      <c r="I45" s="2396"/>
      <c r="J45" s="2396"/>
      <c r="K45" s="2396"/>
      <c r="L45" s="2397"/>
      <c r="N45" s="351"/>
      <c r="O45" s="351"/>
      <c r="P45" s="351"/>
      <c r="Q45" s="351"/>
      <c r="R45" s="351"/>
      <c r="S45" s="351"/>
      <c r="T45" s="351"/>
      <c r="U45" s="351"/>
      <c r="V45" s="351"/>
      <c r="W45" s="351"/>
      <c r="X45" s="351"/>
      <c r="Y45" s="351"/>
      <c r="Z45" s="351"/>
      <c r="AA45" s="334"/>
      <c r="AB45" s="334"/>
      <c r="AC45" s="334"/>
      <c r="AD45" s="334"/>
      <c r="AE45" s="334"/>
      <c r="AF45" s="334"/>
      <c r="AG45" s="334"/>
      <c r="AH45" s="334"/>
      <c r="AI45" s="334"/>
      <c r="AJ45" s="334"/>
      <c r="AK45" s="334"/>
      <c r="AL45" s="334"/>
      <c r="AM45" s="334"/>
      <c r="AN45" s="334"/>
      <c r="AO45" s="334"/>
      <c r="BA45" s="346"/>
      <c r="BB45" s="346"/>
      <c r="BC45" s="346"/>
      <c r="BD45" s="346"/>
      <c r="BE45" s="346"/>
      <c r="BF45" s="346"/>
      <c r="BG45" s="346"/>
      <c r="BH45" s="346"/>
      <c r="BI45" s="346"/>
      <c r="BJ45" s="346"/>
      <c r="BK45" s="344"/>
      <c r="BL45" s="344"/>
      <c r="BV45" s="224"/>
      <c r="BW45" s="224"/>
      <c r="BX45" s="224"/>
      <c r="BY45" s="224"/>
    </row>
    <row r="46" spans="1:78" ht="13.5" customHeight="1" x14ac:dyDescent="0.25">
      <c r="A46" s="1916"/>
      <c r="B46" s="2398" t="s">
        <v>13</v>
      </c>
      <c r="C46" s="2399" t="s">
        <v>257</v>
      </c>
      <c r="D46" s="2381" t="s">
        <v>258</v>
      </c>
      <c r="E46" s="2381"/>
      <c r="F46" s="2382" t="s">
        <v>259</v>
      </c>
      <c r="G46" s="2396"/>
      <c r="H46" s="2396"/>
      <c r="I46" s="2396"/>
      <c r="J46" s="2396"/>
      <c r="K46" s="2405"/>
      <c r="L46" s="2406" t="s">
        <v>606</v>
      </c>
      <c r="N46" s="351"/>
      <c r="O46" s="351"/>
      <c r="P46" s="351"/>
      <c r="Q46" s="351"/>
      <c r="R46" s="351"/>
      <c r="S46" s="351"/>
      <c r="T46" s="351"/>
      <c r="U46" s="351"/>
      <c r="V46" s="351"/>
      <c r="W46" s="351"/>
      <c r="X46" s="351"/>
      <c r="Y46" s="351"/>
      <c r="Z46" s="351"/>
      <c r="AA46" s="334"/>
      <c r="AB46" s="334"/>
      <c r="AC46" s="334"/>
      <c r="AD46" s="334"/>
      <c r="AE46" s="334"/>
      <c r="AF46" s="334"/>
      <c r="AG46" s="334"/>
      <c r="AH46" s="334"/>
      <c r="AI46" s="334"/>
      <c r="AJ46" s="334"/>
      <c r="AK46" s="334"/>
      <c r="AL46" s="334"/>
      <c r="AM46" s="334"/>
      <c r="AN46" s="334"/>
      <c r="AO46" s="334"/>
      <c r="BA46" s="346"/>
      <c r="BB46" s="346"/>
      <c r="BC46" s="346"/>
      <c r="BD46" s="346"/>
      <c r="BE46" s="346"/>
      <c r="BF46" s="346"/>
      <c r="BG46" s="346"/>
      <c r="BH46" s="346"/>
      <c r="BI46" s="346"/>
      <c r="BJ46" s="346"/>
      <c r="BK46" s="344"/>
      <c r="BL46" s="344"/>
      <c r="BV46" s="224"/>
      <c r="BW46" s="224"/>
      <c r="BX46" s="224"/>
      <c r="BY46" s="224"/>
    </row>
    <row r="47" spans="1:78" s="222" customFormat="1" ht="21.75" customHeight="1" x14ac:dyDescent="0.15">
      <c r="A47" s="1916"/>
      <c r="B47" s="2386"/>
      <c r="C47" s="2388"/>
      <c r="D47" s="309" t="s">
        <v>260</v>
      </c>
      <c r="E47" s="309" t="s">
        <v>261</v>
      </c>
      <c r="F47" s="1556" t="s">
        <v>262</v>
      </c>
      <c r="G47" s="1556" t="s">
        <v>263</v>
      </c>
      <c r="H47" s="1556" t="s">
        <v>264</v>
      </c>
      <c r="I47" s="1556" t="s">
        <v>265</v>
      </c>
      <c r="J47" s="1556" t="s">
        <v>266</v>
      </c>
      <c r="K47" s="1557" t="s">
        <v>267</v>
      </c>
      <c r="L47" s="2407"/>
      <c r="M47" s="342"/>
      <c r="N47" s="342"/>
      <c r="O47" s="342"/>
      <c r="P47" s="342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35"/>
      <c r="AB47" s="335"/>
      <c r="AC47" s="335"/>
      <c r="AD47" s="335"/>
      <c r="AE47" s="335"/>
      <c r="AF47" s="335"/>
      <c r="AG47" s="335"/>
      <c r="AH47" s="335"/>
      <c r="AI47" s="335"/>
      <c r="AJ47" s="335"/>
      <c r="AK47" s="335"/>
      <c r="AL47" s="335"/>
      <c r="AM47" s="335"/>
      <c r="AN47" s="335"/>
      <c r="AO47" s="335"/>
      <c r="BA47" s="344"/>
      <c r="BB47" s="344"/>
      <c r="BC47" s="344"/>
      <c r="BD47" s="344"/>
      <c r="BE47" s="344"/>
      <c r="BF47" s="344"/>
      <c r="BG47" s="344"/>
      <c r="BH47" s="344"/>
      <c r="BI47" s="344"/>
      <c r="BJ47" s="344"/>
      <c r="BK47" s="346"/>
      <c r="BL47" s="346"/>
      <c r="BV47" s="241"/>
      <c r="BW47" s="241"/>
      <c r="BX47" s="241"/>
      <c r="BY47" s="241"/>
    </row>
    <row r="48" spans="1:78" s="222" customFormat="1" ht="16.5" customHeight="1" x14ac:dyDescent="0.15">
      <c r="A48" s="238" t="s">
        <v>253</v>
      </c>
      <c r="B48" s="959">
        <f>SUM(C48:K48)</f>
        <v>0</v>
      </c>
      <c r="C48" s="966"/>
      <c r="D48" s="966"/>
      <c r="E48" s="966"/>
      <c r="F48" s="966"/>
      <c r="G48" s="966"/>
      <c r="H48" s="966"/>
      <c r="I48" s="966"/>
      <c r="J48" s="966"/>
      <c r="K48" s="1016"/>
      <c r="L48" s="1015"/>
      <c r="M48" s="342"/>
      <c r="N48" s="342"/>
      <c r="O48" s="342"/>
      <c r="P48" s="342"/>
      <c r="Q48" s="342"/>
      <c r="R48" s="342"/>
      <c r="S48" s="342"/>
      <c r="T48" s="342"/>
      <c r="U48" s="342"/>
      <c r="V48" s="342"/>
      <c r="W48" s="342"/>
      <c r="X48" s="342"/>
      <c r="Y48" s="342"/>
      <c r="Z48" s="342"/>
      <c r="AA48" s="335"/>
      <c r="AB48" s="335"/>
      <c r="AC48" s="335"/>
      <c r="AD48" s="335"/>
      <c r="AE48" s="335"/>
      <c r="AF48" s="335"/>
      <c r="AG48" s="335"/>
      <c r="AH48" s="335"/>
      <c r="AI48" s="335"/>
      <c r="AJ48" s="335"/>
      <c r="AK48" s="335"/>
      <c r="AL48" s="335"/>
      <c r="AM48" s="335"/>
      <c r="AN48" s="335"/>
      <c r="AO48" s="335"/>
      <c r="BA48" s="344"/>
      <c r="BB48" s="344"/>
      <c r="BC48" s="344"/>
      <c r="BD48" s="344"/>
      <c r="BE48" s="344"/>
      <c r="BF48" s="344"/>
      <c r="BG48" s="344"/>
      <c r="BH48" s="344"/>
      <c r="BI48" s="344"/>
      <c r="BJ48" s="344"/>
      <c r="BK48" s="346"/>
      <c r="BL48" s="346"/>
      <c r="BV48" s="241"/>
      <c r="BW48" s="241"/>
      <c r="BX48" s="241"/>
      <c r="BY48" s="241"/>
    </row>
    <row r="49" spans="1:78" s="222" customFormat="1" ht="16.5" customHeight="1" x14ac:dyDescent="0.15">
      <c r="A49" s="233" t="s">
        <v>254</v>
      </c>
      <c r="B49" s="967">
        <f>SUM(C49:K49)</f>
        <v>0</v>
      </c>
      <c r="C49" s="960"/>
      <c r="D49" s="960"/>
      <c r="E49" s="960"/>
      <c r="F49" s="960"/>
      <c r="G49" s="960"/>
      <c r="H49" s="960"/>
      <c r="I49" s="960"/>
      <c r="J49" s="960"/>
      <c r="K49" s="1017"/>
      <c r="L49" s="958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342"/>
      <c r="AA49" s="335"/>
      <c r="AB49" s="335"/>
      <c r="AC49" s="335"/>
      <c r="AD49" s="335"/>
      <c r="AE49" s="335"/>
      <c r="AF49" s="335"/>
      <c r="AG49" s="335"/>
      <c r="AH49" s="335"/>
      <c r="AI49" s="335"/>
      <c r="AJ49" s="335"/>
      <c r="AK49" s="335"/>
      <c r="AL49" s="335"/>
      <c r="AM49" s="335"/>
      <c r="AN49" s="335"/>
      <c r="AO49" s="335"/>
      <c r="BA49" s="344"/>
      <c r="BB49" s="344"/>
      <c r="BC49" s="344"/>
      <c r="BD49" s="344"/>
      <c r="BE49" s="344"/>
      <c r="BF49" s="344"/>
      <c r="BG49" s="344"/>
      <c r="BH49" s="344"/>
      <c r="BI49" s="344"/>
      <c r="BJ49" s="344"/>
      <c r="BK49" s="346"/>
      <c r="BL49" s="346"/>
      <c r="BV49" s="241"/>
      <c r="BW49" s="241"/>
      <c r="BX49" s="241"/>
      <c r="BY49" s="241"/>
    </row>
    <row r="50" spans="1:78" s="222" customFormat="1" ht="16.5" customHeight="1" x14ac:dyDescent="0.15">
      <c r="A50" s="233" t="s">
        <v>20</v>
      </c>
      <c r="B50" s="959">
        <f t="shared" ref="B50:B57" si="2">SUM(C50:K50)</f>
        <v>0</v>
      </c>
      <c r="C50" s="960"/>
      <c r="D50" s="960"/>
      <c r="E50" s="960"/>
      <c r="F50" s="960"/>
      <c r="G50" s="960"/>
      <c r="H50" s="960"/>
      <c r="I50" s="960"/>
      <c r="J50" s="960"/>
      <c r="K50" s="1017"/>
      <c r="L50" s="958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35"/>
      <c r="AB50" s="335"/>
      <c r="AC50" s="335"/>
      <c r="AD50" s="335"/>
      <c r="AE50" s="335"/>
      <c r="AF50" s="335"/>
      <c r="AG50" s="335"/>
      <c r="AH50" s="335"/>
      <c r="AI50" s="335"/>
      <c r="AJ50" s="335"/>
      <c r="AK50" s="335"/>
      <c r="AL50" s="335"/>
      <c r="AM50" s="335"/>
      <c r="AN50" s="335"/>
      <c r="AO50" s="335"/>
      <c r="BA50" s="344"/>
      <c r="BB50" s="344"/>
      <c r="BC50" s="344"/>
      <c r="BD50" s="344"/>
      <c r="BE50" s="344"/>
      <c r="BF50" s="344"/>
      <c r="BG50" s="344"/>
      <c r="BH50" s="344"/>
      <c r="BI50" s="344"/>
      <c r="BJ50" s="344"/>
      <c r="BK50" s="346"/>
      <c r="BL50" s="346"/>
      <c r="BV50" s="241"/>
      <c r="BW50" s="241"/>
      <c r="BX50" s="241"/>
      <c r="BY50" s="241"/>
    </row>
    <row r="51" spans="1:78" s="222" customFormat="1" ht="16.5" customHeight="1" x14ac:dyDescent="0.15">
      <c r="A51" s="233" t="s">
        <v>21</v>
      </c>
      <c r="B51" s="967">
        <f t="shared" si="2"/>
        <v>0</v>
      </c>
      <c r="C51" s="960"/>
      <c r="D51" s="960"/>
      <c r="E51" s="960"/>
      <c r="F51" s="960"/>
      <c r="G51" s="960"/>
      <c r="H51" s="960"/>
      <c r="I51" s="960"/>
      <c r="J51" s="960"/>
      <c r="K51" s="1017"/>
      <c r="L51" s="958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2"/>
      <c r="Z51" s="342"/>
      <c r="AA51" s="335"/>
      <c r="AB51" s="335"/>
      <c r="AC51" s="335"/>
      <c r="AD51" s="335"/>
      <c r="AE51" s="335"/>
      <c r="AF51" s="335"/>
      <c r="AG51" s="335"/>
      <c r="AH51" s="335"/>
      <c r="AI51" s="335"/>
      <c r="AJ51" s="335"/>
      <c r="AK51" s="335"/>
      <c r="AL51" s="335"/>
      <c r="AM51" s="335"/>
      <c r="AN51" s="335"/>
      <c r="AO51" s="335"/>
      <c r="BA51" s="344"/>
      <c r="BB51" s="344"/>
      <c r="BC51" s="344"/>
      <c r="BD51" s="344"/>
      <c r="BE51" s="344"/>
      <c r="BF51" s="344"/>
      <c r="BG51" s="344"/>
      <c r="BH51" s="344"/>
      <c r="BI51" s="344"/>
      <c r="BJ51" s="344"/>
      <c r="BK51" s="346"/>
      <c r="BL51" s="346"/>
      <c r="BV51" s="241"/>
      <c r="BW51" s="241"/>
      <c r="BX51" s="241"/>
      <c r="BY51" s="241"/>
    </row>
    <row r="52" spans="1:78" s="222" customFormat="1" ht="16.5" customHeight="1" x14ac:dyDescent="0.15">
      <c r="A52" s="233" t="s">
        <v>22</v>
      </c>
      <c r="B52" s="967">
        <f t="shared" si="2"/>
        <v>0</v>
      </c>
      <c r="C52" s="960"/>
      <c r="D52" s="960"/>
      <c r="E52" s="960"/>
      <c r="F52" s="960"/>
      <c r="G52" s="960"/>
      <c r="H52" s="960"/>
      <c r="I52" s="960"/>
      <c r="J52" s="960"/>
      <c r="K52" s="1017"/>
      <c r="L52" s="958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35"/>
      <c r="AB52" s="335"/>
      <c r="AC52" s="335"/>
      <c r="AD52" s="335"/>
      <c r="AE52" s="335"/>
      <c r="AF52" s="335"/>
      <c r="AG52" s="335"/>
      <c r="AH52" s="335"/>
      <c r="AI52" s="335"/>
      <c r="AJ52" s="335"/>
      <c r="AK52" s="335"/>
      <c r="AL52" s="335"/>
      <c r="AM52" s="335"/>
      <c r="AN52" s="335"/>
      <c r="AO52" s="335"/>
      <c r="BA52" s="344"/>
      <c r="BB52" s="344"/>
      <c r="BC52" s="344"/>
      <c r="BD52" s="344"/>
      <c r="BE52" s="344"/>
      <c r="BF52" s="344"/>
      <c r="BG52" s="344"/>
      <c r="BH52" s="344"/>
      <c r="BI52" s="344"/>
      <c r="BJ52" s="344"/>
      <c r="BK52" s="346"/>
      <c r="BL52" s="346"/>
      <c r="BV52" s="241"/>
      <c r="BW52" s="241"/>
      <c r="BX52" s="241"/>
      <c r="BY52" s="241"/>
    </row>
    <row r="53" spans="1:78" s="222" customFormat="1" ht="16.5" customHeight="1" x14ac:dyDescent="0.15">
      <c r="A53" s="233" t="s">
        <v>23</v>
      </c>
      <c r="B53" s="967">
        <f t="shared" si="2"/>
        <v>0</v>
      </c>
      <c r="C53" s="960"/>
      <c r="D53" s="960"/>
      <c r="E53" s="960"/>
      <c r="F53" s="960"/>
      <c r="G53" s="960"/>
      <c r="H53" s="960"/>
      <c r="I53" s="960"/>
      <c r="J53" s="960"/>
      <c r="K53" s="1017"/>
      <c r="L53" s="958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2"/>
      <c r="X53" s="342"/>
      <c r="Y53" s="342"/>
      <c r="Z53" s="342"/>
      <c r="AA53" s="335"/>
      <c r="AB53" s="335"/>
      <c r="AC53" s="335"/>
      <c r="AD53" s="335"/>
      <c r="AE53" s="335"/>
      <c r="AF53" s="335"/>
      <c r="AG53" s="335"/>
      <c r="AH53" s="335"/>
      <c r="AI53" s="335"/>
      <c r="AJ53" s="335"/>
      <c r="AK53" s="335"/>
      <c r="AL53" s="335"/>
      <c r="AM53" s="335"/>
      <c r="AN53" s="335"/>
      <c r="AO53" s="335"/>
      <c r="BA53" s="344"/>
      <c r="BB53" s="344"/>
      <c r="BC53" s="344"/>
      <c r="BD53" s="344"/>
      <c r="BE53" s="344"/>
      <c r="BF53" s="344"/>
      <c r="BG53" s="344"/>
      <c r="BH53" s="344"/>
      <c r="BI53" s="344"/>
      <c r="BJ53" s="344"/>
      <c r="BK53" s="346"/>
      <c r="BL53" s="346"/>
      <c r="BV53" s="241"/>
      <c r="BW53" s="241"/>
      <c r="BX53" s="241"/>
      <c r="BY53" s="241"/>
    </row>
    <row r="54" spans="1:78" s="222" customFormat="1" ht="16.5" customHeight="1" x14ac:dyDescent="0.15">
      <c r="A54" s="233" t="s">
        <v>24</v>
      </c>
      <c r="B54" s="967">
        <f t="shared" si="2"/>
        <v>0</v>
      </c>
      <c r="C54" s="960"/>
      <c r="D54" s="960"/>
      <c r="E54" s="960"/>
      <c r="F54" s="960"/>
      <c r="G54" s="960"/>
      <c r="H54" s="960"/>
      <c r="I54" s="960"/>
      <c r="J54" s="960"/>
      <c r="K54" s="1017"/>
      <c r="L54" s="958"/>
      <c r="M54" s="342"/>
      <c r="N54" s="342"/>
      <c r="O54" s="342"/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35"/>
      <c r="AB54" s="335"/>
      <c r="AC54" s="335"/>
      <c r="AD54" s="335"/>
      <c r="AE54" s="335"/>
      <c r="AF54" s="335"/>
      <c r="AG54" s="335"/>
      <c r="AH54" s="335"/>
      <c r="AI54" s="335"/>
      <c r="AJ54" s="335"/>
      <c r="AK54" s="335"/>
      <c r="AL54" s="335"/>
      <c r="AM54" s="335"/>
      <c r="AN54" s="335"/>
      <c r="AO54" s="335"/>
      <c r="BA54" s="344"/>
      <c r="BB54" s="344"/>
      <c r="BC54" s="344"/>
      <c r="BD54" s="344"/>
      <c r="BE54" s="344"/>
      <c r="BF54" s="344"/>
      <c r="BG54" s="344"/>
      <c r="BH54" s="344"/>
      <c r="BI54" s="344"/>
      <c r="BJ54" s="344"/>
      <c r="BK54" s="346"/>
      <c r="BL54" s="346"/>
      <c r="BV54" s="241"/>
      <c r="BW54" s="241"/>
      <c r="BX54" s="241"/>
      <c r="BY54" s="241"/>
    </row>
    <row r="55" spans="1:78" s="222" customFormat="1" ht="16.5" customHeight="1" x14ac:dyDescent="0.15">
      <c r="A55" s="233" t="s">
        <v>208</v>
      </c>
      <c r="B55" s="967">
        <f t="shared" si="2"/>
        <v>0</v>
      </c>
      <c r="C55" s="960"/>
      <c r="D55" s="960"/>
      <c r="E55" s="960"/>
      <c r="F55" s="960"/>
      <c r="G55" s="960"/>
      <c r="H55" s="960"/>
      <c r="I55" s="960"/>
      <c r="J55" s="960"/>
      <c r="K55" s="1017"/>
      <c r="L55" s="958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  <c r="Z55" s="342"/>
      <c r="AA55" s="335"/>
      <c r="AB55" s="335"/>
      <c r="AC55" s="335"/>
      <c r="AD55" s="335"/>
      <c r="AE55" s="335"/>
      <c r="AF55" s="335"/>
      <c r="AG55" s="335"/>
      <c r="AH55" s="335"/>
      <c r="AI55" s="335"/>
      <c r="AJ55" s="335"/>
      <c r="AK55" s="335"/>
      <c r="AL55" s="335"/>
      <c r="AM55" s="335"/>
      <c r="AN55" s="335"/>
      <c r="AO55" s="335"/>
      <c r="BA55" s="344"/>
      <c r="BB55" s="344"/>
      <c r="BC55" s="344"/>
      <c r="BD55" s="344"/>
      <c r="BE55" s="344"/>
      <c r="BF55" s="344"/>
      <c r="BG55" s="344"/>
      <c r="BH55" s="344"/>
      <c r="BI55" s="344"/>
      <c r="BJ55" s="347"/>
      <c r="BK55" s="346"/>
      <c r="BL55" s="346"/>
      <c r="BV55" s="241"/>
      <c r="BW55" s="241"/>
      <c r="BX55" s="241"/>
      <c r="BY55" s="241"/>
    </row>
    <row r="56" spans="1:78" s="222" customFormat="1" ht="16.5" customHeight="1" x14ac:dyDescent="0.15">
      <c r="A56" s="233" t="s">
        <v>209</v>
      </c>
      <c r="B56" s="967">
        <f t="shared" si="2"/>
        <v>0</v>
      </c>
      <c r="C56" s="960"/>
      <c r="D56" s="960"/>
      <c r="E56" s="960"/>
      <c r="F56" s="960"/>
      <c r="G56" s="960"/>
      <c r="H56" s="960"/>
      <c r="I56" s="960"/>
      <c r="J56" s="960"/>
      <c r="K56" s="1017"/>
      <c r="L56" s="958"/>
      <c r="M56" s="342"/>
      <c r="N56" s="342"/>
      <c r="O56" s="342"/>
      <c r="P56" s="342"/>
      <c r="Q56" s="342"/>
      <c r="R56" s="342"/>
      <c r="S56" s="342"/>
      <c r="T56" s="342"/>
      <c r="U56" s="342"/>
      <c r="V56" s="342"/>
      <c r="W56" s="342"/>
      <c r="X56" s="342"/>
      <c r="Y56" s="342"/>
      <c r="Z56" s="342"/>
      <c r="AA56" s="335"/>
      <c r="AB56" s="335"/>
      <c r="AC56" s="335"/>
      <c r="AD56" s="335"/>
      <c r="AE56" s="335"/>
      <c r="AF56" s="335"/>
      <c r="AG56" s="335"/>
      <c r="AH56" s="335"/>
      <c r="AI56" s="335"/>
      <c r="AJ56" s="335"/>
      <c r="AK56" s="335"/>
      <c r="AL56" s="335"/>
      <c r="AM56" s="335"/>
      <c r="AN56" s="335"/>
      <c r="AO56" s="335"/>
      <c r="BA56" s="344"/>
      <c r="BB56" s="344"/>
      <c r="BC56" s="344"/>
      <c r="BD56" s="344"/>
      <c r="BE56" s="344"/>
      <c r="BF56" s="344"/>
      <c r="BG56" s="344"/>
      <c r="BH56" s="344"/>
      <c r="BI56" s="344"/>
      <c r="BJ56" s="344"/>
      <c r="BK56" s="344"/>
      <c r="BL56" s="344"/>
    </row>
    <row r="57" spans="1:78" ht="16.5" customHeight="1" x14ac:dyDescent="0.25">
      <c r="A57" s="233" t="s">
        <v>181</v>
      </c>
      <c r="B57" s="967">
        <f t="shared" si="2"/>
        <v>0</v>
      </c>
      <c r="C57" s="960"/>
      <c r="D57" s="960"/>
      <c r="E57" s="960"/>
      <c r="F57" s="960"/>
      <c r="G57" s="960"/>
      <c r="H57" s="960"/>
      <c r="I57" s="960"/>
      <c r="J57" s="960"/>
      <c r="K57" s="1017"/>
      <c r="L57" s="958"/>
      <c r="BA57" s="344"/>
      <c r="BB57" s="344"/>
      <c r="BC57" s="344"/>
      <c r="BD57" s="344"/>
      <c r="BE57" s="344"/>
      <c r="BF57" s="344"/>
      <c r="BG57" s="344"/>
      <c r="BH57" s="344"/>
      <c r="BI57" s="344"/>
      <c r="BJ57" s="344"/>
      <c r="BK57" s="344"/>
      <c r="BL57" s="344"/>
    </row>
    <row r="58" spans="1:78" s="310" customFormat="1" ht="16.5" customHeight="1" x14ac:dyDescent="0.15">
      <c r="A58" s="233" t="s">
        <v>182</v>
      </c>
      <c r="B58" s="967">
        <f>SUM(C58:K58)</f>
        <v>0</v>
      </c>
      <c r="C58" s="960"/>
      <c r="D58" s="960"/>
      <c r="E58" s="960"/>
      <c r="F58" s="960"/>
      <c r="G58" s="960"/>
      <c r="H58" s="960"/>
      <c r="I58" s="960"/>
      <c r="J58" s="960"/>
      <c r="K58" s="1017"/>
      <c r="L58" s="958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2"/>
      <c r="Z58" s="342"/>
      <c r="AA58" s="335"/>
      <c r="AB58" s="335"/>
      <c r="AC58" s="335"/>
      <c r="AD58" s="335"/>
      <c r="AE58" s="335"/>
      <c r="AF58" s="335"/>
      <c r="AG58" s="335"/>
      <c r="AH58" s="335"/>
      <c r="AI58" s="335"/>
      <c r="AJ58" s="335"/>
      <c r="AK58" s="335"/>
      <c r="AL58" s="335"/>
      <c r="AM58" s="335"/>
      <c r="AN58" s="335"/>
      <c r="AO58" s="335"/>
      <c r="BA58" s="344"/>
      <c r="BB58" s="344"/>
      <c r="BC58" s="344"/>
      <c r="BD58" s="344"/>
      <c r="BE58" s="344"/>
      <c r="BF58" s="344"/>
      <c r="BG58" s="344"/>
      <c r="BH58" s="344"/>
      <c r="BI58" s="344"/>
      <c r="BJ58" s="344"/>
      <c r="BK58" s="344"/>
      <c r="BL58" s="344"/>
      <c r="BM58" s="223"/>
      <c r="BN58" s="223"/>
      <c r="BO58" s="223"/>
      <c r="BP58" s="223"/>
      <c r="BQ58" s="223"/>
      <c r="BR58" s="223"/>
      <c r="BS58" s="223"/>
      <c r="BT58" s="223"/>
      <c r="BU58" s="223"/>
      <c r="BV58" s="223"/>
      <c r="BW58" s="223"/>
      <c r="BX58" s="223"/>
      <c r="BY58" s="223"/>
      <c r="BZ58" s="223"/>
    </row>
    <row r="59" spans="1:78" s="310" customFormat="1" ht="16.5" customHeight="1" x14ac:dyDescent="0.15">
      <c r="A59" s="233" t="s">
        <v>183</v>
      </c>
      <c r="B59" s="967">
        <f>SUM(C59:K59)</f>
        <v>0</v>
      </c>
      <c r="C59" s="960"/>
      <c r="D59" s="960"/>
      <c r="E59" s="960"/>
      <c r="F59" s="960"/>
      <c r="G59" s="960"/>
      <c r="H59" s="960"/>
      <c r="I59" s="960"/>
      <c r="J59" s="960"/>
      <c r="K59" s="1017"/>
      <c r="L59" s="958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2"/>
      <c r="AA59" s="335"/>
      <c r="AB59" s="335"/>
      <c r="AC59" s="335"/>
      <c r="AD59" s="335"/>
      <c r="AE59" s="335"/>
      <c r="AF59" s="335"/>
      <c r="AG59" s="335"/>
      <c r="AH59" s="335"/>
      <c r="AI59" s="335"/>
      <c r="AJ59" s="335"/>
      <c r="AK59" s="335"/>
      <c r="AL59" s="335"/>
      <c r="AM59" s="335"/>
      <c r="AN59" s="335"/>
      <c r="AO59" s="335"/>
      <c r="BA59" s="344"/>
      <c r="BB59" s="344"/>
      <c r="BC59" s="344"/>
      <c r="BD59" s="344"/>
      <c r="BE59" s="344"/>
      <c r="BF59" s="344"/>
      <c r="BG59" s="344"/>
      <c r="BH59" s="344"/>
      <c r="BI59" s="344"/>
      <c r="BJ59" s="344"/>
      <c r="BK59" s="344"/>
      <c r="BL59" s="344"/>
      <c r="BM59" s="223"/>
      <c r="BN59" s="223"/>
      <c r="BO59" s="223"/>
      <c r="BP59" s="223"/>
      <c r="BQ59" s="223"/>
      <c r="BR59" s="223"/>
      <c r="BS59" s="223"/>
      <c r="BT59" s="223"/>
      <c r="BU59" s="223"/>
      <c r="BV59" s="223"/>
      <c r="BW59" s="223"/>
      <c r="BX59" s="223"/>
      <c r="BY59" s="223"/>
      <c r="BZ59" s="223"/>
    </row>
    <row r="60" spans="1:78" s="310" customFormat="1" ht="16.5" customHeight="1" x14ac:dyDescent="0.15">
      <c r="A60" s="239" t="s">
        <v>195</v>
      </c>
      <c r="B60" s="961">
        <f>SUM(C60:K60)</f>
        <v>0</v>
      </c>
      <c r="C60" s="963"/>
      <c r="D60" s="963"/>
      <c r="E60" s="963"/>
      <c r="F60" s="963"/>
      <c r="G60" s="963"/>
      <c r="H60" s="963"/>
      <c r="I60" s="963"/>
      <c r="J60" s="963"/>
      <c r="K60" s="1018"/>
      <c r="L60" s="962"/>
      <c r="M60" s="342"/>
      <c r="N60" s="342"/>
      <c r="O60" s="342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35"/>
      <c r="AB60" s="335"/>
      <c r="AC60" s="335"/>
      <c r="AD60" s="335"/>
      <c r="AE60" s="335"/>
      <c r="AF60" s="335"/>
      <c r="AG60" s="335"/>
      <c r="AH60" s="335"/>
      <c r="AI60" s="335"/>
      <c r="AJ60" s="335"/>
      <c r="AK60" s="335"/>
      <c r="AL60" s="335"/>
      <c r="AM60" s="335"/>
      <c r="AN60" s="335"/>
      <c r="AO60" s="335"/>
      <c r="BA60" s="344"/>
      <c r="BB60" s="344"/>
      <c r="BC60" s="344"/>
      <c r="BD60" s="344"/>
      <c r="BE60" s="344"/>
      <c r="BF60" s="344"/>
      <c r="BG60" s="344"/>
      <c r="BH60" s="344"/>
      <c r="BI60" s="344"/>
      <c r="BJ60" s="344"/>
      <c r="BK60" s="344"/>
      <c r="BL60" s="344"/>
      <c r="BM60" s="223"/>
      <c r="BN60" s="223"/>
      <c r="BO60" s="223"/>
      <c r="BP60" s="223"/>
      <c r="BQ60" s="223"/>
      <c r="BR60" s="223"/>
      <c r="BS60" s="223"/>
      <c r="BT60" s="223"/>
      <c r="BU60" s="223"/>
      <c r="BV60" s="223"/>
      <c r="BW60" s="223"/>
      <c r="BX60" s="223"/>
      <c r="BY60" s="223"/>
      <c r="BZ60" s="223"/>
    </row>
    <row r="61" spans="1:78" ht="20.25" customHeight="1" x14ac:dyDescent="0.25">
      <c r="A61" s="242" t="s">
        <v>13</v>
      </c>
      <c r="B61" s="964">
        <f>SUM(C61:K61)</f>
        <v>0</v>
      </c>
      <c r="C61" s="964">
        <f>SUM(C48:C60)</f>
        <v>0</v>
      </c>
      <c r="D61" s="964">
        <f>SUM(D48:D60)</f>
        <v>0</v>
      </c>
      <c r="E61" s="964">
        <f t="shared" ref="E61:K61" si="3">SUM(E48:E60)</f>
        <v>0</v>
      </c>
      <c r="F61" s="964">
        <f t="shared" si="3"/>
        <v>0</v>
      </c>
      <c r="G61" s="964">
        <f t="shared" si="3"/>
        <v>0</v>
      </c>
      <c r="H61" s="964">
        <f t="shared" si="3"/>
        <v>0</v>
      </c>
      <c r="I61" s="964">
        <f t="shared" si="3"/>
        <v>0</v>
      </c>
      <c r="J61" s="964">
        <f t="shared" si="3"/>
        <v>0</v>
      </c>
      <c r="K61" s="1019">
        <f t="shared" si="3"/>
        <v>0</v>
      </c>
      <c r="L61" s="965">
        <f>SUM(L48:L60)</f>
        <v>0</v>
      </c>
      <c r="BA61" s="344"/>
      <c r="BB61" s="344"/>
      <c r="BC61" s="344"/>
      <c r="BD61" s="344"/>
      <c r="BE61" s="344"/>
      <c r="BF61" s="344"/>
      <c r="BG61" s="344"/>
      <c r="BH61" s="344"/>
      <c r="BI61" s="344"/>
      <c r="BJ61" s="344"/>
      <c r="BK61" s="344"/>
      <c r="BL61" s="344"/>
    </row>
    <row r="62" spans="1:78" s="222" customFormat="1" ht="15.75" customHeight="1" x14ac:dyDescent="0.15">
      <c r="A62" s="243" t="s">
        <v>255</v>
      </c>
      <c r="B62" s="240"/>
      <c r="C62" s="240"/>
      <c r="D62" s="240"/>
      <c r="E62" s="240"/>
      <c r="F62" s="240"/>
      <c r="G62" s="240"/>
      <c r="H62" s="240"/>
      <c r="I62" s="240"/>
      <c r="J62" s="240"/>
      <c r="K62" s="240"/>
      <c r="L62" s="223"/>
      <c r="M62" s="342"/>
      <c r="N62" s="342"/>
      <c r="O62" s="342"/>
      <c r="P62" s="342"/>
      <c r="Q62" s="342"/>
      <c r="R62" s="342"/>
      <c r="S62" s="342"/>
      <c r="T62" s="342"/>
      <c r="U62" s="342"/>
      <c r="V62" s="342"/>
      <c r="W62" s="342"/>
      <c r="X62" s="342"/>
      <c r="Y62" s="342"/>
      <c r="Z62" s="342"/>
      <c r="AA62" s="335"/>
      <c r="AB62" s="335"/>
      <c r="AC62" s="335"/>
      <c r="AD62" s="335"/>
      <c r="AE62" s="335"/>
      <c r="AF62" s="335"/>
      <c r="AG62" s="335"/>
      <c r="AH62" s="335"/>
      <c r="AI62" s="335"/>
      <c r="AJ62" s="335"/>
      <c r="AK62" s="335"/>
      <c r="AL62" s="335"/>
      <c r="AM62" s="335"/>
      <c r="AN62" s="335"/>
      <c r="AO62" s="335"/>
      <c r="BA62" s="344"/>
      <c r="BB62" s="344"/>
      <c r="BC62" s="344"/>
      <c r="BD62" s="344"/>
      <c r="BE62" s="344"/>
      <c r="BF62" s="344"/>
      <c r="BG62" s="344"/>
      <c r="BH62" s="344"/>
      <c r="BI62" s="344"/>
      <c r="BJ62" s="344"/>
      <c r="BK62" s="346"/>
      <c r="BL62" s="346"/>
      <c r="BV62" s="241"/>
      <c r="BW62" s="241"/>
      <c r="BX62" s="241"/>
      <c r="BY62" s="241"/>
    </row>
    <row r="63" spans="1:78" s="222" customFormat="1" ht="18" customHeight="1" x14ac:dyDescent="0.2">
      <c r="A63" s="512" t="s">
        <v>862</v>
      </c>
      <c r="B63" s="244"/>
      <c r="C63" s="244"/>
      <c r="D63" s="244"/>
      <c r="E63" s="244"/>
      <c r="F63" s="244"/>
      <c r="G63" s="244"/>
      <c r="H63" s="244"/>
      <c r="I63" s="244"/>
      <c r="J63" s="244"/>
      <c r="K63" s="223"/>
      <c r="L63" s="223"/>
      <c r="M63" s="342"/>
      <c r="N63" s="342"/>
      <c r="O63" s="342"/>
      <c r="P63" s="342"/>
      <c r="Q63" s="342"/>
      <c r="R63" s="342"/>
      <c r="S63" s="342"/>
      <c r="T63" s="342"/>
      <c r="U63" s="342"/>
      <c r="V63" s="342"/>
      <c r="W63" s="342"/>
      <c r="X63" s="342"/>
      <c r="Y63" s="342"/>
      <c r="Z63" s="342"/>
      <c r="AA63" s="335"/>
      <c r="AB63" s="335"/>
      <c r="AC63" s="335"/>
      <c r="AD63" s="335"/>
      <c r="AE63" s="335"/>
      <c r="AF63" s="335"/>
      <c r="AG63" s="335"/>
      <c r="AH63" s="335"/>
      <c r="AI63" s="335"/>
      <c r="AJ63" s="335"/>
      <c r="AK63" s="335"/>
      <c r="AL63" s="335"/>
      <c r="AM63" s="335"/>
      <c r="AN63" s="335"/>
      <c r="AO63" s="335"/>
      <c r="BA63" s="344"/>
      <c r="BB63" s="344"/>
      <c r="BC63" s="344"/>
      <c r="BD63" s="344"/>
      <c r="BE63" s="344"/>
      <c r="BF63" s="344"/>
      <c r="BG63" s="344"/>
      <c r="BH63" s="344"/>
      <c r="BI63" s="344"/>
      <c r="BJ63" s="344"/>
      <c r="BK63" s="346"/>
      <c r="BL63" s="346"/>
      <c r="BV63" s="241"/>
      <c r="BW63" s="241"/>
      <c r="BX63" s="241"/>
      <c r="BY63" s="241"/>
    </row>
    <row r="64" spans="1:78" s="222" customFormat="1" ht="64.5" customHeight="1" x14ac:dyDescent="0.15">
      <c r="A64" s="229" t="s">
        <v>526</v>
      </c>
      <c r="B64" s="309" t="s">
        <v>863</v>
      </c>
      <c r="C64" s="244"/>
      <c r="D64" s="223"/>
      <c r="E64" s="223"/>
      <c r="F64" s="223"/>
      <c r="G64" s="223"/>
      <c r="H64" s="223"/>
      <c r="I64" s="223"/>
      <c r="J64" s="223"/>
      <c r="K64" s="223"/>
      <c r="L64" s="223"/>
      <c r="M64" s="342"/>
      <c r="N64" s="342"/>
      <c r="O64" s="342"/>
      <c r="P64" s="342"/>
      <c r="Q64" s="342"/>
      <c r="R64" s="342"/>
      <c r="S64" s="342"/>
      <c r="T64" s="342"/>
      <c r="U64" s="342"/>
      <c r="V64" s="342"/>
      <c r="W64" s="342"/>
      <c r="X64" s="342"/>
      <c r="Y64" s="342"/>
      <c r="Z64" s="342"/>
      <c r="AA64" s="335"/>
      <c r="AB64" s="335"/>
      <c r="AC64" s="335"/>
      <c r="AD64" s="335"/>
      <c r="AE64" s="335"/>
      <c r="AF64" s="335"/>
      <c r="AG64" s="335"/>
      <c r="AH64" s="335"/>
      <c r="AI64" s="335"/>
      <c r="AJ64" s="335"/>
      <c r="AK64" s="335"/>
      <c r="AL64" s="335"/>
      <c r="AM64" s="335"/>
      <c r="AN64" s="335"/>
      <c r="AO64" s="335"/>
      <c r="BA64" s="344"/>
      <c r="BB64" s="344"/>
      <c r="BC64" s="344"/>
      <c r="BD64" s="344"/>
      <c r="BE64" s="344"/>
      <c r="BF64" s="344"/>
      <c r="BG64" s="344"/>
      <c r="BH64" s="344"/>
      <c r="BI64" s="344"/>
      <c r="BJ64" s="344"/>
      <c r="BK64" s="346"/>
      <c r="BL64" s="346"/>
      <c r="BV64" s="241"/>
      <c r="BW64" s="241"/>
      <c r="BX64" s="241"/>
      <c r="BY64" s="241"/>
    </row>
    <row r="65" spans="1:77" s="222" customFormat="1" ht="21" customHeight="1" x14ac:dyDescent="0.15">
      <c r="A65" s="245" t="s">
        <v>268</v>
      </c>
      <c r="B65" s="958"/>
      <c r="C65" s="244"/>
      <c r="D65" s="223"/>
      <c r="E65" s="223"/>
      <c r="F65" s="223"/>
      <c r="G65" s="223"/>
      <c r="H65" s="223"/>
      <c r="I65" s="223"/>
      <c r="J65" s="223"/>
      <c r="K65" s="223"/>
      <c r="L65" s="223"/>
      <c r="M65" s="342"/>
      <c r="N65" s="342"/>
      <c r="O65" s="342"/>
      <c r="P65" s="342"/>
      <c r="Q65" s="342"/>
      <c r="R65" s="342"/>
      <c r="S65" s="342"/>
      <c r="T65" s="342"/>
      <c r="U65" s="342"/>
      <c r="V65" s="342"/>
      <c r="W65" s="342"/>
      <c r="X65" s="342"/>
      <c r="Y65" s="342"/>
      <c r="Z65" s="342"/>
      <c r="AA65" s="335"/>
      <c r="AB65" s="335"/>
      <c r="AC65" s="335"/>
      <c r="AD65" s="335"/>
      <c r="AE65" s="335"/>
      <c r="AF65" s="335"/>
      <c r="AG65" s="335"/>
      <c r="AH65" s="335"/>
      <c r="AI65" s="335"/>
      <c r="AJ65" s="335"/>
      <c r="AK65" s="335"/>
      <c r="AL65" s="335"/>
      <c r="AM65" s="335"/>
      <c r="AN65" s="335"/>
      <c r="AO65" s="335"/>
      <c r="BA65" s="344"/>
      <c r="BB65" s="344"/>
      <c r="BC65" s="344"/>
      <c r="BD65" s="344"/>
      <c r="BE65" s="344"/>
      <c r="BF65" s="344"/>
      <c r="BG65" s="344"/>
      <c r="BH65" s="344"/>
      <c r="BI65" s="344"/>
      <c r="BJ65" s="344"/>
      <c r="BK65" s="346"/>
      <c r="BL65" s="346"/>
      <c r="BV65" s="241"/>
      <c r="BW65" s="241"/>
      <c r="BX65" s="241"/>
      <c r="BY65" s="241"/>
    </row>
    <row r="66" spans="1:77" s="222" customFormat="1" ht="21" customHeight="1" x14ac:dyDescent="0.15">
      <c r="A66" s="246" t="s">
        <v>269</v>
      </c>
      <c r="B66" s="958"/>
      <c r="C66" s="244"/>
      <c r="D66" s="223"/>
      <c r="E66" s="223"/>
      <c r="F66" s="223"/>
      <c r="G66" s="223"/>
      <c r="H66" s="223"/>
      <c r="I66" s="223"/>
      <c r="J66" s="223"/>
      <c r="K66" s="223"/>
      <c r="L66" s="223"/>
      <c r="M66" s="342"/>
      <c r="N66" s="342"/>
      <c r="O66" s="342"/>
      <c r="P66" s="342"/>
      <c r="Q66" s="342"/>
      <c r="R66" s="342"/>
      <c r="S66" s="342"/>
      <c r="T66" s="342"/>
      <c r="U66" s="342"/>
      <c r="V66" s="342"/>
      <c r="W66" s="342"/>
      <c r="X66" s="342"/>
      <c r="Y66" s="342"/>
      <c r="Z66" s="342"/>
      <c r="AA66" s="335"/>
      <c r="AB66" s="335"/>
      <c r="AC66" s="335"/>
      <c r="AD66" s="335"/>
      <c r="AE66" s="335"/>
      <c r="AF66" s="335"/>
      <c r="AG66" s="335"/>
      <c r="AH66" s="335"/>
      <c r="AI66" s="335"/>
      <c r="AJ66" s="335"/>
      <c r="AK66" s="335"/>
      <c r="AL66" s="335"/>
      <c r="AM66" s="335"/>
      <c r="AN66" s="335"/>
      <c r="AO66" s="335"/>
      <c r="BA66" s="344"/>
      <c r="BB66" s="344"/>
      <c r="BC66" s="344"/>
      <c r="BD66" s="344"/>
      <c r="BE66" s="344"/>
      <c r="BF66" s="344"/>
      <c r="BG66" s="344"/>
      <c r="BH66" s="344"/>
      <c r="BI66" s="344"/>
      <c r="BJ66" s="344"/>
      <c r="BK66" s="346"/>
      <c r="BL66" s="346"/>
      <c r="BV66" s="241"/>
      <c r="BW66" s="241"/>
      <c r="BX66" s="241"/>
      <c r="BY66" s="241"/>
    </row>
    <row r="67" spans="1:77" s="222" customFormat="1" ht="21" customHeight="1" x14ac:dyDescent="0.15">
      <c r="A67" s="233" t="s">
        <v>24</v>
      </c>
      <c r="B67" s="958"/>
      <c r="C67" s="244"/>
      <c r="D67" s="223"/>
      <c r="E67" s="223"/>
      <c r="F67" s="223"/>
      <c r="G67" s="223"/>
      <c r="H67" s="223"/>
      <c r="I67" s="223"/>
      <c r="J67" s="223"/>
      <c r="K67" s="223"/>
      <c r="L67" s="223"/>
      <c r="M67" s="342"/>
      <c r="N67" s="342"/>
      <c r="O67" s="342"/>
      <c r="P67" s="342"/>
      <c r="Q67" s="342"/>
      <c r="R67" s="342"/>
      <c r="S67" s="342"/>
      <c r="T67" s="342"/>
      <c r="U67" s="342"/>
      <c r="V67" s="342"/>
      <c r="W67" s="342"/>
      <c r="X67" s="342"/>
      <c r="Y67" s="342"/>
      <c r="Z67" s="342"/>
      <c r="AA67" s="335"/>
      <c r="AB67" s="335"/>
      <c r="AC67" s="335"/>
      <c r="AD67" s="335"/>
      <c r="AE67" s="335"/>
      <c r="AF67" s="335"/>
      <c r="AG67" s="335"/>
      <c r="AH67" s="335"/>
      <c r="AI67" s="335"/>
      <c r="AJ67" s="335"/>
      <c r="AK67" s="335"/>
      <c r="AL67" s="335"/>
      <c r="AM67" s="335"/>
      <c r="AN67" s="335"/>
      <c r="AO67" s="335"/>
      <c r="BA67" s="344"/>
      <c r="BB67" s="344"/>
      <c r="BC67" s="344"/>
      <c r="BD67" s="344"/>
      <c r="BE67" s="344"/>
      <c r="BF67" s="344"/>
      <c r="BG67" s="344"/>
      <c r="BH67" s="344"/>
      <c r="BI67" s="344"/>
      <c r="BJ67" s="344"/>
      <c r="BK67" s="346"/>
      <c r="BL67" s="346"/>
      <c r="BV67" s="241"/>
      <c r="BW67" s="241"/>
      <c r="BX67" s="241"/>
      <c r="BY67" s="241"/>
    </row>
    <row r="68" spans="1:77" s="222" customFormat="1" ht="21" customHeight="1" x14ac:dyDescent="0.15">
      <c r="A68" s="233" t="s">
        <v>208</v>
      </c>
      <c r="B68" s="958"/>
      <c r="C68" s="244"/>
      <c r="D68" s="223"/>
      <c r="E68" s="223"/>
      <c r="F68" s="223"/>
      <c r="G68" s="223"/>
      <c r="H68" s="223"/>
      <c r="I68" s="223"/>
      <c r="J68" s="223"/>
      <c r="K68" s="223"/>
      <c r="L68" s="223"/>
      <c r="M68" s="342"/>
      <c r="N68" s="342"/>
      <c r="O68" s="342"/>
      <c r="P68" s="342"/>
      <c r="Q68" s="342"/>
      <c r="R68" s="342"/>
      <c r="S68" s="342"/>
      <c r="T68" s="342"/>
      <c r="U68" s="342"/>
      <c r="V68" s="342"/>
      <c r="W68" s="342"/>
      <c r="X68" s="342"/>
      <c r="Y68" s="342"/>
      <c r="Z68" s="342"/>
      <c r="AA68" s="335"/>
      <c r="AB68" s="335"/>
      <c r="AC68" s="335"/>
      <c r="AD68" s="335"/>
      <c r="AE68" s="335"/>
      <c r="AF68" s="335"/>
      <c r="AG68" s="335"/>
      <c r="AH68" s="335"/>
      <c r="AI68" s="335"/>
      <c r="AJ68" s="335"/>
      <c r="AK68" s="335"/>
      <c r="AL68" s="335"/>
      <c r="AM68" s="335"/>
      <c r="AN68" s="335"/>
      <c r="AO68" s="335"/>
      <c r="BA68" s="344"/>
      <c r="BB68" s="344"/>
      <c r="BC68" s="344"/>
      <c r="BD68" s="344"/>
      <c r="BE68" s="344"/>
      <c r="BF68" s="344"/>
      <c r="BG68" s="344"/>
      <c r="BH68" s="344"/>
      <c r="BI68" s="344"/>
      <c r="BJ68" s="344"/>
      <c r="BK68" s="346"/>
      <c r="BL68" s="346"/>
      <c r="BV68" s="241"/>
      <c r="BW68" s="241"/>
      <c r="BX68" s="241"/>
      <c r="BY68" s="241"/>
    </row>
    <row r="69" spans="1:77" s="222" customFormat="1" ht="21" customHeight="1" x14ac:dyDescent="0.15">
      <c r="A69" s="233" t="s">
        <v>209</v>
      </c>
      <c r="B69" s="958"/>
      <c r="C69" s="244"/>
      <c r="D69" s="223"/>
      <c r="E69" s="223"/>
      <c r="F69" s="223"/>
      <c r="G69" s="223"/>
      <c r="H69" s="223"/>
      <c r="I69" s="223"/>
      <c r="J69" s="223"/>
      <c r="K69" s="223"/>
      <c r="L69" s="223"/>
      <c r="M69" s="342"/>
      <c r="N69" s="342"/>
      <c r="O69" s="342"/>
      <c r="P69" s="342"/>
      <c r="Q69" s="342"/>
      <c r="R69" s="342"/>
      <c r="S69" s="342"/>
      <c r="T69" s="342"/>
      <c r="U69" s="342"/>
      <c r="V69" s="342"/>
      <c r="W69" s="342"/>
      <c r="X69" s="342"/>
      <c r="Y69" s="342"/>
      <c r="Z69" s="342"/>
      <c r="AA69" s="335"/>
      <c r="AB69" s="335"/>
      <c r="AC69" s="335"/>
      <c r="AD69" s="335"/>
      <c r="AE69" s="335"/>
      <c r="AF69" s="335"/>
      <c r="AG69" s="335"/>
      <c r="AH69" s="335"/>
      <c r="AI69" s="335"/>
      <c r="AJ69" s="335"/>
      <c r="AK69" s="335"/>
      <c r="AL69" s="335"/>
      <c r="AM69" s="335"/>
      <c r="AN69" s="335"/>
      <c r="AO69" s="335"/>
      <c r="BA69" s="344"/>
      <c r="BB69" s="344"/>
      <c r="BC69" s="344"/>
      <c r="BD69" s="344"/>
      <c r="BE69" s="344"/>
      <c r="BF69" s="344"/>
      <c r="BG69" s="344"/>
      <c r="BH69" s="344"/>
      <c r="BI69" s="344"/>
      <c r="BJ69" s="344"/>
      <c r="BK69" s="346"/>
      <c r="BL69" s="385"/>
    </row>
    <row r="70" spans="1:77" s="222" customFormat="1" ht="21" customHeight="1" x14ac:dyDescent="0.15">
      <c r="A70" s="233" t="s">
        <v>181</v>
      </c>
      <c r="B70" s="958"/>
      <c r="C70" s="244"/>
      <c r="D70" s="223"/>
      <c r="E70" s="223"/>
      <c r="F70" s="223"/>
      <c r="G70" s="223"/>
      <c r="H70" s="223"/>
      <c r="I70" s="223"/>
      <c r="J70" s="223"/>
      <c r="K70" s="223"/>
      <c r="L70" s="223"/>
      <c r="M70" s="342"/>
      <c r="N70" s="342"/>
      <c r="O70" s="342"/>
      <c r="P70" s="342"/>
      <c r="Q70" s="342"/>
      <c r="R70" s="342"/>
      <c r="S70" s="342"/>
      <c r="T70" s="342"/>
      <c r="U70" s="342"/>
      <c r="V70" s="342"/>
      <c r="W70" s="342"/>
      <c r="X70" s="342"/>
      <c r="Y70" s="342"/>
      <c r="Z70" s="342"/>
      <c r="AA70" s="335"/>
      <c r="AB70" s="335"/>
      <c r="AC70" s="335"/>
      <c r="AD70" s="335"/>
      <c r="AE70" s="335"/>
      <c r="AF70" s="335"/>
      <c r="AG70" s="335"/>
      <c r="AH70" s="335"/>
      <c r="AI70" s="335"/>
      <c r="AJ70" s="335"/>
      <c r="AK70" s="335"/>
      <c r="AL70" s="335"/>
      <c r="AM70" s="335"/>
      <c r="AN70" s="335"/>
      <c r="AO70" s="335"/>
      <c r="BA70" s="344"/>
      <c r="BB70" s="344"/>
      <c r="BC70" s="344"/>
      <c r="BD70" s="344"/>
      <c r="BE70" s="344"/>
      <c r="BF70" s="344"/>
      <c r="BG70" s="344"/>
      <c r="BH70" s="344"/>
      <c r="BI70" s="344"/>
      <c r="BJ70" s="344"/>
      <c r="BK70" s="344"/>
      <c r="BL70" s="344"/>
    </row>
    <row r="71" spans="1:77" ht="21" customHeight="1" x14ac:dyDescent="0.25">
      <c r="A71" s="233" t="s">
        <v>182</v>
      </c>
      <c r="B71" s="958"/>
      <c r="D71" s="223"/>
      <c r="E71" s="223"/>
      <c r="F71" s="223"/>
      <c r="G71" s="223"/>
      <c r="H71" s="223"/>
      <c r="I71" s="223"/>
      <c r="J71" s="223"/>
      <c r="BA71" s="344"/>
      <c r="BB71" s="344"/>
      <c r="BC71" s="344"/>
      <c r="BD71" s="344"/>
      <c r="BE71" s="344"/>
      <c r="BF71" s="344"/>
      <c r="BG71" s="344"/>
      <c r="BH71" s="344"/>
      <c r="BI71" s="344"/>
      <c r="BJ71" s="344"/>
      <c r="BK71" s="344"/>
      <c r="BL71" s="344"/>
    </row>
    <row r="72" spans="1:77" ht="21" customHeight="1" x14ac:dyDescent="0.25">
      <c r="A72" s="233" t="s">
        <v>183</v>
      </c>
      <c r="B72" s="958"/>
      <c r="D72" s="223"/>
      <c r="E72" s="223"/>
      <c r="F72" s="223"/>
      <c r="G72" s="223"/>
      <c r="H72" s="223"/>
      <c r="I72" s="223"/>
      <c r="J72" s="223"/>
      <c r="BA72" s="344"/>
      <c r="BB72" s="344"/>
      <c r="BC72" s="344"/>
      <c r="BD72" s="344"/>
      <c r="BE72" s="344"/>
      <c r="BF72" s="344"/>
      <c r="BG72" s="344"/>
      <c r="BH72" s="344"/>
      <c r="BI72" s="344"/>
      <c r="BJ72" s="344"/>
      <c r="BK72" s="344"/>
      <c r="BL72" s="344"/>
    </row>
    <row r="73" spans="1:77" ht="21" customHeight="1" x14ac:dyDescent="0.25">
      <c r="A73" s="233" t="s">
        <v>195</v>
      </c>
      <c r="B73" s="958"/>
      <c r="D73" s="223"/>
      <c r="E73" s="223"/>
      <c r="F73" s="223"/>
      <c r="G73" s="223"/>
      <c r="H73" s="223"/>
      <c r="I73" s="223"/>
      <c r="J73" s="223"/>
      <c r="BA73" s="344"/>
      <c r="BB73" s="344"/>
      <c r="BC73" s="344"/>
      <c r="BD73" s="344"/>
      <c r="BE73" s="344"/>
      <c r="BF73" s="344"/>
      <c r="BG73" s="344"/>
      <c r="BH73" s="344"/>
      <c r="BI73" s="344"/>
      <c r="BJ73" s="344"/>
      <c r="BK73" s="344"/>
      <c r="BL73" s="344"/>
    </row>
    <row r="74" spans="1:77" ht="22.5" customHeight="1" x14ac:dyDescent="0.25">
      <c r="A74" s="247" t="s">
        <v>13</v>
      </c>
      <c r="B74" s="968">
        <f>SUM(B65:B73)</f>
        <v>0</v>
      </c>
      <c r="C74" s="450"/>
      <c r="D74" s="223"/>
      <c r="E74" s="223"/>
      <c r="F74" s="223"/>
      <c r="G74" s="223"/>
      <c r="H74" s="223"/>
      <c r="I74" s="223"/>
      <c r="J74" s="223"/>
      <c r="BA74" s="344"/>
      <c r="BB74" s="344"/>
      <c r="BC74" s="344"/>
      <c r="BD74" s="344"/>
      <c r="BE74" s="344"/>
      <c r="BF74" s="344"/>
      <c r="BG74" s="344"/>
      <c r="BH74" s="344"/>
      <c r="BI74" s="344"/>
      <c r="BJ74" s="344"/>
      <c r="BK74" s="344"/>
      <c r="BL74" s="344"/>
    </row>
    <row r="75" spans="1:77" ht="17.25" customHeight="1" x14ac:dyDescent="0.25">
      <c r="A75" s="248" t="s">
        <v>271</v>
      </c>
      <c r="B75" s="249"/>
      <c r="C75" s="57"/>
      <c r="D75" s="222"/>
      <c r="J75" s="223"/>
      <c r="BA75" s="344"/>
      <c r="BB75" s="344"/>
      <c r="BC75" s="344"/>
      <c r="BD75" s="344"/>
      <c r="BE75" s="344"/>
      <c r="BF75" s="344"/>
      <c r="BG75" s="344"/>
      <c r="BH75" s="344"/>
      <c r="BI75" s="344"/>
      <c r="BJ75" s="344"/>
      <c r="BK75" s="344"/>
      <c r="BL75" s="344"/>
    </row>
    <row r="76" spans="1:77" ht="20.25" customHeight="1" x14ac:dyDescent="0.25">
      <c r="A76" s="513" t="s">
        <v>270</v>
      </c>
      <c r="B76" s="250"/>
      <c r="C76" s="243"/>
      <c r="D76" s="243"/>
      <c r="E76" s="243"/>
      <c r="BA76" s="344"/>
      <c r="BB76" s="344"/>
      <c r="BC76" s="344"/>
      <c r="BD76" s="344"/>
      <c r="BE76" s="344"/>
      <c r="BF76" s="344"/>
      <c r="BG76" s="344"/>
      <c r="BH76" s="344"/>
      <c r="BI76" s="344"/>
      <c r="BJ76" s="344"/>
      <c r="BK76" s="344"/>
      <c r="BL76" s="344"/>
    </row>
    <row r="77" spans="1:77" ht="69" customHeight="1" x14ac:dyDescent="0.25">
      <c r="A77" s="251" t="s">
        <v>526</v>
      </c>
      <c r="B77" s="309" t="s">
        <v>354</v>
      </c>
      <c r="C77" s="252"/>
      <c r="D77" s="253"/>
      <c r="E77" s="253"/>
      <c r="J77" s="223"/>
      <c r="BA77" s="344"/>
      <c r="BB77" s="344"/>
      <c r="BC77" s="344"/>
      <c r="BD77" s="344"/>
      <c r="BE77" s="344"/>
      <c r="BF77" s="344"/>
      <c r="BG77" s="344"/>
      <c r="BH77" s="344"/>
      <c r="BI77" s="344"/>
      <c r="BJ77" s="344"/>
      <c r="BK77" s="344"/>
      <c r="BL77" s="344"/>
    </row>
    <row r="78" spans="1:77" ht="21" customHeight="1" x14ac:dyDescent="0.25">
      <c r="A78" s="245" t="s">
        <v>268</v>
      </c>
      <c r="B78" s="958"/>
      <c r="C78" s="254"/>
      <c r="D78" s="253"/>
      <c r="E78" s="253"/>
      <c r="F78" s="253"/>
      <c r="J78" s="223"/>
      <c r="BA78" s="344"/>
      <c r="BB78" s="344"/>
      <c r="BC78" s="344"/>
      <c r="BD78" s="344"/>
      <c r="BE78" s="344"/>
      <c r="BF78" s="344"/>
      <c r="BG78" s="344"/>
      <c r="BH78" s="344"/>
      <c r="BI78" s="344"/>
      <c r="BJ78" s="344"/>
      <c r="BK78" s="344"/>
      <c r="BL78" s="344"/>
    </row>
    <row r="79" spans="1:77" ht="21" customHeight="1" x14ac:dyDescent="0.25">
      <c r="A79" s="246" t="s">
        <v>269</v>
      </c>
      <c r="B79" s="958"/>
      <c r="D79" s="223"/>
      <c r="E79" s="223"/>
      <c r="F79" s="223"/>
      <c r="G79" s="223"/>
      <c r="H79" s="223"/>
      <c r="I79" s="223"/>
      <c r="J79" s="223"/>
      <c r="BA79" s="344"/>
      <c r="BB79" s="344"/>
      <c r="BC79" s="344"/>
      <c r="BD79" s="344"/>
      <c r="BE79" s="344"/>
      <c r="BF79" s="344"/>
      <c r="BG79" s="344"/>
      <c r="BH79" s="344"/>
      <c r="BI79" s="344"/>
      <c r="BJ79" s="344"/>
      <c r="BK79" s="344"/>
      <c r="BL79" s="344"/>
    </row>
    <row r="80" spans="1:77" ht="21" customHeight="1" x14ac:dyDescent="0.25">
      <c r="A80" s="233" t="s">
        <v>24</v>
      </c>
      <c r="B80" s="958"/>
      <c r="D80" s="223"/>
      <c r="E80" s="223"/>
      <c r="F80" s="223"/>
      <c r="G80" s="223"/>
      <c r="H80" s="223"/>
      <c r="I80" s="223"/>
      <c r="J80" s="223"/>
      <c r="BA80" s="344"/>
      <c r="BB80" s="344"/>
      <c r="BC80" s="344"/>
      <c r="BD80" s="344"/>
      <c r="BE80" s="344"/>
      <c r="BF80" s="344"/>
      <c r="BG80" s="344"/>
      <c r="BH80" s="344"/>
      <c r="BI80" s="344"/>
      <c r="BJ80" s="344"/>
      <c r="BK80" s="344"/>
      <c r="BL80" s="344"/>
    </row>
    <row r="81" spans="1:78" ht="21" customHeight="1" x14ac:dyDescent="0.25">
      <c r="A81" s="233" t="s">
        <v>208</v>
      </c>
      <c r="B81" s="958"/>
      <c r="D81" s="223"/>
      <c r="E81" s="223"/>
      <c r="F81" s="223"/>
      <c r="G81" s="223"/>
      <c r="H81" s="223"/>
      <c r="I81" s="223"/>
      <c r="J81" s="223"/>
      <c r="BA81" s="344"/>
      <c r="BB81" s="344"/>
      <c r="BC81" s="344"/>
      <c r="BD81" s="344"/>
      <c r="BE81" s="344"/>
      <c r="BF81" s="344"/>
      <c r="BG81" s="344"/>
      <c r="BH81" s="344"/>
      <c r="BI81" s="344"/>
      <c r="BJ81" s="344"/>
      <c r="BK81" s="344"/>
      <c r="BL81" s="344"/>
    </row>
    <row r="82" spans="1:78" ht="21" customHeight="1" x14ac:dyDescent="0.25">
      <c r="A82" s="233" t="s">
        <v>209</v>
      </c>
      <c r="B82" s="958"/>
      <c r="D82" s="223"/>
      <c r="E82" s="223"/>
      <c r="F82" s="223"/>
      <c r="G82" s="223"/>
      <c r="H82" s="223"/>
      <c r="I82" s="223"/>
      <c r="J82" s="223"/>
      <c r="BA82" s="344"/>
      <c r="BB82" s="344"/>
      <c r="BC82" s="344"/>
      <c r="BD82" s="344"/>
      <c r="BE82" s="344"/>
      <c r="BF82" s="344"/>
      <c r="BG82" s="344"/>
      <c r="BH82" s="344"/>
      <c r="BI82" s="344"/>
      <c r="BJ82" s="344"/>
      <c r="BK82" s="344"/>
      <c r="BL82" s="344"/>
    </row>
    <row r="83" spans="1:78" ht="21" customHeight="1" x14ac:dyDescent="0.25">
      <c r="A83" s="233" t="s">
        <v>181</v>
      </c>
      <c r="B83" s="958"/>
      <c r="D83" s="223"/>
      <c r="E83" s="223"/>
      <c r="F83" s="223"/>
      <c r="G83" s="223"/>
      <c r="H83" s="223"/>
      <c r="I83" s="223"/>
      <c r="J83" s="223"/>
      <c r="BA83" s="344"/>
      <c r="BB83" s="344"/>
      <c r="BC83" s="344"/>
      <c r="BD83" s="344"/>
      <c r="BE83" s="344"/>
      <c r="BF83" s="344"/>
      <c r="BG83" s="344"/>
      <c r="BH83" s="344"/>
      <c r="BI83" s="344"/>
      <c r="BJ83" s="344"/>
      <c r="BK83" s="344"/>
      <c r="BL83" s="344"/>
    </row>
    <row r="84" spans="1:78" ht="21" customHeight="1" x14ac:dyDescent="0.25">
      <c r="A84" s="233" t="s">
        <v>182</v>
      </c>
      <c r="B84" s="958"/>
      <c r="D84" s="223"/>
      <c r="E84" s="223"/>
      <c r="F84" s="223"/>
      <c r="G84" s="223"/>
      <c r="H84" s="223"/>
      <c r="I84" s="223"/>
      <c r="J84" s="223"/>
      <c r="BA84" s="344"/>
      <c r="BB84" s="344"/>
      <c r="BC84" s="344"/>
      <c r="BD84" s="344"/>
      <c r="BE84" s="344"/>
      <c r="BF84" s="344"/>
      <c r="BG84" s="344"/>
      <c r="BH84" s="344"/>
      <c r="BI84" s="344"/>
      <c r="BJ84" s="344"/>
      <c r="BK84" s="344"/>
      <c r="BL84" s="344"/>
    </row>
    <row r="85" spans="1:78" ht="21" customHeight="1" x14ac:dyDescent="0.25">
      <c r="A85" s="233" t="s">
        <v>183</v>
      </c>
      <c r="B85" s="958"/>
      <c r="D85" s="223"/>
      <c r="E85" s="223"/>
      <c r="F85" s="223"/>
      <c r="G85" s="223"/>
      <c r="H85" s="223"/>
      <c r="I85" s="223"/>
      <c r="J85" s="223"/>
      <c r="BA85" s="344"/>
      <c r="BB85" s="344"/>
      <c r="BC85" s="344"/>
      <c r="BD85" s="344"/>
      <c r="BE85" s="344"/>
      <c r="BF85" s="344"/>
      <c r="BG85" s="344"/>
      <c r="BH85" s="344"/>
      <c r="BI85" s="344"/>
      <c r="BJ85" s="344"/>
      <c r="BK85" s="344"/>
      <c r="BL85" s="344"/>
    </row>
    <row r="86" spans="1:78" ht="21" customHeight="1" x14ac:dyDescent="0.25">
      <c r="A86" s="233" t="s">
        <v>195</v>
      </c>
      <c r="B86" s="958"/>
      <c r="D86" s="223"/>
      <c r="E86" s="223"/>
      <c r="F86" s="223"/>
      <c r="G86" s="223"/>
      <c r="H86" s="223"/>
      <c r="I86" s="223"/>
      <c r="J86" s="223"/>
      <c r="BA86" s="344"/>
      <c r="BB86" s="344"/>
      <c r="BC86" s="344"/>
      <c r="BD86" s="344"/>
      <c r="BE86" s="344"/>
      <c r="BF86" s="344"/>
      <c r="BG86" s="344"/>
      <c r="BH86" s="344"/>
      <c r="BI86" s="344"/>
      <c r="BJ86" s="344"/>
      <c r="BK86" s="344"/>
      <c r="BL86" s="344"/>
    </row>
    <row r="87" spans="1:78" ht="21.75" customHeight="1" x14ac:dyDescent="0.25">
      <c r="A87" s="247" t="s">
        <v>13</v>
      </c>
      <c r="B87" s="968">
        <f>SUM(B78:B86)</f>
        <v>0</v>
      </c>
      <c r="C87" s="450"/>
      <c r="D87" s="222"/>
      <c r="J87" s="223"/>
      <c r="BA87" s="344"/>
      <c r="BB87" s="344"/>
      <c r="BC87" s="344"/>
      <c r="BD87" s="344"/>
      <c r="BE87" s="344"/>
      <c r="BF87" s="344"/>
      <c r="BG87" s="344"/>
      <c r="BH87" s="344"/>
      <c r="BI87" s="344"/>
      <c r="BJ87" s="344"/>
      <c r="BK87" s="344"/>
      <c r="BL87" s="344"/>
    </row>
    <row r="88" spans="1:78" x14ac:dyDescent="0.25">
      <c r="A88" s="248" t="s">
        <v>271</v>
      </c>
      <c r="B88" s="249"/>
      <c r="C88" s="57"/>
      <c r="D88" s="222"/>
      <c r="J88" s="223"/>
      <c r="BA88" s="344"/>
      <c r="BB88" s="344"/>
      <c r="BC88" s="344"/>
      <c r="BD88" s="344"/>
      <c r="BE88" s="344"/>
      <c r="BF88" s="344"/>
      <c r="BG88" s="344"/>
      <c r="BH88" s="344"/>
      <c r="BI88" s="344"/>
      <c r="BJ88" s="344"/>
      <c r="BK88" s="344"/>
      <c r="BL88" s="344"/>
    </row>
    <row r="89" spans="1:78" ht="25.5" customHeight="1" x14ac:dyDescent="0.25">
      <c r="A89" s="512" t="s">
        <v>605</v>
      </c>
      <c r="B89" s="1050"/>
      <c r="C89" s="1050"/>
      <c r="BA89" s="344"/>
      <c r="BB89" s="344"/>
      <c r="BC89" s="344"/>
      <c r="BD89" s="344"/>
      <c r="BE89" s="344"/>
      <c r="BF89" s="344"/>
      <c r="BG89" s="344"/>
      <c r="BH89" s="344"/>
      <c r="BI89" s="344"/>
      <c r="BJ89" s="344"/>
      <c r="BK89" s="344"/>
      <c r="BL89" s="344"/>
    </row>
    <row r="90" spans="1:78" ht="52.5" x14ac:dyDescent="0.25">
      <c r="A90" s="1559" t="s">
        <v>46</v>
      </c>
      <c r="B90" s="1560" t="s">
        <v>595</v>
      </c>
      <c r="C90" s="1560" t="s">
        <v>596</v>
      </c>
    </row>
    <row r="91" spans="1:78" s="244" customFormat="1" ht="18.75" customHeight="1" x14ac:dyDescent="0.15">
      <c r="A91" s="1387" t="s">
        <v>20</v>
      </c>
      <c r="B91" s="1051"/>
      <c r="C91" s="1051"/>
      <c r="K91" s="223"/>
      <c r="L91" s="223"/>
      <c r="M91" s="342"/>
      <c r="N91" s="342"/>
      <c r="O91" s="342"/>
      <c r="P91" s="342"/>
      <c r="Q91" s="342"/>
      <c r="R91" s="342"/>
      <c r="S91" s="342"/>
      <c r="T91" s="342"/>
      <c r="U91" s="342"/>
      <c r="V91" s="342"/>
      <c r="W91" s="342"/>
      <c r="X91" s="342"/>
      <c r="Y91" s="342"/>
      <c r="Z91" s="342"/>
      <c r="AA91" s="335"/>
      <c r="AB91" s="335"/>
      <c r="AC91" s="335"/>
      <c r="AD91" s="335"/>
      <c r="AE91" s="335"/>
      <c r="AF91" s="335"/>
      <c r="AG91" s="335"/>
      <c r="AH91" s="335"/>
      <c r="AI91" s="335"/>
      <c r="AJ91" s="335"/>
      <c r="AK91" s="335"/>
      <c r="AL91" s="335"/>
      <c r="AM91" s="335"/>
      <c r="AN91" s="335"/>
      <c r="AO91" s="335"/>
      <c r="BA91" s="335"/>
      <c r="BB91" s="335"/>
      <c r="BC91" s="335"/>
      <c r="BD91" s="335"/>
      <c r="BE91" s="335"/>
      <c r="BF91" s="335"/>
      <c r="BG91" s="335"/>
      <c r="BH91" s="335"/>
      <c r="BI91" s="335"/>
      <c r="BJ91" s="335"/>
      <c r="BK91" s="335"/>
      <c r="BL91" s="338"/>
      <c r="BM91" s="223"/>
      <c r="BN91" s="223"/>
      <c r="BO91" s="223"/>
      <c r="BP91" s="223"/>
      <c r="BQ91" s="223"/>
      <c r="BR91" s="223"/>
      <c r="BS91" s="223"/>
      <c r="BT91" s="223"/>
      <c r="BU91" s="223"/>
      <c r="BV91" s="223"/>
      <c r="BW91" s="223"/>
      <c r="BX91" s="223"/>
      <c r="BY91" s="223"/>
      <c r="BZ91" s="223"/>
    </row>
    <row r="92" spans="1:78" ht="18.75" customHeight="1" x14ac:dyDescent="0.25">
      <c r="A92" s="233" t="s">
        <v>21</v>
      </c>
      <c r="B92" s="1051"/>
      <c r="C92" s="1051"/>
    </row>
    <row r="93" spans="1:78" ht="18.75" customHeight="1" x14ac:dyDescent="0.25">
      <c r="A93" s="233" t="s">
        <v>22</v>
      </c>
      <c r="B93" s="1051"/>
      <c r="C93" s="1051"/>
    </row>
    <row r="94" spans="1:78" ht="18.75" customHeight="1" x14ac:dyDescent="0.25">
      <c r="A94" s="233" t="s">
        <v>23</v>
      </c>
      <c r="B94" s="1051"/>
      <c r="C94" s="1051"/>
    </row>
    <row r="95" spans="1:78" ht="18.75" customHeight="1" x14ac:dyDescent="0.25">
      <c r="A95" s="233" t="s">
        <v>24</v>
      </c>
      <c r="B95" s="1051"/>
      <c r="C95" s="1051"/>
    </row>
    <row r="96" spans="1:78" ht="18.75" customHeight="1" x14ac:dyDescent="0.25">
      <c r="A96" s="233" t="s">
        <v>208</v>
      </c>
      <c r="B96" s="1051"/>
      <c r="C96" s="1051"/>
    </row>
    <row r="97" spans="1:11" ht="18.75" customHeight="1" x14ac:dyDescent="0.25">
      <c r="A97" s="233" t="s">
        <v>209</v>
      </c>
      <c r="B97" s="1052"/>
      <c r="C97" s="1052"/>
    </row>
    <row r="98" spans="1:11" ht="21" customHeight="1" x14ac:dyDescent="0.25">
      <c r="A98" s="1053" t="s">
        <v>13</v>
      </c>
      <c r="B98" s="1054">
        <f>SUM(B91:B97)</f>
        <v>0</v>
      </c>
      <c r="C98" s="1055">
        <f>SUM(C91:C97)</f>
        <v>0</v>
      </c>
    </row>
    <row r="99" spans="1:11" ht="35.25" customHeight="1" x14ac:dyDescent="0.25">
      <c r="A99" s="2392" t="s">
        <v>614</v>
      </c>
      <c r="B99" s="2392"/>
      <c r="C99" s="2392"/>
      <c r="D99" s="2392"/>
      <c r="E99" s="2392"/>
      <c r="F99" s="2392"/>
      <c r="G99" s="2392"/>
      <c r="H99" s="2392"/>
      <c r="I99" s="2392"/>
      <c r="J99" s="2392"/>
      <c r="K99" s="2392"/>
    </row>
    <row r="100" spans="1:11" x14ac:dyDescent="0.25">
      <c r="A100" s="2393" t="s">
        <v>526</v>
      </c>
      <c r="B100" s="2395" t="s">
        <v>597</v>
      </c>
      <c r="C100" s="2396"/>
      <c r="D100" s="2396"/>
      <c r="E100" s="2396"/>
      <c r="F100" s="2396"/>
      <c r="G100" s="2397"/>
      <c r="H100" s="1050"/>
      <c r="I100" s="1050"/>
      <c r="J100" s="1050"/>
      <c r="K100" s="1050"/>
    </row>
    <row r="101" spans="1:11" x14ac:dyDescent="0.25">
      <c r="A101" s="2394"/>
      <c r="B101" s="2398" t="s">
        <v>13</v>
      </c>
      <c r="C101" s="2399" t="s">
        <v>598</v>
      </c>
      <c r="D101" s="2382" t="s">
        <v>259</v>
      </c>
      <c r="E101" s="2383"/>
      <c r="F101" s="2389"/>
      <c r="G101" s="2390" t="s">
        <v>603</v>
      </c>
      <c r="H101" s="1050"/>
      <c r="I101" s="1050"/>
      <c r="J101" s="1050"/>
      <c r="K101" s="1050"/>
    </row>
    <row r="102" spans="1:11" ht="24" customHeight="1" x14ac:dyDescent="0.25">
      <c r="A102" s="2394"/>
      <c r="B102" s="2386"/>
      <c r="C102" s="2388"/>
      <c r="D102" s="1556" t="s">
        <v>599</v>
      </c>
      <c r="E102" s="1556" t="s">
        <v>600</v>
      </c>
      <c r="F102" s="1557" t="s">
        <v>601</v>
      </c>
      <c r="G102" s="2391"/>
      <c r="H102" s="1050"/>
      <c r="I102" s="1050"/>
      <c r="J102" s="1050"/>
      <c r="K102" s="1050"/>
    </row>
    <row r="103" spans="1:11" ht="18" customHeight="1" x14ac:dyDescent="0.25">
      <c r="A103" s="233" t="s">
        <v>20</v>
      </c>
      <c r="B103" s="959">
        <f>SUM(C103:F103)</f>
        <v>0</v>
      </c>
      <c r="C103" s="1056"/>
      <c r="D103" s="1057"/>
      <c r="E103" s="1057"/>
      <c r="F103" s="1058"/>
      <c r="G103" s="1056"/>
      <c r="H103" s="1050"/>
      <c r="I103" s="1050"/>
      <c r="J103" s="1050"/>
      <c r="K103" s="1050"/>
    </row>
    <row r="104" spans="1:11" ht="18" customHeight="1" x14ac:dyDescent="0.25">
      <c r="A104" s="233" t="s">
        <v>21</v>
      </c>
      <c r="B104" s="959">
        <f t="shared" ref="B104:B113" si="4">SUM(C104:F104)</f>
        <v>0</v>
      </c>
      <c r="C104" s="1056"/>
      <c r="D104" s="1057"/>
      <c r="E104" s="1057"/>
      <c r="F104" s="1058"/>
      <c r="G104" s="1056"/>
      <c r="H104" s="1050"/>
      <c r="I104" s="1050"/>
      <c r="J104" s="1050"/>
      <c r="K104" s="1050"/>
    </row>
    <row r="105" spans="1:11" ht="18" customHeight="1" x14ac:dyDescent="0.25">
      <c r="A105" s="233" t="s">
        <v>22</v>
      </c>
      <c r="B105" s="959">
        <f t="shared" si="4"/>
        <v>0</v>
      </c>
      <c r="C105" s="1056"/>
      <c r="D105" s="1057"/>
      <c r="E105" s="1057"/>
      <c r="F105" s="1058"/>
      <c r="G105" s="1056"/>
      <c r="H105" s="1050"/>
      <c r="I105" s="1050"/>
      <c r="J105" s="1050"/>
      <c r="K105" s="1050"/>
    </row>
    <row r="106" spans="1:11" ht="18" customHeight="1" x14ac:dyDescent="0.25">
      <c r="A106" s="233" t="s">
        <v>23</v>
      </c>
      <c r="B106" s="959">
        <f t="shared" si="4"/>
        <v>0</v>
      </c>
      <c r="C106" s="1056"/>
      <c r="D106" s="1057"/>
      <c r="E106" s="1057"/>
      <c r="F106" s="1058"/>
      <c r="G106" s="1056"/>
      <c r="H106" s="1050"/>
      <c r="I106" s="1050"/>
      <c r="J106" s="1050"/>
      <c r="K106" s="1050"/>
    </row>
    <row r="107" spans="1:11" ht="18" customHeight="1" x14ac:dyDescent="0.25">
      <c r="A107" s="233" t="s">
        <v>24</v>
      </c>
      <c r="B107" s="959">
        <f t="shared" si="4"/>
        <v>0</v>
      </c>
      <c r="C107" s="1056"/>
      <c r="D107" s="1057"/>
      <c r="E107" s="1057"/>
      <c r="F107" s="1058"/>
      <c r="G107" s="1056"/>
      <c r="H107" s="1050"/>
      <c r="I107" s="1050"/>
      <c r="J107" s="1050"/>
      <c r="K107" s="1050"/>
    </row>
    <row r="108" spans="1:11" ht="18" customHeight="1" x14ac:dyDescent="0.25">
      <c r="A108" s="233" t="s">
        <v>208</v>
      </c>
      <c r="B108" s="959">
        <f t="shared" si="4"/>
        <v>0</v>
      </c>
      <c r="C108" s="1056"/>
      <c r="D108" s="1057"/>
      <c r="E108" s="1057"/>
      <c r="F108" s="1058"/>
      <c r="G108" s="1056"/>
      <c r="H108" s="1050"/>
      <c r="I108" s="1050"/>
      <c r="J108" s="1050"/>
      <c r="K108" s="1050"/>
    </row>
    <row r="109" spans="1:11" ht="18" customHeight="1" x14ac:dyDescent="0.25">
      <c r="A109" s="233" t="s">
        <v>209</v>
      </c>
      <c r="B109" s="959">
        <f t="shared" si="4"/>
        <v>0</v>
      </c>
      <c r="C109" s="1056"/>
      <c r="D109" s="1057"/>
      <c r="E109" s="1057"/>
      <c r="F109" s="1058"/>
      <c r="G109" s="1056"/>
      <c r="H109" s="1050"/>
      <c r="I109" s="1050"/>
      <c r="J109" s="1050"/>
      <c r="K109" s="1050"/>
    </row>
    <row r="110" spans="1:11" ht="18" customHeight="1" x14ac:dyDescent="0.25">
      <c r="A110" s="233" t="s">
        <v>181</v>
      </c>
      <c r="B110" s="959">
        <f t="shared" si="4"/>
        <v>0</v>
      </c>
      <c r="C110" s="1056"/>
      <c r="D110" s="1057"/>
      <c r="E110" s="1057"/>
      <c r="F110" s="1058"/>
      <c r="G110" s="1056"/>
      <c r="H110" s="1050"/>
      <c r="I110" s="1050"/>
      <c r="J110" s="1050"/>
      <c r="K110" s="1050"/>
    </row>
    <row r="111" spans="1:11" ht="18" customHeight="1" x14ac:dyDescent="0.25">
      <c r="A111" s="233" t="s">
        <v>182</v>
      </c>
      <c r="B111" s="959">
        <f t="shared" si="4"/>
        <v>0</v>
      </c>
      <c r="C111" s="1056"/>
      <c r="D111" s="1057"/>
      <c r="E111" s="1057"/>
      <c r="F111" s="1058"/>
      <c r="G111" s="1056"/>
      <c r="H111" s="1050"/>
      <c r="I111" s="1050"/>
      <c r="J111" s="1050"/>
      <c r="K111" s="1050"/>
    </row>
    <row r="112" spans="1:11" ht="18" customHeight="1" x14ac:dyDescent="0.25">
      <c r="A112" s="233" t="s">
        <v>183</v>
      </c>
      <c r="B112" s="959">
        <f t="shared" si="4"/>
        <v>0</v>
      </c>
      <c r="C112" s="1056"/>
      <c r="D112" s="1057"/>
      <c r="E112" s="1057"/>
      <c r="F112" s="1058"/>
      <c r="G112" s="1056"/>
      <c r="H112" s="1050"/>
      <c r="I112" s="1050"/>
      <c r="J112" s="1050"/>
      <c r="K112" s="1050"/>
    </row>
    <row r="113" spans="1:11" ht="18" customHeight="1" x14ac:dyDescent="0.25">
      <c r="A113" s="239" t="s">
        <v>195</v>
      </c>
      <c r="B113" s="961">
        <f t="shared" si="4"/>
        <v>0</v>
      </c>
      <c r="C113" s="1059"/>
      <c r="D113" s="1060"/>
      <c r="E113" s="1060"/>
      <c r="F113" s="1061"/>
      <c r="G113" s="1059"/>
      <c r="H113" s="1050"/>
      <c r="I113" s="1050"/>
      <c r="J113" s="1050"/>
      <c r="K113" s="1050"/>
    </row>
    <row r="114" spans="1:11" ht="17.25" customHeight="1" x14ac:dyDescent="0.25">
      <c r="A114" s="242" t="s">
        <v>13</v>
      </c>
      <c r="B114" s="964">
        <f>SUM(C114:F114)</f>
        <v>0</v>
      </c>
      <c r="C114" s="964">
        <f>SUM(C103:C113)</f>
        <v>0</v>
      </c>
      <c r="D114" s="964">
        <f>SUM(D103:D113)</f>
        <v>0</v>
      </c>
      <c r="E114" s="964">
        <f>SUM(E103:E113)</f>
        <v>0</v>
      </c>
      <c r="F114" s="1019">
        <f>SUM(F103:F113)</f>
        <v>0</v>
      </c>
      <c r="G114" s="965">
        <f>SUM(G103:G113)</f>
        <v>0</v>
      </c>
      <c r="H114" s="1050"/>
      <c r="I114" s="1050"/>
      <c r="J114" s="1050"/>
      <c r="K114" s="1050"/>
    </row>
    <row r="115" spans="1:11" x14ac:dyDescent="0.25">
      <c r="A115" s="1050" t="s">
        <v>602</v>
      </c>
      <c r="B115" s="1050"/>
      <c r="C115" s="1050"/>
      <c r="D115" s="1050"/>
      <c r="E115" s="1050"/>
      <c r="F115" s="1050"/>
      <c r="G115" s="1050"/>
      <c r="H115" s="1050"/>
      <c r="I115" s="1050"/>
      <c r="J115" s="1050"/>
      <c r="K115" s="1050"/>
    </row>
    <row r="116" spans="1:11" ht="45.75" customHeight="1" x14ac:dyDescent="0.25">
      <c r="A116" s="2392" t="s">
        <v>875</v>
      </c>
      <c r="B116" s="2392"/>
      <c r="C116" s="2392"/>
      <c r="D116" s="2392"/>
      <c r="E116" s="2392"/>
      <c r="F116" s="2392"/>
      <c r="G116" s="2392"/>
      <c r="H116" s="2392"/>
      <c r="I116" s="2392"/>
      <c r="J116" s="2392"/>
      <c r="K116" s="2392"/>
    </row>
    <row r="117" spans="1:11" x14ac:dyDescent="0.25">
      <c r="A117" s="2381" t="s">
        <v>526</v>
      </c>
      <c r="B117" s="2382" t="s">
        <v>597</v>
      </c>
      <c r="C117" s="2383"/>
      <c r="D117" s="2383"/>
      <c r="E117" s="2383"/>
      <c r="F117" s="2383"/>
      <c r="G117" s="2384"/>
      <c r="H117" s="1050"/>
      <c r="I117" s="1050"/>
      <c r="J117" s="1050"/>
    </row>
    <row r="118" spans="1:11" ht="18.75" customHeight="1" x14ac:dyDescent="0.25">
      <c r="A118" s="1916"/>
      <c r="B118" s="2385" t="s">
        <v>13</v>
      </c>
      <c r="C118" s="2387" t="s">
        <v>598</v>
      </c>
      <c r="D118" s="2382" t="s">
        <v>259</v>
      </c>
      <c r="E118" s="2383"/>
      <c r="F118" s="2389"/>
      <c r="G118" s="2390" t="s">
        <v>603</v>
      </c>
      <c r="H118" s="1050"/>
      <c r="I118" s="1050"/>
      <c r="J118" s="1050"/>
    </row>
    <row r="119" spans="1:11" ht="21.75" customHeight="1" x14ac:dyDescent="0.25">
      <c r="A119" s="1916"/>
      <c r="B119" s="2386"/>
      <c r="C119" s="2388"/>
      <c r="D119" s="1556" t="s">
        <v>599</v>
      </c>
      <c r="E119" s="1556" t="s">
        <v>600</v>
      </c>
      <c r="F119" s="1557" t="s">
        <v>604</v>
      </c>
      <c r="G119" s="2391"/>
      <c r="H119" s="1050"/>
      <c r="I119" s="1050"/>
      <c r="J119" s="1050"/>
    </row>
    <row r="120" spans="1:11" ht="20.25" customHeight="1" x14ac:dyDescent="0.25">
      <c r="A120" s="233" t="s">
        <v>20</v>
      </c>
      <c r="B120" s="959">
        <f>SUM(C120:F120)</f>
        <v>0</v>
      </c>
      <c r="C120" s="1056"/>
      <c r="D120" s="1057"/>
      <c r="E120" s="1057"/>
      <c r="F120" s="1058"/>
      <c r="G120" s="1056"/>
      <c r="H120" s="1050"/>
      <c r="I120" s="1050"/>
      <c r="J120" s="1050"/>
    </row>
    <row r="121" spans="1:11" ht="20.25" customHeight="1" x14ac:dyDescent="0.25">
      <c r="A121" s="233" t="s">
        <v>21</v>
      </c>
      <c r="B121" s="959">
        <f t="shared" ref="B121:B130" si="5">SUM(C121:F121)</f>
        <v>0</v>
      </c>
      <c r="C121" s="1056"/>
      <c r="D121" s="1057"/>
      <c r="E121" s="1057"/>
      <c r="F121" s="1058"/>
      <c r="G121" s="1056"/>
      <c r="H121" s="1050"/>
      <c r="I121" s="1050"/>
      <c r="J121" s="1050"/>
    </row>
    <row r="122" spans="1:11" ht="20.25" customHeight="1" x14ac:dyDescent="0.25">
      <c r="A122" s="233" t="s">
        <v>22</v>
      </c>
      <c r="B122" s="959">
        <f t="shared" si="5"/>
        <v>0</v>
      </c>
      <c r="C122" s="1056"/>
      <c r="D122" s="1057"/>
      <c r="E122" s="1057"/>
      <c r="F122" s="1058"/>
      <c r="G122" s="1056"/>
      <c r="H122" s="1050"/>
      <c r="I122" s="1050"/>
      <c r="J122" s="1050"/>
    </row>
    <row r="123" spans="1:11" ht="20.25" customHeight="1" x14ac:dyDescent="0.25">
      <c r="A123" s="233" t="s">
        <v>23</v>
      </c>
      <c r="B123" s="959">
        <f t="shared" si="5"/>
        <v>0</v>
      </c>
      <c r="C123" s="1056"/>
      <c r="D123" s="1057"/>
      <c r="E123" s="1057"/>
      <c r="F123" s="1058"/>
      <c r="G123" s="1056"/>
      <c r="H123" s="1050"/>
      <c r="I123" s="1050"/>
      <c r="J123" s="1050"/>
    </row>
    <row r="124" spans="1:11" ht="20.25" customHeight="1" x14ac:dyDescent="0.25">
      <c r="A124" s="233" t="s">
        <v>24</v>
      </c>
      <c r="B124" s="959">
        <f t="shared" si="5"/>
        <v>0</v>
      </c>
      <c r="C124" s="1056"/>
      <c r="D124" s="1057"/>
      <c r="E124" s="1057"/>
      <c r="F124" s="1058"/>
      <c r="G124" s="1056"/>
      <c r="H124" s="1050"/>
      <c r="I124" s="1050"/>
      <c r="J124" s="1050"/>
    </row>
    <row r="125" spans="1:11" ht="20.25" customHeight="1" x14ac:dyDescent="0.25">
      <c r="A125" s="233" t="s">
        <v>208</v>
      </c>
      <c r="B125" s="959">
        <f t="shared" si="5"/>
        <v>0</v>
      </c>
      <c r="C125" s="1056"/>
      <c r="D125" s="1057"/>
      <c r="E125" s="1057"/>
      <c r="F125" s="1058"/>
      <c r="G125" s="1056"/>
      <c r="H125" s="1050"/>
      <c r="I125" s="1050"/>
      <c r="J125" s="1050"/>
    </row>
    <row r="126" spans="1:11" ht="20.25" customHeight="1" x14ac:dyDescent="0.25">
      <c r="A126" s="233" t="s">
        <v>209</v>
      </c>
      <c r="B126" s="959">
        <f t="shared" si="5"/>
        <v>0</v>
      </c>
      <c r="C126" s="1056"/>
      <c r="D126" s="1057"/>
      <c r="E126" s="1057"/>
      <c r="F126" s="1058"/>
      <c r="G126" s="1056"/>
      <c r="H126" s="1050"/>
      <c r="I126" s="1050"/>
      <c r="J126" s="1050"/>
    </row>
    <row r="127" spans="1:11" ht="20.25" customHeight="1" x14ac:dyDescent="0.25">
      <c r="A127" s="233" t="s">
        <v>181</v>
      </c>
      <c r="B127" s="959">
        <f t="shared" si="5"/>
        <v>0</v>
      </c>
      <c r="C127" s="1056"/>
      <c r="D127" s="1057"/>
      <c r="E127" s="1057"/>
      <c r="F127" s="1058"/>
      <c r="G127" s="1056"/>
      <c r="H127" s="1050"/>
      <c r="I127" s="1050"/>
      <c r="J127" s="1050"/>
    </row>
    <row r="128" spans="1:11" ht="20.25" customHeight="1" x14ac:dyDescent="0.25">
      <c r="A128" s="233" t="s">
        <v>182</v>
      </c>
      <c r="B128" s="959">
        <f t="shared" si="5"/>
        <v>0</v>
      </c>
      <c r="C128" s="1056"/>
      <c r="D128" s="1057"/>
      <c r="E128" s="1057"/>
      <c r="F128" s="1058"/>
      <c r="G128" s="1056"/>
      <c r="H128" s="1050"/>
      <c r="I128" s="1050"/>
      <c r="J128" s="1050"/>
    </row>
    <row r="129" spans="1:10" ht="20.25" customHeight="1" x14ac:dyDescent="0.25">
      <c r="A129" s="233" t="s">
        <v>183</v>
      </c>
      <c r="B129" s="959">
        <f t="shared" si="5"/>
        <v>0</v>
      </c>
      <c r="C129" s="1056"/>
      <c r="D129" s="1057"/>
      <c r="E129" s="1057"/>
      <c r="F129" s="1058"/>
      <c r="G129" s="1056"/>
      <c r="H129" s="1050"/>
      <c r="I129" s="1050"/>
      <c r="J129" s="1050"/>
    </row>
    <row r="130" spans="1:10" ht="20.25" customHeight="1" x14ac:dyDescent="0.25">
      <c r="A130" s="239" t="s">
        <v>195</v>
      </c>
      <c r="B130" s="961">
        <f t="shared" si="5"/>
        <v>0</v>
      </c>
      <c r="C130" s="1059"/>
      <c r="D130" s="1060"/>
      <c r="E130" s="1060"/>
      <c r="F130" s="1061"/>
      <c r="G130" s="1059"/>
      <c r="H130" s="1050"/>
      <c r="I130" s="1050"/>
      <c r="J130" s="1050"/>
    </row>
    <row r="131" spans="1:10" ht="18" customHeight="1" x14ac:dyDescent="0.25">
      <c r="A131" s="242" t="s">
        <v>13</v>
      </c>
      <c r="B131" s="964">
        <f>SUM(C131:F131)</f>
        <v>0</v>
      </c>
      <c r="C131" s="964">
        <f>SUM(C120:C130)</f>
        <v>0</v>
      </c>
      <c r="D131" s="964">
        <f>SUM(D120:D130)</f>
        <v>0</v>
      </c>
      <c r="E131" s="964">
        <f>SUM(E120:E130)</f>
        <v>0</v>
      </c>
      <c r="F131" s="1019">
        <f>SUM(F120:F130)</f>
        <v>0</v>
      </c>
      <c r="G131" s="965">
        <f>SUM(G120:G130)</f>
        <v>0</v>
      </c>
      <c r="H131" s="1050"/>
      <c r="I131" s="1050"/>
      <c r="J131" s="1050"/>
    </row>
    <row r="199" spans="1:2" hidden="1" x14ac:dyDescent="0.25">
      <c r="A199" s="1623">
        <f>SUM(B10:C22,C29:L41,C48:L60,B65:B73,B78:B86,B91:C97,C103:G113,C120:G130)</f>
        <v>0</v>
      </c>
      <c r="B199" s="1028" t="s">
        <v>317</v>
      </c>
    </row>
    <row r="200" spans="1:2" hidden="1" x14ac:dyDescent="0.25">
      <c r="A200" s="1623">
        <f>SUM(BA$10:BZ130)</f>
        <v>0</v>
      </c>
      <c r="B200" s="1028" t="s">
        <v>318</v>
      </c>
    </row>
  </sheetData>
  <sheetProtection algorithmName="SHA-512" hashValue="OZ/9KiH43K8BlFZjqRSwwQj62alSP8raFkfFJzMshkQoddi2cnHW0sxCkUFWbmlEbmnaBTeOprO6l+69AeSDFA==" saltValue="9eUk5dYI1PjfUuEefRzx3g==" spinCount="100000" sheet="1" objects="1" scenarios="1"/>
  <mergeCells count="34">
    <mergeCell ref="A43:C43"/>
    <mergeCell ref="A44:K44"/>
    <mergeCell ref="A45:A47"/>
    <mergeCell ref="B46:B47"/>
    <mergeCell ref="C46:C47"/>
    <mergeCell ref="D46:E46"/>
    <mergeCell ref="F46:K46"/>
    <mergeCell ref="B45:L45"/>
    <mergeCell ref="L46:L47"/>
    <mergeCell ref="A24:C24"/>
    <mergeCell ref="N5:O5"/>
    <mergeCell ref="A7:K7"/>
    <mergeCell ref="A25:K25"/>
    <mergeCell ref="F27:K27"/>
    <mergeCell ref="A26:A28"/>
    <mergeCell ref="B27:B28"/>
    <mergeCell ref="C27:C28"/>
    <mergeCell ref="D27:E27"/>
    <mergeCell ref="B26:L26"/>
    <mergeCell ref="L27:L28"/>
    <mergeCell ref="A116:K116"/>
    <mergeCell ref="A99:K99"/>
    <mergeCell ref="A100:A102"/>
    <mergeCell ref="B100:G100"/>
    <mergeCell ref="B101:B102"/>
    <mergeCell ref="C101:C102"/>
    <mergeCell ref="D101:F101"/>
    <mergeCell ref="G101:G102"/>
    <mergeCell ref="A117:A119"/>
    <mergeCell ref="B117:G117"/>
    <mergeCell ref="B118:B119"/>
    <mergeCell ref="C118:C119"/>
    <mergeCell ref="D118:F118"/>
    <mergeCell ref="G118:G119"/>
  </mergeCells>
  <phoneticPr fontId="26" type="noConversion"/>
  <dataValidations count="2">
    <dataValidation allowBlank="1" showInputMessage="1" showErrorMessage="1" errorTitle="Error de ingreso" error="Debe ingresar sólo números enteros positivos." sqref="C131:G1048576 BA1:XFD1048576 B98:B115 K61:L1048576 B1:C9 C114:G115 C23:C28 M1:AO1048576 D1:L28 C42:L47 B23:B64 B74:B77 B87:B90 C61:C90 C98:C102 H61:J115 D61:G102 H117:J1048576 C117:G119 B117:B1048576 A1:A1048576" xr:uid="{00000000-0002-0000-0A00-000000000000}"/>
    <dataValidation type="whole" operator="greaterThanOrEqual" allowBlank="1" showInputMessage="1" showErrorMessage="1" sqref="B10:C22 C29:L41 C48:L60 B65:B73 B78:B86 B91:C97 C103:G113 C120:G130" xr:uid="{DE16B8B1-A616-48CE-BF52-050673CC0E2F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  <rowBreaks count="1" manualBreakCount="1">
    <brk id="62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BZ40"/>
  <sheetViews>
    <sheetView showGridLines="0" zoomScaleNormal="100" workbookViewId="0">
      <selection activeCell="B7" sqref="B7:M7"/>
    </sheetView>
  </sheetViews>
  <sheetFormatPr baseColWidth="10" defaultColWidth="11.42578125" defaultRowHeight="10.5" x14ac:dyDescent="0.15"/>
  <cols>
    <col min="1" max="1" width="56.5703125" style="180" customWidth="1"/>
    <col min="2" max="2" width="13.5703125" style="180" customWidth="1"/>
    <col min="3" max="4" width="11.5703125" style="180" customWidth="1"/>
    <col min="5" max="16" width="8.7109375" style="180" customWidth="1"/>
    <col min="17" max="17" width="11.42578125" style="180" customWidth="1"/>
    <col min="18" max="18" width="12.5703125" style="180" customWidth="1"/>
    <col min="19" max="19" width="12.7109375" style="180" customWidth="1"/>
    <col min="20" max="48" width="11.42578125" style="180" customWidth="1"/>
    <col min="49" max="49" width="9.42578125" style="180" customWidth="1"/>
    <col min="50" max="52" width="9.42578125" style="57" customWidth="1"/>
    <col min="53" max="73" width="9.42578125" style="387" hidden="1" customWidth="1"/>
    <col min="74" max="74" width="9.42578125" style="180" hidden="1" customWidth="1"/>
    <col min="75" max="78" width="11.42578125" style="308" hidden="1" customWidth="1"/>
    <col min="79" max="16384" width="11.42578125" style="180"/>
  </cols>
  <sheetData>
    <row r="1" spans="1:78" s="57" customFormat="1" ht="13.5" customHeight="1" x14ac:dyDescent="0.15">
      <c r="A1" s="125" t="s">
        <v>0</v>
      </c>
      <c r="BA1" s="325"/>
      <c r="BB1" s="325"/>
      <c r="BC1" s="325"/>
      <c r="BD1" s="325"/>
      <c r="BE1" s="325"/>
      <c r="BF1" s="325"/>
      <c r="BG1" s="325"/>
      <c r="BH1" s="325"/>
      <c r="BI1" s="325"/>
      <c r="BJ1" s="325"/>
      <c r="BK1" s="325"/>
      <c r="BL1" s="325"/>
      <c r="BM1" s="325"/>
      <c r="BN1" s="325"/>
      <c r="BO1" s="325"/>
      <c r="BP1" s="325"/>
      <c r="BQ1" s="325"/>
      <c r="BR1" s="325"/>
      <c r="BS1" s="325"/>
      <c r="BT1" s="325"/>
      <c r="BU1" s="325"/>
      <c r="BW1" s="56"/>
      <c r="BX1" s="56"/>
      <c r="BY1" s="56"/>
      <c r="BZ1" s="56"/>
    </row>
    <row r="2" spans="1:78" s="57" customFormat="1" ht="13.5" customHeight="1" x14ac:dyDescent="0.15">
      <c r="A2" s="125" t="str">
        <f>CONCATENATE("COMUNA: ",NOMBRE!$B$2," - ","( ",NOMBRE!$C$2,NOMBRE!$D$2,NOMBRE!$E$2,NOMBRE!$F$2,NOMBRE!$G$2," )")</f>
        <v>COMUNA:  - (  )</v>
      </c>
      <c r="BA2" s="325"/>
      <c r="BB2" s="325"/>
      <c r="BC2" s="325"/>
      <c r="BD2" s="325"/>
      <c r="BE2" s="325"/>
      <c r="BF2" s="325"/>
      <c r="BG2" s="325"/>
      <c r="BH2" s="325"/>
      <c r="BI2" s="325"/>
      <c r="BJ2" s="325"/>
      <c r="BK2" s="325"/>
      <c r="BL2" s="325"/>
      <c r="BM2" s="325"/>
      <c r="BN2" s="325"/>
      <c r="BO2" s="325"/>
      <c r="BP2" s="325"/>
      <c r="BQ2" s="325"/>
      <c r="BR2" s="325"/>
      <c r="BS2" s="325"/>
      <c r="BT2" s="325"/>
      <c r="BU2" s="325"/>
      <c r="BW2" s="56"/>
      <c r="BX2" s="56"/>
      <c r="BY2" s="56"/>
      <c r="BZ2" s="56"/>
    </row>
    <row r="3" spans="1:78" s="57" customFormat="1" ht="13.5" customHeight="1" x14ac:dyDescent="0.15">
      <c r="A3" s="125" t="str">
        <f>CONCATENATE("ESTABLECIMIENTO/ESTRATEGIA: ",NOMBRE!$B$3," - ","( ",NOMBRE!$C$3,NOMBRE!$D$3,NOMBRE!$E$3,NOMBRE!$F$3,NOMBRE!$G$3,NOMBRE!$H$3," )")</f>
        <v>ESTABLECIMIENTO/ESTRATEGIA:  - (  )</v>
      </c>
      <c r="D3" s="126"/>
      <c r="BA3" s="325"/>
      <c r="BB3" s="325"/>
      <c r="BC3" s="325"/>
      <c r="BD3" s="325"/>
      <c r="BE3" s="325"/>
      <c r="BF3" s="325"/>
      <c r="BG3" s="325"/>
      <c r="BH3" s="325"/>
      <c r="BI3" s="325"/>
      <c r="BJ3" s="325"/>
      <c r="BK3" s="325"/>
      <c r="BL3" s="325"/>
      <c r="BM3" s="325"/>
      <c r="BN3" s="325"/>
      <c r="BO3" s="325"/>
      <c r="BP3" s="325"/>
      <c r="BQ3" s="325"/>
      <c r="BR3" s="325"/>
      <c r="BS3" s="325"/>
      <c r="BT3" s="325"/>
      <c r="BU3" s="325"/>
      <c r="BW3" s="56"/>
      <c r="BX3" s="56"/>
      <c r="BY3" s="56"/>
      <c r="BZ3" s="56"/>
    </row>
    <row r="4" spans="1:78" s="57" customFormat="1" ht="13.5" customHeight="1" x14ac:dyDescent="0.15">
      <c r="A4" s="125" t="str">
        <f>CONCATENATE("MES: ",NOMBRE!$B$6," - ","( ",NOMBRE!$C$6,NOMBRE!$D$6," )")</f>
        <v>MES:  - (  )</v>
      </c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W4" s="56"/>
      <c r="BX4" s="56"/>
      <c r="BY4" s="56"/>
      <c r="BZ4" s="56"/>
    </row>
    <row r="5" spans="1:78" s="57" customFormat="1" ht="13.5" customHeight="1" x14ac:dyDescent="0.15">
      <c r="A5" s="125" t="str">
        <f>CONCATENATE("AÑO: ",NOMBRE!$B$7)</f>
        <v>AÑO: 2023</v>
      </c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1394"/>
      <c r="BQ5" s="1394"/>
      <c r="BR5" s="1394"/>
      <c r="BS5" s="1394"/>
      <c r="BT5" s="325"/>
      <c r="BU5" s="325"/>
      <c r="BW5" s="56"/>
      <c r="BX5" s="56"/>
      <c r="BY5" s="56"/>
      <c r="BZ5" s="56"/>
    </row>
    <row r="6" spans="1:78" s="57" customFormat="1" ht="15" customHeight="1" x14ac:dyDescent="0.15">
      <c r="A6" s="1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1394"/>
      <c r="BQ6" s="1394"/>
      <c r="BR6" s="1394"/>
      <c r="BS6" s="1394"/>
      <c r="BT6" s="325"/>
      <c r="BU6" s="325"/>
      <c r="BW6" s="56"/>
      <c r="BX6" s="56"/>
      <c r="BY6" s="56"/>
      <c r="BZ6" s="56"/>
    </row>
    <row r="7" spans="1:78" s="59" customFormat="1" ht="33" customHeight="1" x14ac:dyDescent="0.15">
      <c r="B7" s="2269" t="s">
        <v>724</v>
      </c>
      <c r="C7" s="2269"/>
      <c r="D7" s="2269"/>
      <c r="E7" s="2269"/>
      <c r="F7" s="2269"/>
      <c r="G7" s="2269"/>
      <c r="H7" s="2269"/>
      <c r="I7" s="2269"/>
      <c r="J7" s="2269"/>
      <c r="K7" s="2269"/>
      <c r="L7" s="2269"/>
      <c r="M7" s="2269"/>
      <c r="N7" s="1329"/>
      <c r="O7" s="1329"/>
      <c r="P7" s="1329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57"/>
      <c r="AY7" s="57"/>
      <c r="AZ7" s="57"/>
      <c r="BA7" s="333"/>
      <c r="BB7" s="333"/>
      <c r="BC7" s="333"/>
      <c r="BD7" s="333"/>
      <c r="BE7" s="333"/>
      <c r="BF7" s="333"/>
      <c r="BG7" s="333"/>
      <c r="BH7" s="333"/>
      <c r="BI7" s="333"/>
      <c r="BJ7" s="333"/>
      <c r="BK7" s="333"/>
      <c r="BL7" s="333"/>
      <c r="BM7" s="333"/>
      <c r="BN7" s="333"/>
      <c r="BO7" s="333"/>
      <c r="BP7" s="347"/>
      <c r="BQ7" s="347"/>
      <c r="BR7" s="347"/>
      <c r="BS7" s="347"/>
      <c r="BT7" s="333"/>
      <c r="BU7" s="333"/>
      <c r="BW7" s="110"/>
      <c r="BX7" s="110"/>
      <c r="BY7" s="110"/>
      <c r="BZ7" s="110"/>
    </row>
    <row r="8" spans="1:78" ht="52.9" customHeight="1" x14ac:dyDescent="0.2">
      <c r="A8" s="498" t="s">
        <v>725</v>
      </c>
      <c r="B8" s="496"/>
      <c r="C8" s="496"/>
      <c r="D8" s="308"/>
      <c r="E8" s="308"/>
      <c r="F8" s="308"/>
      <c r="G8" s="308"/>
      <c r="H8" s="308"/>
      <c r="I8" s="308"/>
      <c r="J8" s="308"/>
      <c r="K8" s="183"/>
      <c r="BP8" s="385"/>
      <c r="BQ8" s="385"/>
      <c r="BR8" s="385"/>
      <c r="BS8" s="385"/>
    </row>
    <row r="9" spans="1:78" ht="15.75" customHeight="1" x14ac:dyDescent="0.25">
      <c r="A9" s="2418" t="s">
        <v>480</v>
      </c>
      <c r="B9" s="2419" t="s">
        <v>13</v>
      </c>
      <c r="C9" s="2420"/>
      <c r="D9" s="2415"/>
      <c r="E9" s="2423" t="s">
        <v>481</v>
      </c>
      <c r="F9" s="2424"/>
      <c r="G9" s="2424"/>
      <c r="H9" s="2424"/>
      <c r="I9" s="2424"/>
      <c r="J9" s="2424"/>
      <c r="K9" s="2424"/>
      <c r="L9" s="2424"/>
      <c r="M9" s="2424"/>
      <c r="N9" s="2424"/>
      <c r="O9" s="2424"/>
      <c r="P9" s="2425"/>
      <c r="Q9" s="2415" t="s">
        <v>689</v>
      </c>
      <c r="R9" s="2414" t="s">
        <v>15</v>
      </c>
      <c r="W9" s="1050"/>
      <c r="X9" s="1050"/>
      <c r="Y9" s="1050"/>
      <c r="Z9" s="1050"/>
      <c r="AA9" s="1050"/>
      <c r="AB9" s="1050"/>
      <c r="AC9" s="1050"/>
      <c r="AD9" s="1050"/>
      <c r="AE9" s="1050"/>
      <c r="AF9" s="1050"/>
      <c r="BP9" s="385"/>
      <c r="BQ9" s="385"/>
      <c r="BR9" s="385"/>
      <c r="BS9" s="385"/>
    </row>
    <row r="10" spans="1:78" ht="15.75" customHeight="1" x14ac:dyDescent="0.15">
      <c r="A10" s="2418"/>
      <c r="B10" s="2421"/>
      <c r="C10" s="2422"/>
      <c r="D10" s="2417"/>
      <c r="E10" s="2408" t="s">
        <v>527</v>
      </c>
      <c r="F10" s="2409"/>
      <c r="G10" s="2408" t="s">
        <v>528</v>
      </c>
      <c r="H10" s="2409"/>
      <c r="I10" s="2408" t="s">
        <v>529</v>
      </c>
      <c r="J10" s="2409"/>
      <c r="K10" s="2408" t="s">
        <v>482</v>
      </c>
      <c r="L10" s="2409"/>
      <c r="M10" s="2408" t="s">
        <v>316</v>
      </c>
      <c r="N10" s="2409"/>
      <c r="O10" s="2408" t="s">
        <v>483</v>
      </c>
      <c r="P10" s="2410"/>
      <c r="Q10" s="2416"/>
      <c r="R10" s="1789"/>
      <c r="BP10" s="385"/>
      <c r="BQ10" s="385"/>
      <c r="BR10" s="385"/>
      <c r="BS10" s="385"/>
    </row>
    <row r="11" spans="1:78" ht="18" customHeight="1" x14ac:dyDescent="0.15">
      <c r="A11" s="2418"/>
      <c r="B11" s="1254" t="s">
        <v>369</v>
      </c>
      <c r="C11" s="1255" t="s">
        <v>416</v>
      </c>
      <c r="D11" s="1256" t="s">
        <v>30</v>
      </c>
      <c r="E11" s="1257" t="s">
        <v>416</v>
      </c>
      <c r="F11" s="1256" t="s">
        <v>30</v>
      </c>
      <c r="G11" s="1330" t="s">
        <v>416</v>
      </c>
      <c r="H11" s="1256" t="s">
        <v>30</v>
      </c>
      <c r="I11" s="1330" t="s">
        <v>416</v>
      </c>
      <c r="J11" s="1258" t="s">
        <v>30</v>
      </c>
      <c r="K11" s="1255" t="s">
        <v>416</v>
      </c>
      <c r="L11" s="1258" t="s">
        <v>30</v>
      </c>
      <c r="M11" s="1255" t="s">
        <v>416</v>
      </c>
      <c r="N11" s="1258" t="s">
        <v>30</v>
      </c>
      <c r="O11" s="1255" t="s">
        <v>416</v>
      </c>
      <c r="P11" s="1259" t="s">
        <v>30</v>
      </c>
      <c r="Q11" s="2417"/>
      <c r="R11" s="1790"/>
      <c r="BP11" s="385"/>
      <c r="BQ11" s="385"/>
      <c r="BR11" s="385"/>
      <c r="BS11" s="385"/>
    </row>
    <row r="12" spans="1:78" ht="15.75" customHeight="1" x14ac:dyDescent="0.15">
      <c r="A12" s="1260" t="s">
        <v>13</v>
      </c>
      <c r="B12" s="1261">
        <f>SUM(C12:D12)</f>
        <v>0</v>
      </c>
      <c r="C12" s="615">
        <f>SUM(C13:C15)</f>
        <v>0</v>
      </c>
      <c r="D12" s="990">
        <f>SUM(D13:D15)</f>
        <v>0</v>
      </c>
      <c r="E12" s="1261">
        <f>SUM(E13:E15)</f>
        <v>0</v>
      </c>
      <c r="F12" s="1331">
        <f t="shared" ref="F12:P12" si="0">SUM(F13:F15)</f>
        <v>0</v>
      </c>
      <c r="G12" s="615">
        <f t="shared" si="0"/>
        <v>0</v>
      </c>
      <c r="H12" s="1331">
        <f t="shared" si="0"/>
        <v>0</v>
      </c>
      <c r="I12" s="615">
        <f t="shared" si="0"/>
        <v>0</v>
      </c>
      <c r="J12" s="1332">
        <f t="shared" si="0"/>
        <v>0</v>
      </c>
      <c r="K12" s="615">
        <f t="shared" si="0"/>
        <v>0</v>
      </c>
      <c r="L12" s="1332">
        <f t="shared" si="0"/>
        <v>0</v>
      </c>
      <c r="M12" s="615">
        <f t="shared" si="0"/>
        <v>0</v>
      </c>
      <c r="N12" s="1332">
        <f t="shared" si="0"/>
        <v>0</v>
      </c>
      <c r="O12" s="615">
        <f t="shared" si="0"/>
        <v>0</v>
      </c>
      <c r="P12" s="1262">
        <f t="shared" si="0"/>
        <v>0</v>
      </c>
      <c r="Q12" s="990">
        <f t="shared" ref="Q12" si="1">SUM(Q13:Q15)</f>
        <v>0</v>
      </c>
      <c r="R12" s="990">
        <f t="shared" ref="R12" si="2">SUM(R13:R15)</f>
        <v>0</v>
      </c>
      <c r="S12" s="376" t="str">
        <f t="shared" ref="S12:S14" si="3">BA12&amp;BB12&amp;BC12&amp;BD12</f>
        <v/>
      </c>
      <c r="BP12" s="385"/>
      <c r="BQ12" s="385"/>
      <c r="BR12" s="385"/>
      <c r="BS12" s="385"/>
    </row>
    <row r="13" spans="1:78" ht="15.75" customHeight="1" x14ac:dyDescent="0.15">
      <c r="A13" s="1073" t="s">
        <v>860</v>
      </c>
      <c r="B13" s="1274">
        <f>SUM(C13:D13)</f>
        <v>0</v>
      </c>
      <c r="C13" s="1263">
        <f>+E13+G13+I13+K13+M13+O13</f>
        <v>0</v>
      </c>
      <c r="D13" s="991">
        <f>+F13+H13+J13+L13+N13+P13</f>
        <v>0</v>
      </c>
      <c r="E13" s="576"/>
      <c r="F13" s="1207"/>
      <c r="G13" s="561"/>
      <c r="H13" s="1207"/>
      <c r="I13" s="561"/>
      <c r="J13" s="1207"/>
      <c r="K13" s="561"/>
      <c r="L13" s="1207"/>
      <c r="M13" s="561"/>
      <c r="N13" s="1207"/>
      <c r="O13" s="561"/>
      <c r="P13" s="1268"/>
      <c r="Q13" s="563"/>
      <c r="R13" s="563"/>
      <c r="S13" s="376" t="str">
        <f t="shared" si="3"/>
        <v/>
      </c>
      <c r="BA13" s="502" t="str">
        <f>IF(BP13=1," * El total de Migrantes no debe superar el total de población ingresada. ","")</f>
        <v/>
      </c>
      <c r="BB13" s="502" t="str">
        <f>IF(BQ13=1,"* No olvide ingresar la columna Migrantes (Digite Cero si no tiene). ","")</f>
        <v/>
      </c>
      <c r="BC13" s="502" t="str">
        <f t="shared" ref="BC13" si="4">IF(BR13=1," * El total de Pueblos Originarios no debe superar el total de población ingresada. ","")</f>
        <v/>
      </c>
      <c r="BD13" s="502" t="str">
        <f t="shared" ref="BD13" si="5">IF(BS13=1,"* No olvide ingresar la columna Pueblos Originarios (Digite Cero si no tiene). ","")</f>
        <v/>
      </c>
      <c r="BP13" s="503">
        <f>IF(Q13&gt;B13,1,0)</f>
        <v>0</v>
      </c>
      <c r="BQ13" s="391">
        <f>IF(AND(B13&lt;&gt;0,Q13=""),1,0)</f>
        <v>0</v>
      </c>
      <c r="BR13" s="503">
        <f>IF(R13&gt;B13,1,0)</f>
        <v>0</v>
      </c>
      <c r="BS13" s="391">
        <f>IF(AND(B13&lt;&gt;0,R13=""),1,0)</f>
        <v>0</v>
      </c>
    </row>
    <row r="14" spans="1:78" ht="15.75" customHeight="1" x14ac:dyDescent="0.15">
      <c r="A14" s="1264" t="s">
        <v>485</v>
      </c>
      <c r="B14" s="1265">
        <f>SUM(C14:D14)</f>
        <v>0</v>
      </c>
      <c r="C14" s="1266">
        <f>+E14+G14+I14+K14+M14+O14</f>
        <v>0</v>
      </c>
      <c r="D14" s="1267">
        <f>+F14+H14+J14+L14+N14+P14</f>
        <v>0</v>
      </c>
      <c r="E14" s="576"/>
      <c r="F14" s="561"/>
      <c r="G14" s="576"/>
      <c r="H14" s="561"/>
      <c r="I14" s="576"/>
      <c r="J14" s="561"/>
      <c r="K14" s="576"/>
      <c r="L14" s="561"/>
      <c r="M14" s="576"/>
      <c r="N14" s="561"/>
      <c r="O14" s="576"/>
      <c r="P14" s="1268"/>
      <c r="Q14" s="563"/>
      <c r="R14" s="563"/>
      <c r="S14" s="376" t="str">
        <f t="shared" si="3"/>
        <v/>
      </c>
      <c r="BA14" s="502" t="str">
        <f>IF(BP14=1," * El total de Migrantes no debe superar el total de población ingresada. ","")</f>
        <v/>
      </c>
      <c r="BB14" s="502" t="str">
        <f>IF(BQ14=1,"* No olvide ingresar la columna Migrantes (Digite Cero si no tiene). ","")</f>
        <v/>
      </c>
      <c r="BC14" s="502" t="str">
        <f t="shared" ref="BC14:BC15" si="6">IF(BR14=1," * El total de Pueblos Originarios no debe superar el total de población ingresada. ","")</f>
        <v/>
      </c>
      <c r="BD14" s="502" t="str">
        <f t="shared" ref="BD14:BD15" si="7">IF(BS14=1,"* No olvide ingresar la columna Pueblos Originarios (Digite Cero si no tiene). ","")</f>
        <v/>
      </c>
      <c r="BP14" s="503">
        <f>IF(Q14&gt;B14,1,0)</f>
        <v>0</v>
      </c>
      <c r="BQ14" s="391">
        <f>IF(AND(B14&lt;&gt;0,Q14=""),1,0)</f>
        <v>0</v>
      </c>
      <c r="BR14" s="503">
        <f>IF(R14&gt;B14,1,0)</f>
        <v>0</v>
      </c>
      <c r="BS14" s="391">
        <f>IF(AND(B14&lt;&gt;0,R14=""),1,0)</f>
        <v>0</v>
      </c>
    </row>
    <row r="15" spans="1:78" ht="15" customHeight="1" x14ac:dyDescent="0.15">
      <c r="A15" s="1077" t="s">
        <v>484</v>
      </c>
      <c r="B15" s="1269">
        <f>SUM(C15:D15)</f>
        <v>0</v>
      </c>
      <c r="C15" s="1270">
        <f>+E15+G15+I15+K15+M15+O15</f>
        <v>0</v>
      </c>
      <c r="D15" s="1271">
        <f>+J15+L15+N15+P15</f>
        <v>0</v>
      </c>
      <c r="E15" s="1511"/>
      <c r="F15" s="1512"/>
      <c r="G15" s="1511"/>
      <c r="H15" s="1512"/>
      <c r="I15" s="578"/>
      <c r="J15" s="555"/>
      <c r="K15" s="578"/>
      <c r="L15" s="555"/>
      <c r="M15" s="578"/>
      <c r="N15" s="555"/>
      <c r="O15" s="578"/>
      <c r="P15" s="1272"/>
      <c r="Q15" s="571"/>
      <c r="R15" s="571"/>
      <c r="S15" s="376" t="str">
        <f>BA15&amp;BB15&amp;BC15&amp;BD15</f>
        <v/>
      </c>
      <c r="BA15" s="502" t="str">
        <f>IF(BP15=1," * El total de Migrantes no debe superar el total de población ingresada. ","")</f>
        <v/>
      </c>
      <c r="BB15" s="502" t="str">
        <f>IF(BQ15=1,"* No olvide ingresar la columna Migrantes (Digite Cero si no tiene). ","")</f>
        <v/>
      </c>
      <c r="BC15" s="502" t="str">
        <f t="shared" si="6"/>
        <v/>
      </c>
      <c r="BD15" s="502" t="str">
        <f t="shared" si="7"/>
        <v/>
      </c>
      <c r="BP15" s="503">
        <f>IF(Q15&gt;B15,1,0)</f>
        <v>0</v>
      </c>
      <c r="BQ15" s="391">
        <f>IF(AND(B15&lt;&gt;0,Q15=""),1,0)</f>
        <v>0</v>
      </c>
      <c r="BR15" s="503">
        <f t="shared" ref="BR15" si="8">IF(R15&gt;B15,1,0)</f>
        <v>0</v>
      </c>
      <c r="BS15" s="391">
        <f t="shared" ref="BS15" si="9">IF(AND(B15&lt;&gt;0,R15=""),1,0)</f>
        <v>0</v>
      </c>
      <c r="BW15" s="180"/>
    </row>
    <row r="16" spans="1:78" ht="28.15" customHeight="1" x14ac:dyDescent="0.2">
      <c r="A16" s="498" t="s">
        <v>734</v>
      </c>
      <c r="BP16" s="385"/>
      <c r="BQ16" s="385"/>
      <c r="BR16" s="385"/>
      <c r="BS16" s="385"/>
      <c r="BW16" s="180"/>
      <c r="BX16" s="180"/>
    </row>
    <row r="17" spans="1:78" ht="16.5" customHeight="1" x14ac:dyDescent="0.25">
      <c r="A17" s="2418" t="s">
        <v>486</v>
      </c>
      <c r="B17" s="2419" t="s">
        <v>13</v>
      </c>
      <c r="C17" s="2420"/>
      <c r="D17" s="2415"/>
      <c r="E17" s="2423" t="s">
        <v>481</v>
      </c>
      <c r="F17" s="2424"/>
      <c r="G17" s="2424"/>
      <c r="H17" s="2424"/>
      <c r="I17" s="2424"/>
      <c r="J17" s="2424"/>
      <c r="K17" s="2424"/>
      <c r="L17" s="2424"/>
      <c r="M17" s="2424"/>
      <c r="N17" s="2424"/>
      <c r="O17" s="2424"/>
      <c r="P17" s="2425"/>
      <c r="Q17" s="2415" t="s">
        <v>689</v>
      </c>
      <c r="R17" s="2414" t="s">
        <v>15</v>
      </c>
      <c r="S17" s="2411" t="s">
        <v>723</v>
      </c>
      <c r="T17" s="2414" t="s">
        <v>722</v>
      </c>
      <c r="Y17" s="1050"/>
      <c r="AB17" s="1050"/>
      <c r="BP17" s="385"/>
      <c r="BQ17" s="385"/>
      <c r="BR17" s="385"/>
      <c r="BS17" s="385"/>
      <c r="BW17" s="180"/>
      <c r="BX17" s="180"/>
    </row>
    <row r="18" spans="1:78" ht="16.5" customHeight="1" x14ac:dyDescent="0.15">
      <c r="A18" s="2418"/>
      <c r="B18" s="2421"/>
      <c r="C18" s="2422"/>
      <c r="D18" s="2417"/>
      <c r="E18" s="2408" t="s">
        <v>527</v>
      </c>
      <c r="F18" s="2409"/>
      <c r="G18" s="2408" t="s">
        <v>528</v>
      </c>
      <c r="H18" s="2409"/>
      <c r="I18" s="2408" t="s">
        <v>529</v>
      </c>
      <c r="J18" s="2409"/>
      <c r="K18" s="2408" t="s">
        <v>482</v>
      </c>
      <c r="L18" s="2409"/>
      <c r="M18" s="2408" t="s">
        <v>487</v>
      </c>
      <c r="N18" s="2409"/>
      <c r="O18" s="2408" t="s">
        <v>483</v>
      </c>
      <c r="P18" s="2410"/>
      <c r="Q18" s="2416"/>
      <c r="R18" s="1789"/>
      <c r="S18" s="2412"/>
      <c r="T18" s="1789"/>
      <c r="BP18" s="385"/>
      <c r="BQ18" s="385"/>
      <c r="BR18" s="385"/>
      <c r="BS18" s="385"/>
      <c r="BW18" s="180"/>
      <c r="BX18" s="180"/>
    </row>
    <row r="19" spans="1:78" ht="21.75" customHeight="1" x14ac:dyDescent="0.15">
      <c r="A19" s="2418"/>
      <c r="B19" s="1254" t="s">
        <v>369</v>
      </c>
      <c r="C19" s="1255" t="s">
        <v>416</v>
      </c>
      <c r="D19" s="1258" t="s">
        <v>30</v>
      </c>
      <c r="E19" s="1257" t="s">
        <v>416</v>
      </c>
      <c r="F19" s="1258" t="s">
        <v>30</v>
      </c>
      <c r="G19" s="1255" t="s">
        <v>416</v>
      </c>
      <c r="H19" s="1258" t="s">
        <v>30</v>
      </c>
      <c r="I19" s="1255" t="s">
        <v>416</v>
      </c>
      <c r="J19" s="1258" t="s">
        <v>30</v>
      </c>
      <c r="K19" s="1255" t="s">
        <v>416</v>
      </c>
      <c r="L19" s="1258" t="s">
        <v>30</v>
      </c>
      <c r="M19" s="1255" t="s">
        <v>416</v>
      </c>
      <c r="N19" s="1258" t="s">
        <v>30</v>
      </c>
      <c r="O19" s="1255" t="s">
        <v>416</v>
      </c>
      <c r="P19" s="1259" t="s">
        <v>30</v>
      </c>
      <c r="Q19" s="2417"/>
      <c r="R19" s="1790"/>
      <c r="S19" s="2413"/>
      <c r="T19" s="1790"/>
      <c r="BP19" s="385"/>
      <c r="BQ19" s="385"/>
      <c r="BR19" s="385"/>
      <c r="BS19" s="385"/>
      <c r="BW19" s="180"/>
      <c r="BX19" s="180"/>
      <c r="BY19" s="180"/>
    </row>
    <row r="20" spans="1:78" ht="25.5" customHeight="1" x14ac:dyDescent="0.15">
      <c r="A20" s="1273" t="s">
        <v>488</v>
      </c>
      <c r="B20" s="1274">
        <f t="shared" ref="B20:B24" si="10">SUM(C20:D20)</f>
        <v>0</v>
      </c>
      <c r="C20" s="1263">
        <f>+I20+K20+M20+O20</f>
        <v>0</v>
      </c>
      <c r="D20" s="991">
        <f>+J20+L20+N20+P20</f>
        <v>0</v>
      </c>
      <c r="E20" s="1513"/>
      <c r="F20" s="1514"/>
      <c r="G20" s="1513"/>
      <c r="H20" s="1514"/>
      <c r="I20" s="548"/>
      <c r="J20" s="549"/>
      <c r="K20" s="548"/>
      <c r="L20" s="549"/>
      <c r="M20" s="548"/>
      <c r="N20" s="549"/>
      <c r="O20" s="548"/>
      <c r="P20" s="551"/>
      <c r="Q20" s="552"/>
      <c r="R20" s="552"/>
      <c r="S20" s="552"/>
      <c r="T20" s="552"/>
      <c r="U20" s="376" t="str">
        <f>BA20&amp;BB20&amp;BC20&amp;BD20&amp;BE20&amp;BF20</f>
        <v/>
      </c>
      <c r="BA20" s="502" t="str">
        <f t="shared" ref="BA20:BA25" si="11">IF(BP20=1," * El total de Migrantes no debe superar el total de población ingresada. ","")</f>
        <v/>
      </c>
      <c r="BB20" s="502" t="str">
        <f t="shared" ref="BB20:BB25" si="12">IF(BQ20=1,"* No olvide ingresar la columna Migrantes (Digite Cero si no tiene). ","")</f>
        <v/>
      </c>
      <c r="BC20" s="502" t="str">
        <f t="shared" ref="BC20:BC25" si="13">IF(BR20=1," * El total de Pueblos Originarios no debe superar el total de población ingresada. ","")</f>
        <v/>
      </c>
      <c r="BD20" s="502" t="str">
        <f t="shared" ref="BD20:BD25" si="14">IF(BS20=1,"* No olvide ingresar la columna Pueblos Originarios (Digite Cero si no tiene). ","")</f>
        <v/>
      </c>
      <c r="BE20" s="502" t="str">
        <f>IF(BT20=1," * El total de Población SENAME no debe superar el total de población ingresada. ","")</f>
        <v/>
      </c>
      <c r="BF20" s="502" t="str">
        <f>IF(BU20=1,"* No olvide ingresar la columna SENAME (Digite Cero si no tiene). ","")</f>
        <v/>
      </c>
      <c r="BP20" s="503">
        <f t="shared" ref="BP20:BP25" si="15">IF(Q20&gt;B20,1,0)</f>
        <v>0</v>
      </c>
      <c r="BQ20" s="391">
        <f t="shared" ref="BQ20:BQ25" si="16">IF(AND(B20&lt;&gt;0,Q20=""),1,0)</f>
        <v>0</v>
      </c>
      <c r="BR20" s="503">
        <f t="shared" ref="BR20:BR25" si="17">IF(R20&gt;B20,1,0)</f>
        <v>0</v>
      </c>
      <c r="BS20" s="391">
        <f t="shared" ref="BS20:BS25" si="18">IF(AND(B20&lt;&gt;0,R20=""),1,0)</f>
        <v>0</v>
      </c>
      <c r="BT20" s="503">
        <f>IF(T20&gt;B20,1,0)</f>
        <v>0</v>
      </c>
      <c r="BU20" s="391">
        <f>IF(AND(B20&lt;&gt;0,T20=""),1,0)</f>
        <v>0</v>
      </c>
      <c r="BW20" s="180"/>
      <c r="BX20" s="180"/>
    </row>
    <row r="21" spans="1:78" ht="21.75" customHeight="1" x14ac:dyDescent="0.15">
      <c r="A21" s="1275" t="s">
        <v>489</v>
      </c>
      <c r="B21" s="1276">
        <f t="shared" si="10"/>
        <v>0</v>
      </c>
      <c r="C21" s="1277">
        <f>+I21+K21+M21+O21</f>
        <v>0</v>
      </c>
      <c r="D21" s="1278">
        <f>+J21+L21+N21+P21</f>
        <v>0</v>
      </c>
      <c r="E21" s="1515"/>
      <c r="F21" s="1516"/>
      <c r="G21" s="1515"/>
      <c r="H21" s="1516"/>
      <c r="I21" s="619"/>
      <c r="J21" s="564"/>
      <c r="K21" s="619"/>
      <c r="L21" s="564"/>
      <c r="M21" s="619"/>
      <c r="N21" s="564"/>
      <c r="O21" s="619"/>
      <c r="P21" s="566"/>
      <c r="Q21" s="567"/>
      <c r="R21" s="567"/>
      <c r="S21" s="567"/>
      <c r="T21" s="567"/>
      <c r="U21" s="376" t="str">
        <f t="shared" ref="U21:U25" si="19">BA21&amp;BB21&amp;BC21&amp;BD21&amp;BE21&amp;BF21</f>
        <v/>
      </c>
      <c r="BA21" s="502" t="str">
        <f t="shared" si="11"/>
        <v/>
      </c>
      <c r="BB21" s="502" t="str">
        <f t="shared" si="12"/>
        <v/>
      </c>
      <c r="BC21" s="502" t="str">
        <f t="shared" si="13"/>
        <v/>
      </c>
      <c r="BD21" s="502" t="str">
        <f t="shared" si="14"/>
        <v/>
      </c>
      <c r="BE21" s="502" t="str">
        <f t="shared" ref="BE21:BE25" si="20">IF(BT21=1," * El total de Población SENAME no debe superar el total de población ingresada. ","")</f>
        <v/>
      </c>
      <c r="BF21" s="502" t="str">
        <f t="shared" ref="BF21:BF25" si="21">IF(BU21=1,"* No olvide ingresar la columna SENAME (Digite Cero si no tiene). ","")</f>
        <v/>
      </c>
      <c r="BP21" s="503">
        <f t="shared" si="15"/>
        <v>0</v>
      </c>
      <c r="BQ21" s="391">
        <f t="shared" si="16"/>
        <v>0</v>
      </c>
      <c r="BR21" s="503">
        <f t="shared" si="17"/>
        <v>0</v>
      </c>
      <c r="BS21" s="391">
        <f t="shared" si="18"/>
        <v>0</v>
      </c>
      <c r="BT21" s="503">
        <f t="shared" ref="BT21:BT25" si="22">IF(T21&gt;B21,1,0)</f>
        <v>0</v>
      </c>
      <c r="BU21" s="391">
        <f t="shared" ref="BU21:BU25" si="23">IF(AND(B21&lt;&gt;0,T21=""),1,0)</f>
        <v>0</v>
      </c>
      <c r="BW21" s="180"/>
    </row>
    <row r="22" spans="1:78" ht="21.75" customHeight="1" x14ac:dyDescent="0.15">
      <c r="A22" s="1275" t="s">
        <v>490</v>
      </c>
      <c r="B22" s="1276">
        <f t="shared" si="10"/>
        <v>0</v>
      </c>
      <c r="C22" s="1277">
        <f>+E22+G22</f>
        <v>0</v>
      </c>
      <c r="D22" s="1278">
        <f>+F22+H22</f>
        <v>0</v>
      </c>
      <c r="E22" s="576"/>
      <c r="F22" s="561"/>
      <c r="G22" s="576"/>
      <c r="H22" s="561"/>
      <c r="I22" s="1515"/>
      <c r="J22" s="1516"/>
      <c r="K22" s="1515"/>
      <c r="L22" s="1516"/>
      <c r="M22" s="1515"/>
      <c r="N22" s="1516"/>
      <c r="O22" s="1515"/>
      <c r="P22" s="1517"/>
      <c r="Q22" s="567"/>
      <c r="R22" s="567"/>
      <c r="S22" s="567"/>
      <c r="T22" s="567"/>
      <c r="U22" s="376" t="str">
        <f t="shared" si="19"/>
        <v/>
      </c>
      <c r="BA22" s="502" t="str">
        <f t="shared" si="11"/>
        <v/>
      </c>
      <c r="BB22" s="502" t="str">
        <f t="shared" si="12"/>
        <v/>
      </c>
      <c r="BC22" s="502" t="str">
        <f t="shared" si="13"/>
        <v/>
      </c>
      <c r="BD22" s="502" t="str">
        <f t="shared" si="14"/>
        <v/>
      </c>
      <c r="BE22" s="502" t="str">
        <f t="shared" si="20"/>
        <v/>
      </c>
      <c r="BF22" s="502" t="str">
        <f t="shared" si="21"/>
        <v/>
      </c>
      <c r="BP22" s="503">
        <f t="shared" si="15"/>
        <v>0</v>
      </c>
      <c r="BQ22" s="391">
        <f t="shared" si="16"/>
        <v>0</v>
      </c>
      <c r="BR22" s="503">
        <f t="shared" si="17"/>
        <v>0</v>
      </c>
      <c r="BS22" s="391">
        <f t="shared" si="18"/>
        <v>0</v>
      </c>
      <c r="BT22" s="503">
        <f t="shared" si="22"/>
        <v>0</v>
      </c>
      <c r="BU22" s="391">
        <f t="shared" si="23"/>
        <v>0</v>
      </c>
      <c r="BW22" s="180"/>
    </row>
    <row r="23" spans="1:78" ht="25.5" customHeight="1" x14ac:dyDescent="0.15">
      <c r="A23" s="1275" t="s">
        <v>491</v>
      </c>
      <c r="B23" s="1276">
        <f t="shared" si="10"/>
        <v>0</v>
      </c>
      <c r="C23" s="1277">
        <f>+I23+K23+M23+O23</f>
        <v>0</v>
      </c>
      <c r="D23" s="1278">
        <f>+J23+L23+N23+P23</f>
        <v>0</v>
      </c>
      <c r="E23" s="1515"/>
      <c r="F23" s="1516"/>
      <c r="G23" s="1515"/>
      <c r="H23" s="1516"/>
      <c r="I23" s="619"/>
      <c r="J23" s="564"/>
      <c r="K23" s="619"/>
      <c r="L23" s="564"/>
      <c r="M23" s="619"/>
      <c r="N23" s="564"/>
      <c r="O23" s="619"/>
      <c r="P23" s="566"/>
      <c r="Q23" s="567"/>
      <c r="R23" s="567"/>
      <c r="S23" s="567"/>
      <c r="T23" s="567"/>
      <c r="U23" s="376" t="str">
        <f t="shared" si="19"/>
        <v/>
      </c>
      <c r="BA23" s="502" t="str">
        <f t="shared" si="11"/>
        <v/>
      </c>
      <c r="BB23" s="502" t="str">
        <f t="shared" si="12"/>
        <v/>
      </c>
      <c r="BC23" s="502" t="str">
        <f t="shared" si="13"/>
        <v/>
      </c>
      <c r="BD23" s="502" t="str">
        <f t="shared" si="14"/>
        <v/>
      </c>
      <c r="BE23" s="502" t="str">
        <f t="shared" si="20"/>
        <v/>
      </c>
      <c r="BF23" s="502" t="str">
        <f t="shared" si="21"/>
        <v/>
      </c>
      <c r="BP23" s="503">
        <f t="shared" si="15"/>
        <v>0</v>
      </c>
      <c r="BQ23" s="391">
        <f t="shared" si="16"/>
        <v>0</v>
      </c>
      <c r="BR23" s="503">
        <f t="shared" si="17"/>
        <v>0</v>
      </c>
      <c r="BS23" s="391">
        <f t="shared" si="18"/>
        <v>0</v>
      </c>
      <c r="BT23" s="503">
        <f t="shared" si="22"/>
        <v>0</v>
      </c>
      <c r="BU23" s="391">
        <f t="shared" si="23"/>
        <v>0</v>
      </c>
      <c r="BW23" s="180"/>
    </row>
    <row r="24" spans="1:78" ht="19.5" customHeight="1" x14ac:dyDescent="0.15">
      <c r="A24" s="1275" t="s">
        <v>492</v>
      </c>
      <c r="B24" s="1276">
        <f t="shared" si="10"/>
        <v>0</v>
      </c>
      <c r="C24" s="1277">
        <f>+E24+G24+I24+K24+M24+O24</f>
        <v>0</v>
      </c>
      <c r="D24" s="1278">
        <f>+F24+H24+J24+L24+N24+P24</f>
        <v>0</v>
      </c>
      <c r="E24" s="619"/>
      <c r="F24" s="564"/>
      <c r="G24" s="619"/>
      <c r="H24" s="564"/>
      <c r="I24" s="619"/>
      <c r="J24" s="564"/>
      <c r="K24" s="619"/>
      <c r="L24" s="564"/>
      <c r="M24" s="619"/>
      <c r="N24" s="564"/>
      <c r="O24" s="619"/>
      <c r="P24" s="566"/>
      <c r="Q24" s="567"/>
      <c r="R24" s="567"/>
      <c r="S24" s="567"/>
      <c r="T24" s="567"/>
      <c r="U24" s="376" t="str">
        <f t="shared" si="19"/>
        <v/>
      </c>
      <c r="BA24" s="502" t="str">
        <f t="shared" si="11"/>
        <v/>
      </c>
      <c r="BB24" s="502" t="str">
        <f t="shared" si="12"/>
        <v/>
      </c>
      <c r="BC24" s="502" t="str">
        <f t="shared" si="13"/>
        <v/>
      </c>
      <c r="BD24" s="502" t="str">
        <f t="shared" si="14"/>
        <v/>
      </c>
      <c r="BE24" s="502" t="str">
        <f t="shared" si="20"/>
        <v/>
      </c>
      <c r="BF24" s="502" t="str">
        <f t="shared" si="21"/>
        <v/>
      </c>
      <c r="BP24" s="503">
        <f t="shared" si="15"/>
        <v>0</v>
      </c>
      <c r="BQ24" s="391">
        <f t="shared" si="16"/>
        <v>0</v>
      </c>
      <c r="BR24" s="503">
        <f t="shared" si="17"/>
        <v>0</v>
      </c>
      <c r="BS24" s="391">
        <f t="shared" si="18"/>
        <v>0</v>
      </c>
      <c r="BT24" s="503">
        <f t="shared" si="22"/>
        <v>0</v>
      </c>
      <c r="BU24" s="391">
        <f t="shared" si="23"/>
        <v>0</v>
      </c>
    </row>
    <row r="25" spans="1:78" ht="21" customHeight="1" x14ac:dyDescent="0.15">
      <c r="A25" s="1279" t="s">
        <v>493</v>
      </c>
      <c r="B25" s="1269">
        <f>SUM(C25:D25)</f>
        <v>0</v>
      </c>
      <c r="C25" s="1270">
        <f>+E25+G25+I25+K25+M25</f>
        <v>0</v>
      </c>
      <c r="D25" s="1271">
        <f>+F25+H25+J25+L25+N25</f>
        <v>0</v>
      </c>
      <c r="E25" s="578"/>
      <c r="F25" s="555"/>
      <c r="G25" s="578"/>
      <c r="H25" s="555"/>
      <c r="I25" s="578"/>
      <c r="J25" s="555"/>
      <c r="K25" s="578"/>
      <c r="L25" s="555"/>
      <c r="M25" s="578"/>
      <c r="N25" s="555"/>
      <c r="O25" s="1511"/>
      <c r="P25" s="1484"/>
      <c r="Q25" s="571"/>
      <c r="R25" s="571"/>
      <c r="S25" s="571"/>
      <c r="T25" s="571"/>
      <c r="U25" s="376" t="str">
        <f t="shared" si="19"/>
        <v/>
      </c>
      <c r="BA25" s="502" t="str">
        <f t="shared" si="11"/>
        <v/>
      </c>
      <c r="BB25" s="502" t="str">
        <f t="shared" si="12"/>
        <v/>
      </c>
      <c r="BC25" s="502" t="str">
        <f t="shared" si="13"/>
        <v/>
      </c>
      <c r="BD25" s="502" t="str">
        <f t="shared" si="14"/>
        <v/>
      </c>
      <c r="BE25" s="502" t="str">
        <f t="shared" si="20"/>
        <v/>
      </c>
      <c r="BF25" s="502" t="str">
        <f t="shared" si="21"/>
        <v/>
      </c>
      <c r="BP25" s="503">
        <f t="shared" si="15"/>
        <v>0</v>
      </c>
      <c r="BQ25" s="391">
        <f t="shared" si="16"/>
        <v>0</v>
      </c>
      <c r="BR25" s="503">
        <f t="shared" si="17"/>
        <v>0</v>
      </c>
      <c r="BS25" s="391">
        <f t="shared" si="18"/>
        <v>0</v>
      </c>
      <c r="BT25" s="503">
        <f t="shared" si="22"/>
        <v>0</v>
      </c>
      <c r="BU25" s="391">
        <f t="shared" si="23"/>
        <v>0</v>
      </c>
      <c r="BW25" s="180"/>
      <c r="BX25" s="180"/>
      <c r="BY25" s="180"/>
      <c r="BZ25" s="180"/>
    </row>
    <row r="39" spans="1:52" s="387" customFormat="1" ht="13.15" hidden="1" customHeight="1" x14ac:dyDescent="0.15">
      <c r="A39" s="1286">
        <f>SUM(B12:R15,B20:T25)</f>
        <v>0</v>
      </c>
      <c r="B39" s="381" t="s">
        <v>317</v>
      </c>
      <c r="AX39" s="57"/>
      <c r="AY39" s="57"/>
      <c r="AZ39" s="57"/>
    </row>
    <row r="40" spans="1:52" s="387" customFormat="1" ht="13.15" hidden="1" customHeight="1" x14ac:dyDescent="0.15">
      <c r="A40" s="1286">
        <f>SUM(BP5:BU25)</f>
        <v>0</v>
      </c>
      <c r="B40" s="381" t="s">
        <v>318</v>
      </c>
      <c r="AX40" s="57"/>
      <c r="AY40" s="57"/>
      <c r="AZ40" s="57"/>
    </row>
  </sheetData>
  <sheetProtection algorithmName="SHA-512" hashValue="5dWp1f29C86fnsTK1zn+yZevK26vCZFQup9jhSxNlgx7NsP+m8ktIBnnDQLDslc/vb37Hrb5UMM42kkkXzEsYg==" saltValue="YSt8MYinUBMo+d9bADO2OQ==" spinCount="100000" sheet="1" objects="1" scenarios="1"/>
  <mergeCells count="25">
    <mergeCell ref="A9:A11"/>
    <mergeCell ref="B9:D10"/>
    <mergeCell ref="E9:P9"/>
    <mergeCell ref="B7:M7"/>
    <mergeCell ref="A17:A19"/>
    <mergeCell ref="B17:D18"/>
    <mergeCell ref="E17:P17"/>
    <mergeCell ref="E18:F18"/>
    <mergeCell ref="G18:H18"/>
    <mergeCell ref="I18:J18"/>
    <mergeCell ref="E10:F10"/>
    <mergeCell ref="G10:H10"/>
    <mergeCell ref="K18:L18"/>
    <mergeCell ref="M18:N18"/>
    <mergeCell ref="O18:P18"/>
    <mergeCell ref="K10:L10"/>
    <mergeCell ref="M10:N10"/>
    <mergeCell ref="O10:P10"/>
    <mergeCell ref="I10:J10"/>
    <mergeCell ref="S17:S19"/>
    <mergeCell ref="T17:T19"/>
    <mergeCell ref="R17:R19"/>
    <mergeCell ref="R9:R11"/>
    <mergeCell ref="Q9:Q11"/>
    <mergeCell ref="Q17:Q19"/>
  </mergeCells>
  <dataValidations count="3">
    <dataValidation allowBlank="1" showInputMessage="1" showErrorMessage="1" errorTitle="Error de ingreso" error="Debe ingresar sólo números enteros positivos." sqref="C1:O6 U16:V1048576 E8:O12 C8:D1048576 Q26:T1048576 P1:R12 S1:T15 V15 E16:H19 E26:N1048576 A1:B1048576 AB18:AB1048576 W1:AF8 W10:X1048576 Y18:Y1048576 Y10:Y16 Z10:AA1048576 AC10:AF1048576 AB10:AB16 AG1:XFD1048576 I16:T19 U1:V14 O26:P1048576" xr:uid="{00000000-0002-0000-0B00-000000000000}"/>
    <dataValidation allowBlank="1" showInputMessage="1" showErrorMessage="1" errorTitle=" Error de ingreso" error="Debe ingresar sólo números enteros positivos." sqref="W9:AF9 Y17 AB17" xr:uid="{8C0E7CB2-3A3D-42FA-AF61-FB933DD6D1FB}"/>
    <dataValidation type="whole" operator="greaterThanOrEqual" allowBlank="1" showInputMessage="1" showErrorMessage="1" sqref="E13:R15 E20:T25" xr:uid="{2B1F8A43-3B65-4476-83BE-18D7CB6F99D1}">
      <formula1>0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X52"/>
  <sheetViews>
    <sheetView showGridLines="0" showZeros="0" showOutlineSymbols="0" zoomScaleNormal="100" workbookViewId="0">
      <selection activeCell="C5" sqref="C5"/>
    </sheetView>
  </sheetViews>
  <sheetFormatPr baseColWidth="10" defaultColWidth="11.42578125" defaultRowHeight="12.75" x14ac:dyDescent="0.2"/>
  <cols>
    <col min="1" max="2" width="1.85546875" style="26" customWidth="1"/>
    <col min="3" max="3" width="26.42578125" style="26" customWidth="1"/>
    <col min="4" max="4" width="19.140625" style="26" customWidth="1"/>
    <col min="5" max="5" width="52.85546875" style="26" customWidth="1"/>
    <col min="6" max="6" width="20.42578125" style="26" customWidth="1"/>
    <col min="7" max="7" width="27.140625" style="26" customWidth="1"/>
    <col min="8" max="8" width="67.28515625" style="26" customWidth="1"/>
    <col min="9" max="9" width="73.42578125" style="26" customWidth="1"/>
    <col min="10" max="10" width="13.85546875" style="26" customWidth="1"/>
    <col min="11" max="15" width="14.140625" style="26" customWidth="1"/>
    <col min="16" max="18" width="11.42578125" style="26"/>
    <col min="19" max="19" width="18.28515625" style="26" customWidth="1"/>
    <col min="20" max="23" width="11.42578125" style="26"/>
    <col min="24" max="24" width="19.42578125" style="26" hidden="1" customWidth="1"/>
    <col min="25" max="26" width="19.42578125" style="26" customWidth="1"/>
    <col min="27" max="16384" width="11.42578125" style="26"/>
  </cols>
  <sheetData>
    <row r="1" spans="1:24" ht="23.25" customHeight="1" x14ac:dyDescent="0.2">
      <c r="A1" s="51"/>
      <c r="B1" s="51"/>
      <c r="C1" s="32" t="s">
        <v>530</v>
      </c>
      <c r="D1" s="33"/>
      <c r="E1" s="33"/>
      <c r="F1" s="33"/>
      <c r="G1" s="33"/>
      <c r="H1" s="33"/>
      <c r="I1" s="33"/>
      <c r="J1" s="34"/>
      <c r="K1" s="51"/>
      <c r="L1" s="51"/>
    </row>
    <row r="2" spans="1:24" ht="23.25" customHeight="1" x14ac:dyDescent="0.25">
      <c r="A2" s="51"/>
      <c r="B2" s="51"/>
      <c r="C2" s="35" t="s">
        <v>272</v>
      </c>
      <c r="D2" s="36"/>
      <c r="E2" s="36"/>
      <c r="F2" s="36"/>
      <c r="G2" s="36"/>
      <c r="H2" s="36"/>
      <c r="I2" s="36"/>
      <c r="J2" s="37"/>
      <c r="K2" s="51"/>
      <c r="L2" s="51"/>
    </row>
    <row r="3" spans="1:24" ht="23.25" customHeight="1" thickBot="1" x14ac:dyDescent="0.3">
      <c r="A3" s="51"/>
      <c r="B3" s="51"/>
      <c r="C3" s="38" t="s">
        <v>273</v>
      </c>
      <c r="D3" s="39"/>
      <c r="E3" s="39"/>
      <c r="F3" s="39"/>
      <c r="G3" s="39"/>
      <c r="H3" s="39"/>
      <c r="I3" s="39"/>
      <c r="J3" s="40"/>
      <c r="K3" s="51"/>
      <c r="L3" s="51"/>
    </row>
    <row r="4" spans="1:24" ht="49.5" customHeight="1" x14ac:dyDescent="0.2">
      <c r="A4" s="51"/>
      <c r="B4" s="51"/>
      <c r="C4" s="52" t="str">
        <f>CONCATENATE("ESTABLECIMIENTO/ESTRATEGIA: ",NOMBRE!$B$3," - ","( ",NOMBRE!$C$3,NOMBRE!$D$3,NOMBRE!$E$3,NOMBRE!$F$3,NOMBRE!$G$3,NOMBRE!$H$3,NOMBRE!$I$3," )")</f>
        <v>ESTABLECIMIENTO/ESTRATEGIA:  - ( Falta Cód. Est. )</v>
      </c>
      <c r="D4" s="51"/>
      <c r="E4" s="51"/>
      <c r="F4" s="51"/>
      <c r="G4" s="51"/>
      <c r="H4" s="51"/>
      <c r="I4" s="51"/>
      <c r="J4" s="51"/>
      <c r="K4" s="51"/>
      <c r="L4" s="51"/>
    </row>
    <row r="5" spans="1:24" ht="34.5" customHeight="1" x14ac:dyDescent="0.2">
      <c r="A5" s="51"/>
      <c r="B5" s="51"/>
      <c r="C5" s="41" t="s">
        <v>274</v>
      </c>
      <c r="D5" s="41" t="s">
        <v>275</v>
      </c>
      <c r="E5" s="41" t="s">
        <v>276</v>
      </c>
      <c r="F5" s="41" t="s">
        <v>277</v>
      </c>
      <c r="G5" s="41" t="s">
        <v>278</v>
      </c>
      <c r="H5" s="41" t="s">
        <v>279</v>
      </c>
      <c r="I5" s="51"/>
      <c r="J5" s="51"/>
      <c r="K5" s="51"/>
      <c r="L5" s="51"/>
    </row>
    <row r="6" spans="1:24" ht="21.6" customHeight="1" x14ac:dyDescent="0.25">
      <c r="A6" s="51"/>
      <c r="B6" s="51"/>
      <c r="C6" s="42" t="s">
        <v>280</v>
      </c>
      <c r="D6" s="43">
        <f>NOMBRE!AG7</f>
        <v>5</v>
      </c>
      <c r="E6" s="51"/>
      <c r="F6" s="51"/>
      <c r="G6" s="51"/>
      <c r="H6" s="51"/>
      <c r="I6" s="51"/>
      <c r="J6" s="51"/>
      <c r="K6" s="51"/>
      <c r="L6" s="51"/>
    </row>
    <row r="7" spans="1:24" ht="21.6" customHeight="1" x14ac:dyDescent="0.25">
      <c r="A7" s="51"/>
      <c r="B7" s="51"/>
      <c r="C7" s="42" t="s">
        <v>281</v>
      </c>
      <c r="D7" s="43">
        <f>+'P1'!$A164</f>
        <v>0</v>
      </c>
      <c r="E7" s="44"/>
      <c r="F7" s="45" t="str">
        <f>IF('P1'!A163&gt;0,"","SIN DATOS")</f>
        <v>SIN DATOS</v>
      </c>
      <c r="G7" s="46"/>
      <c r="H7" s="47"/>
      <c r="I7" s="51"/>
      <c r="J7" s="51"/>
      <c r="K7" s="51"/>
      <c r="L7" s="51"/>
      <c r="X7" s="55" t="s">
        <v>282</v>
      </c>
    </row>
    <row r="8" spans="1:24" ht="21.6" customHeight="1" x14ac:dyDescent="0.25">
      <c r="A8" s="51"/>
      <c r="B8" s="51"/>
      <c r="C8" s="42" t="s">
        <v>283</v>
      </c>
      <c r="D8" s="258">
        <f>+'P2'!A215</f>
        <v>0</v>
      </c>
      <c r="E8" s="44"/>
      <c r="F8" s="45" t="str">
        <f>IF('P2'!A216&gt;0,"","SIN DATOS")</f>
        <v>SIN DATOS</v>
      </c>
      <c r="G8" s="46"/>
      <c r="H8" s="47"/>
      <c r="I8" s="51"/>
      <c r="J8" s="51"/>
      <c r="K8" s="51"/>
      <c r="L8" s="51"/>
      <c r="X8" s="55" t="s">
        <v>284</v>
      </c>
    </row>
    <row r="9" spans="1:24" ht="21.6" customHeight="1" x14ac:dyDescent="0.25">
      <c r="A9" s="51"/>
      <c r="B9" s="51"/>
      <c r="C9" s="42" t="s">
        <v>285</v>
      </c>
      <c r="D9" s="258">
        <f>+'P3'!A88</f>
        <v>0</v>
      </c>
      <c r="E9" s="44"/>
      <c r="F9" s="45" t="str">
        <f>IF('P3'!A87&gt;0,"","SIN DATOS")</f>
        <v>SIN DATOS</v>
      </c>
      <c r="G9" s="46"/>
      <c r="H9" s="47"/>
      <c r="I9" s="51"/>
      <c r="J9" s="51"/>
      <c r="K9" s="51"/>
      <c r="L9" s="51"/>
      <c r="X9" s="55" t="s">
        <v>286</v>
      </c>
    </row>
    <row r="10" spans="1:24" ht="21.6" customHeight="1" x14ac:dyDescent="0.25">
      <c r="A10" s="51"/>
      <c r="B10" s="51"/>
      <c r="C10" s="42" t="s">
        <v>287</v>
      </c>
      <c r="D10" s="258">
        <f>+'P4'!A101</f>
        <v>0</v>
      </c>
      <c r="E10" s="44"/>
      <c r="F10" s="45" t="str">
        <f>IF('P4'!A100&gt;0,"","SIN DATOS")</f>
        <v>SIN DATOS</v>
      </c>
      <c r="G10" s="46"/>
      <c r="H10" s="47"/>
      <c r="I10" s="51"/>
      <c r="J10" s="51"/>
      <c r="K10" s="51"/>
      <c r="L10" s="51"/>
      <c r="X10" s="55" t="s">
        <v>288</v>
      </c>
    </row>
    <row r="11" spans="1:24" ht="21.6" customHeight="1" x14ac:dyDescent="0.25">
      <c r="A11" s="51"/>
      <c r="B11" s="51"/>
      <c r="C11" s="42" t="s">
        <v>289</v>
      </c>
      <c r="D11" s="258">
        <f>+'P5'!A82</f>
        <v>0</v>
      </c>
      <c r="E11" s="44"/>
      <c r="F11" s="45" t="str">
        <f>IF('P5'!A81&gt;0,"","SIN DATOS")</f>
        <v>SIN DATOS</v>
      </c>
      <c r="G11" s="46"/>
      <c r="H11" s="47"/>
      <c r="I11" s="51"/>
      <c r="J11" s="51"/>
      <c r="K11" s="51"/>
      <c r="L11" s="51"/>
      <c r="X11" s="55" t="s">
        <v>290</v>
      </c>
    </row>
    <row r="12" spans="1:24" ht="21.6" customHeight="1" x14ac:dyDescent="0.25">
      <c r="A12" s="51"/>
      <c r="B12" s="51"/>
      <c r="C12" s="42" t="s">
        <v>291</v>
      </c>
      <c r="D12" s="258">
        <f>+'P6'!A138</f>
        <v>0</v>
      </c>
      <c r="E12" s="44"/>
      <c r="F12" s="45" t="str">
        <f>IF('P6'!A137&gt;0,"","SIN DATOS")</f>
        <v>SIN DATOS</v>
      </c>
      <c r="G12" s="46"/>
      <c r="H12" s="47"/>
      <c r="I12" s="51"/>
      <c r="J12" s="51"/>
      <c r="K12" s="51"/>
      <c r="L12" s="51"/>
    </row>
    <row r="13" spans="1:24" ht="21.6" customHeight="1" x14ac:dyDescent="0.25">
      <c r="A13" s="51"/>
      <c r="B13" s="51"/>
      <c r="C13" s="42" t="s">
        <v>292</v>
      </c>
      <c r="D13" s="258">
        <f>+'P7'!A50</f>
        <v>0</v>
      </c>
      <c r="E13" s="44"/>
      <c r="F13" s="45" t="str">
        <f>IF('P7'!A49&gt;0,"","SIN DATOS")</f>
        <v>SIN DATOS</v>
      </c>
      <c r="G13" s="46"/>
      <c r="H13" s="47"/>
      <c r="I13" s="51"/>
      <c r="J13" s="51"/>
      <c r="K13" s="51"/>
      <c r="L13" s="51"/>
    </row>
    <row r="14" spans="1:24" ht="21.6" customHeight="1" x14ac:dyDescent="0.25">
      <c r="A14" s="51"/>
      <c r="B14" s="51"/>
      <c r="C14" s="42" t="s">
        <v>454</v>
      </c>
      <c r="D14" s="258">
        <f>+'P9'!A106</f>
        <v>0</v>
      </c>
      <c r="E14" s="44"/>
      <c r="F14" s="45" t="str">
        <f>IF('P9'!A105&gt;0,"","SIN DATOS")</f>
        <v>SIN DATOS</v>
      </c>
      <c r="G14" s="46"/>
      <c r="H14" s="47"/>
      <c r="I14" s="51"/>
      <c r="J14" s="51"/>
      <c r="K14" s="51"/>
      <c r="L14" s="51"/>
    </row>
    <row r="15" spans="1:24" ht="21.6" customHeight="1" x14ac:dyDescent="0.25">
      <c r="A15" s="51"/>
      <c r="B15" s="51"/>
      <c r="C15" s="42" t="s">
        <v>293</v>
      </c>
      <c r="D15" s="258">
        <f>+'P11'!A34</f>
        <v>0</v>
      </c>
      <c r="E15" s="44"/>
      <c r="F15" s="45" t="str">
        <f>IF('P11'!A33&gt;0,"","SIN DATOS")</f>
        <v>SIN DATOS</v>
      </c>
      <c r="G15" s="46"/>
      <c r="H15" s="47"/>
      <c r="I15" s="51"/>
      <c r="J15" s="51"/>
      <c r="K15" s="51"/>
      <c r="L15" s="51"/>
    </row>
    <row r="16" spans="1:24" ht="21.6" customHeight="1" x14ac:dyDescent="0.25">
      <c r="A16" s="51"/>
      <c r="B16" s="51"/>
      <c r="C16" s="42" t="s">
        <v>294</v>
      </c>
      <c r="D16" s="258">
        <f>+'P12'!A200</f>
        <v>0</v>
      </c>
      <c r="E16" s="44"/>
      <c r="F16" s="45" t="str">
        <f>IF('P12'!A199&gt;0,"","SIN DATOS")</f>
        <v>SIN DATOS</v>
      </c>
      <c r="G16" s="46"/>
      <c r="H16" s="47"/>
      <c r="I16" s="51"/>
      <c r="J16" s="51"/>
      <c r="K16" s="51"/>
      <c r="L16" s="51"/>
    </row>
    <row r="17" spans="1:12" ht="21.6" customHeight="1" x14ac:dyDescent="0.25">
      <c r="A17" s="51"/>
      <c r="B17" s="51"/>
      <c r="C17" s="42" t="s">
        <v>533</v>
      </c>
      <c r="D17" s="258">
        <f>+'P13'!A40</f>
        <v>0</v>
      </c>
      <c r="E17" s="44"/>
      <c r="F17" s="45" t="str">
        <f>IF('P13'!A39&gt;0,"","SIN DATOS")</f>
        <v>SIN DATOS</v>
      </c>
      <c r="G17" s="46"/>
      <c r="H17" s="47"/>
      <c r="I17" s="51"/>
      <c r="J17" s="51"/>
      <c r="K17" s="51"/>
      <c r="L17" s="51"/>
    </row>
    <row r="18" spans="1:12" ht="21.6" customHeight="1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12" ht="21.6" customHeight="1" x14ac:dyDescent="0.25">
      <c r="A19" s="51"/>
      <c r="B19" s="51"/>
      <c r="C19" s="43" t="s">
        <v>13</v>
      </c>
      <c r="D19" s="43">
        <f>SUM(D6:D17)</f>
        <v>5</v>
      </c>
      <c r="E19" s="51"/>
      <c r="F19" s="51"/>
      <c r="G19" s="51"/>
      <c r="H19" s="51"/>
      <c r="I19" s="51"/>
      <c r="J19" s="51"/>
      <c r="K19" s="51"/>
      <c r="L19" s="51"/>
    </row>
    <row r="20" spans="1:12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1" spans="1:12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2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</row>
    <row r="23" spans="1:12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2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2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2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2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2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1:12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</row>
    <row r="33" spans="1:12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</row>
    <row r="34" spans="1:12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  <row r="38" spans="1:12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12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</row>
    <row r="41" spans="1:12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2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2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</row>
    <row r="48" spans="1:12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  <row r="51" spans="1:12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</row>
    <row r="52" spans="1:12" x14ac:dyDescent="0.2">
      <c r="C52" s="51"/>
      <c r="D52" s="51"/>
      <c r="E52" s="51"/>
      <c r="F52" s="51"/>
      <c r="G52" s="51"/>
      <c r="H52" s="51"/>
    </row>
  </sheetData>
  <sheetProtection algorithmName="SHA-512" hashValue="mftV08XKa28AHnlOheDojlLdmMywCCQVAsDX1DmfEOJl9LW/ISSjI3gXcNeNkCdFg1ABa/qKjLIW3CLWT8x9UQ==" saltValue="URSGWWkLkm7j+0q5Vf3rYw==" spinCount="100000" sheet="1" objects="1" scenarios="1"/>
  <phoneticPr fontId="26" type="noConversion"/>
  <dataValidations count="1">
    <dataValidation type="list" allowBlank="1" showInputMessage="1" showErrorMessage="1" sqref="G7:G17" xr:uid="{00000000-0002-0000-0C00-000000000000}">
      <formula1>$X$7:$X$11</formula1>
    </dataValidation>
  </dataValidation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X15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48" customWidth="1"/>
    <col min="2" max="2" width="43.42578125" style="48" customWidth="1"/>
    <col min="3" max="4" width="3.140625" style="48" customWidth="1"/>
    <col min="5" max="5" width="22.7109375" style="48" customWidth="1"/>
    <col min="6" max="6" width="5.140625" style="48" customWidth="1"/>
    <col min="7" max="11" width="3.140625" style="48" customWidth="1"/>
    <col min="12" max="12" width="3.7109375" style="48" customWidth="1"/>
    <col min="13" max="20" width="3.140625" style="48" customWidth="1"/>
    <col min="21" max="21" width="7.28515625" style="48" customWidth="1"/>
    <col min="22" max="16384" width="3.140625" style="48"/>
  </cols>
  <sheetData>
    <row r="1" spans="1:24" ht="54" customHeight="1" thickBot="1" x14ac:dyDescent="0.25">
      <c r="A1" s="2426" t="s">
        <v>295</v>
      </c>
      <c r="B1" s="2427"/>
      <c r="C1" s="2427"/>
      <c r="D1" s="2427"/>
      <c r="E1" s="2427"/>
      <c r="F1" s="2427"/>
      <c r="G1" s="2427"/>
      <c r="H1" s="2427"/>
      <c r="I1" s="2427"/>
      <c r="J1" s="2427"/>
      <c r="K1" s="2427"/>
      <c r="L1" s="2427"/>
      <c r="M1" s="2427"/>
      <c r="N1" s="2428"/>
    </row>
    <row r="3" spans="1:24" ht="21.75" customHeight="1" thickBot="1" x14ac:dyDescent="0.25">
      <c r="A3" s="54" t="str">
        <f>CONCATENATE("ESTABLECIMIENTO/ESTRATEGIA: ",NOMBRE!B3," - ","( ",NOMBRE!C3,NOMBRE!D3,NOMBRE!E3,NOMBRE!F3,NOMBRE!G3,NOMBRE!H3," )")</f>
        <v>ESTABLECIMIENTO/ESTRATEGIA:  - (  )</v>
      </c>
    </row>
    <row r="4" spans="1:24" ht="41.25" customHeight="1" thickBot="1" x14ac:dyDescent="0.25">
      <c r="B4" s="53" t="s">
        <v>296</v>
      </c>
      <c r="E4" s="53"/>
    </row>
    <row r="5" spans="1:24" ht="12.75" customHeight="1" thickBot="1" x14ac:dyDescent="0.25"/>
    <row r="6" spans="1:24" ht="39" customHeight="1" thickBot="1" x14ac:dyDescent="0.25">
      <c r="A6" s="49"/>
      <c r="B6" s="53" t="s">
        <v>297</v>
      </c>
      <c r="C6" s="49"/>
      <c r="D6" s="49"/>
      <c r="E6" s="53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4" ht="12.75" customHeight="1" thickBot="1" x14ac:dyDescent="0.25">
      <c r="X7" s="49"/>
    </row>
    <row r="8" spans="1:24" ht="52.5" customHeight="1" thickBot="1" x14ac:dyDescent="0.25">
      <c r="B8" s="53" t="s">
        <v>531</v>
      </c>
      <c r="E8" s="53"/>
    </row>
    <row r="9" spans="1:24" ht="19.5" customHeight="1" thickBot="1" x14ac:dyDescent="0.25"/>
    <row r="10" spans="1:24" ht="16.5" customHeight="1" x14ac:dyDescent="0.2">
      <c r="B10" s="2429" t="str">
        <f>IF(Control!D19&gt;0,"REVISE LA HOJA CONTROL, EXISTEN ERRORES","")</f>
        <v>REVISE LA HOJA CONTROL, EXISTEN ERRORES</v>
      </c>
      <c r="C10" s="2430"/>
      <c r="D10" s="2430"/>
      <c r="E10" s="2430"/>
      <c r="F10" s="2430"/>
      <c r="G10" s="2430"/>
      <c r="H10" s="2431"/>
    </row>
    <row r="11" spans="1:24" ht="16.5" customHeight="1" thickBot="1" x14ac:dyDescent="0.25">
      <c r="B11" s="2432"/>
      <c r="C11" s="2433"/>
      <c r="D11" s="2433"/>
      <c r="E11" s="2433"/>
      <c r="F11" s="2433"/>
      <c r="G11" s="2433"/>
      <c r="H11" s="2434"/>
    </row>
    <row r="12" spans="1:24" ht="16.5" customHeight="1" x14ac:dyDescent="0.2"/>
    <row r="13" spans="1:24" ht="16.5" customHeight="1" x14ac:dyDescent="0.2">
      <c r="B13" s="50" t="s">
        <v>298</v>
      </c>
    </row>
    <row r="14" spans="1:24" ht="16.5" customHeight="1" x14ac:dyDescent="0.2"/>
    <row r="15" spans="1:24" ht="16.5" customHeight="1" x14ac:dyDescent="0.2"/>
  </sheetData>
  <sheetProtection algorithmName="SHA-512" hashValue="BMZM84WiO0Xz3EpSHpXgIBba1nnuGj50xe8tTYMstNQpkKxxrBYE2zgft9rfrdE9pAFxkdRhJdG7xgtAlP6mrA==" saltValue="DGrLX1WFAXss7WsnxEChVQ==" spinCount="100000" sheet="1" objects="1" scenarios="1"/>
  <mergeCells count="2">
    <mergeCell ref="A1:N1"/>
    <mergeCell ref="B10:H11"/>
  </mergeCells>
  <phoneticPr fontId="26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NOMBRE</vt:lpstr>
      <vt:lpstr>P1</vt:lpstr>
      <vt:lpstr>P2</vt:lpstr>
      <vt:lpstr>P3</vt:lpstr>
      <vt:lpstr>P4</vt:lpstr>
      <vt:lpstr>P5</vt:lpstr>
      <vt:lpstr>P6</vt:lpstr>
      <vt:lpstr>P7</vt:lpstr>
      <vt:lpstr>P9</vt:lpstr>
      <vt:lpstr>P11</vt:lpstr>
      <vt:lpstr>P12</vt:lpstr>
      <vt:lpstr>P13</vt:lpstr>
      <vt:lpstr>Control</vt:lpstr>
      <vt:lpstr>MACROS</vt:lpstr>
      <vt:lpstr>Control!Área_de_impresión</vt:lpstr>
      <vt:lpstr>'P1'!Área_de_impresión</vt:lpstr>
      <vt:lpstr>'P11'!Área_de_impresión</vt:lpstr>
      <vt:lpstr>'P12'!Área_de_impresión</vt:lpstr>
      <vt:lpstr>'P3'!Área_de_impresión</vt:lpstr>
      <vt:lpstr>'P4'!Área_de_impresión</vt:lpstr>
      <vt:lpstr>'P5'!Área_de_impresión</vt:lpstr>
      <vt:lpstr>'P6'!Área_de_impresión</vt:lpstr>
      <vt:lpstr>'P7'!Área_de_impresión</vt:lpstr>
      <vt:lpstr>'P3'!OLE_LINK1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Paola Pacheco Silva</dc:creator>
  <cp:lastModifiedBy>Hp</cp:lastModifiedBy>
  <cp:lastPrinted>2021-10-12T11:51:56Z</cp:lastPrinted>
  <dcterms:created xsi:type="dcterms:W3CDTF">2013-12-18T19:51:11Z</dcterms:created>
  <dcterms:modified xsi:type="dcterms:W3CDTF">2023-04-19T13:31:51Z</dcterms:modified>
</cp:coreProperties>
</file>