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chivos_REM\2018\Glosa IV\10-12\"/>
    </mc:Choice>
  </mc:AlternateContent>
  <bookViews>
    <workbookView xWindow="0" yWindow="0" windowWidth="28800" windowHeight="11685" tabRatio="788"/>
  </bookViews>
  <sheets>
    <sheet name="T2" sheetId="24" r:id="rId1"/>
    <sheet name="T3" sheetId="18" r:id="rId2"/>
    <sheet name="T4" sheetId="15" r:id="rId3"/>
    <sheet name="T5" sheetId="19" r:id="rId4"/>
    <sheet name="T6" sheetId="17" r:id="rId5"/>
    <sheet name="T7" sheetId="20" r:id="rId6"/>
    <sheet name="T8" sheetId="21" r:id="rId7"/>
    <sheet name="T9" sheetId="22" r:id="rId8"/>
    <sheet name="T10" sheetId="23" r:id="rId9"/>
    <sheet name="T11" sheetId="1" r:id="rId10"/>
    <sheet name="T12" sheetId="5" r:id="rId11"/>
    <sheet name="T13" sheetId="8" r:id="rId12"/>
    <sheet name="T14" sheetId="9" r:id="rId13"/>
    <sheet name="T15" sheetId="10" r:id="rId14"/>
    <sheet name="T16" sheetId="11" r:id="rId15"/>
    <sheet name="T17" sheetId="12" r:id="rId16"/>
    <sheet name="17.1" sheetId="25" r:id="rId17"/>
    <sheet name="17.2" sheetId="26" r:id="rId18"/>
    <sheet name="17.3" sheetId="27" r:id="rId19"/>
    <sheet name="17.4" sheetId="28" r:id="rId20"/>
    <sheet name="17.5" sheetId="29" r:id="rId21"/>
    <sheet name="T18_" sheetId="2" r:id="rId22"/>
    <sheet name="T18__datos" sheetId="14" r:id="rId23"/>
    <sheet name="T19_" sheetId="3" r:id="rId24"/>
    <sheet name="T19__datos" sheetId="13" r:id="rId25"/>
    <sheet name="T20" sheetId="4" r:id="rId2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G11" i="1"/>
  <c r="G12" i="1"/>
  <c r="G13" i="1"/>
  <c r="G14" i="1"/>
  <c r="I2" i="12"/>
  <c r="I2" i="11"/>
  <c r="I2" i="10"/>
  <c r="I2" i="9"/>
  <c r="I2" i="8"/>
  <c r="I2" i="29"/>
  <c r="I12" i="29" s="1"/>
  <c r="I2" i="28"/>
  <c r="I12" i="28" s="1"/>
  <c r="I2" i="26"/>
  <c r="I2" i="25"/>
  <c r="F5" i="1"/>
  <c r="F6" i="1"/>
  <c r="F7" i="1"/>
  <c r="F8" i="1"/>
  <c r="F9" i="1"/>
  <c r="F10" i="1"/>
  <c r="F11" i="1"/>
  <c r="F12" i="1"/>
  <c r="F13" i="1"/>
  <c r="F14" i="1"/>
  <c r="B5" i="1"/>
  <c r="C5" i="1"/>
  <c r="D5" i="1"/>
  <c r="E5" i="1"/>
  <c r="B6" i="1"/>
  <c r="B7" i="1"/>
  <c r="B8" i="1"/>
  <c r="B9" i="1"/>
  <c r="B10" i="1"/>
  <c r="B11" i="1"/>
  <c r="B12" i="1"/>
  <c r="B13" i="1"/>
  <c r="B14" i="1"/>
  <c r="H12" i="29"/>
  <c r="G12" i="29"/>
  <c r="F12" i="29"/>
  <c r="E12" i="29"/>
  <c r="D12" i="29"/>
  <c r="C12" i="29"/>
  <c r="B12" i="29"/>
  <c r="I11" i="29"/>
  <c r="I10" i="29"/>
  <c r="I9" i="29"/>
  <c r="I8" i="29"/>
  <c r="I7" i="29"/>
  <c r="I6" i="29"/>
  <c r="I5" i="29"/>
  <c r="I4" i="29"/>
  <c r="I3" i="29"/>
  <c r="H12" i="28"/>
  <c r="G12" i="28"/>
  <c r="F12" i="28"/>
  <c r="E12" i="28"/>
  <c r="D12" i="28"/>
  <c r="C12" i="28"/>
  <c r="B12" i="28"/>
  <c r="I11" i="28"/>
  <c r="I10" i="28"/>
  <c r="I9" i="28"/>
  <c r="I8" i="28"/>
  <c r="I7" i="28"/>
  <c r="I6" i="28"/>
  <c r="I5" i="28"/>
  <c r="I4" i="28"/>
  <c r="I3" i="28"/>
  <c r="H12" i="27"/>
  <c r="G12" i="27"/>
  <c r="F12" i="27"/>
  <c r="E12" i="27"/>
  <c r="D12" i="27"/>
  <c r="C12" i="27"/>
  <c r="B12" i="27"/>
  <c r="I11" i="27"/>
  <c r="I10" i="27"/>
  <c r="I9" i="27"/>
  <c r="I8" i="27"/>
  <c r="I7" i="27"/>
  <c r="I6" i="27"/>
  <c r="I5" i="27"/>
  <c r="I4" i="27"/>
  <c r="I3" i="27"/>
  <c r="I2" i="27"/>
  <c r="I12" i="27" s="1"/>
  <c r="H12" i="26"/>
  <c r="G12" i="26"/>
  <c r="F12" i="26"/>
  <c r="E12" i="26"/>
  <c r="D12" i="26"/>
  <c r="C12" i="26"/>
  <c r="B12" i="26"/>
  <c r="I11" i="26"/>
  <c r="I10" i="26"/>
  <c r="I9" i="26"/>
  <c r="I8" i="26"/>
  <c r="I7" i="26"/>
  <c r="I6" i="26"/>
  <c r="I5" i="26"/>
  <c r="I4" i="26"/>
  <c r="I3" i="26"/>
  <c r="I12" i="26" s="1"/>
  <c r="H12" i="25"/>
  <c r="G12" i="25"/>
  <c r="F12" i="25"/>
  <c r="E12" i="25"/>
  <c r="D12" i="25"/>
  <c r="C12" i="25"/>
  <c r="B12" i="25"/>
  <c r="I11" i="25"/>
  <c r="I10" i="25"/>
  <c r="I9" i="25"/>
  <c r="I8" i="25"/>
  <c r="I7" i="25"/>
  <c r="I6" i="25"/>
  <c r="I5" i="25"/>
  <c r="I4" i="25"/>
  <c r="I3" i="25"/>
  <c r="I12" i="25"/>
  <c r="E3" i="5"/>
  <c r="E4" i="5"/>
  <c r="E5" i="5"/>
  <c r="E6" i="5"/>
  <c r="E7" i="5"/>
  <c r="E8" i="5"/>
  <c r="E9" i="5"/>
  <c r="E10" i="5"/>
  <c r="E11" i="5"/>
  <c r="E6" i="1" l="1"/>
  <c r="E7" i="1"/>
  <c r="E8" i="1"/>
  <c r="E9" i="1"/>
  <c r="E10" i="1"/>
  <c r="E11" i="1"/>
  <c r="E12" i="1"/>
  <c r="E13" i="1"/>
  <c r="E14" i="1"/>
  <c r="H12" i="12"/>
  <c r="G12" i="12"/>
  <c r="F12" i="12"/>
  <c r="E12" i="12"/>
  <c r="H12" i="11"/>
  <c r="G12" i="11"/>
  <c r="F12" i="11"/>
  <c r="E12" i="11"/>
  <c r="H12" i="10"/>
  <c r="G12" i="10"/>
  <c r="F12" i="10"/>
  <c r="E12" i="10"/>
  <c r="H12" i="9"/>
  <c r="G12" i="9"/>
  <c r="F12" i="9"/>
  <c r="E12" i="9"/>
  <c r="E12" i="8"/>
  <c r="D6" i="1" l="1"/>
  <c r="D7" i="1"/>
  <c r="D8" i="1"/>
  <c r="D9" i="1"/>
  <c r="D10" i="1"/>
  <c r="D11" i="1"/>
  <c r="D12" i="1"/>
  <c r="D13" i="1"/>
  <c r="D14" i="1"/>
  <c r="D12" i="11" l="1"/>
  <c r="I11" i="12"/>
  <c r="D12" i="12"/>
  <c r="D12" i="10"/>
  <c r="D12" i="9"/>
  <c r="D12" i="8"/>
  <c r="D3" i="4" l="1"/>
  <c r="D2" i="4"/>
  <c r="D4" i="4"/>
  <c r="D5" i="4"/>
  <c r="D6" i="4"/>
  <c r="D7" i="4"/>
  <c r="D8" i="4"/>
  <c r="D9" i="4"/>
  <c r="D10" i="4"/>
  <c r="D11" i="4"/>
  <c r="D26" i="13"/>
  <c r="C11" i="3" s="1"/>
  <c r="D25" i="13"/>
  <c r="D24" i="13"/>
  <c r="C9" i="3" s="1"/>
  <c r="D23" i="13"/>
  <c r="D22" i="13"/>
  <c r="C7" i="3" s="1"/>
  <c r="D21" i="13"/>
  <c r="C6" i="3" s="1"/>
  <c r="D20" i="13"/>
  <c r="C5" i="3" s="1"/>
  <c r="D19" i="13"/>
  <c r="C4" i="3" s="1"/>
  <c r="D18" i="13"/>
  <c r="D17" i="13"/>
  <c r="D12" i="13"/>
  <c r="B11" i="3" s="1"/>
  <c r="D11" i="13"/>
  <c r="B10" i="3" s="1"/>
  <c r="D10" i="13"/>
  <c r="B9" i="3" s="1"/>
  <c r="D9" i="13"/>
  <c r="B8" i="3" s="1"/>
  <c r="D8" i="13"/>
  <c r="B7" i="3" s="1"/>
  <c r="D7" i="13"/>
  <c r="B6" i="3" s="1"/>
  <c r="D6" i="13"/>
  <c r="B5" i="3" s="1"/>
  <c r="D5" i="13"/>
  <c r="B4" i="3" s="1"/>
  <c r="D4" i="13"/>
  <c r="B3" i="3" s="1"/>
  <c r="D3" i="13"/>
  <c r="C10" i="3"/>
  <c r="C8" i="3"/>
  <c r="C3" i="3"/>
  <c r="C2" i="3"/>
  <c r="B2" i="3"/>
  <c r="D17" i="14"/>
  <c r="C2" i="2" s="1"/>
  <c r="D26" i="14"/>
  <c r="D25" i="14"/>
  <c r="D24" i="14"/>
  <c r="D23" i="14"/>
  <c r="D22" i="14"/>
  <c r="D21" i="14"/>
  <c r="D20" i="14"/>
  <c r="D19" i="14"/>
  <c r="D18" i="14"/>
  <c r="D12" i="14"/>
  <c r="D11" i="14"/>
  <c r="D10" i="14"/>
  <c r="D9" i="14"/>
  <c r="D8" i="14"/>
  <c r="D7" i="14"/>
  <c r="D6" i="14"/>
  <c r="D5" i="14"/>
  <c r="D4" i="14"/>
  <c r="D3" i="14"/>
  <c r="B2" i="2" s="1"/>
  <c r="G3" i="22"/>
  <c r="J3" i="22" s="1"/>
  <c r="G4" i="22"/>
  <c r="J4" i="22" s="1"/>
  <c r="G5" i="22"/>
  <c r="J5" i="22" s="1"/>
  <c r="G6" i="22"/>
  <c r="J6" i="22" s="1"/>
  <c r="G7" i="22"/>
  <c r="J7" i="22" s="1"/>
  <c r="G8" i="22"/>
  <c r="J8" i="22" s="1"/>
  <c r="G9" i="22"/>
  <c r="J9" i="22" s="1"/>
  <c r="G10" i="22"/>
  <c r="J10" i="22" s="1"/>
  <c r="G11" i="22"/>
  <c r="J11" i="22" s="1"/>
  <c r="F3" i="22"/>
  <c r="I3" i="22" s="1"/>
  <c r="F4" i="22"/>
  <c r="I4" i="22" s="1"/>
  <c r="F5" i="22"/>
  <c r="I5" i="22" s="1"/>
  <c r="F6" i="22"/>
  <c r="I6" i="22" s="1"/>
  <c r="F7" i="22"/>
  <c r="I7" i="22" s="1"/>
  <c r="F8" i="22"/>
  <c r="I8" i="22" s="1"/>
  <c r="F9" i="22"/>
  <c r="I9" i="22" s="1"/>
  <c r="F10" i="22"/>
  <c r="I10" i="22" s="1"/>
  <c r="F11" i="22"/>
  <c r="I11" i="22" s="1"/>
  <c r="G3" i="21"/>
  <c r="J3" i="21" s="1"/>
  <c r="G4" i="21"/>
  <c r="J4" i="21" s="1"/>
  <c r="G5" i="21"/>
  <c r="J5" i="21" s="1"/>
  <c r="G6" i="21"/>
  <c r="J6" i="21" s="1"/>
  <c r="G7" i="21"/>
  <c r="J7" i="21" s="1"/>
  <c r="G8" i="21"/>
  <c r="J8" i="21" s="1"/>
  <c r="G9" i="21"/>
  <c r="J9" i="21" s="1"/>
  <c r="G10" i="21"/>
  <c r="J10" i="21" s="1"/>
  <c r="G11" i="21"/>
  <c r="J11" i="21" s="1"/>
  <c r="F3" i="21"/>
  <c r="I3" i="21" s="1"/>
  <c r="F4" i="21"/>
  <c r="I4" i="21" s="1"/>
  <c r="F5" i="21"/>
  <c r="I5" i="21" s="1"/>
  <c r="F6" i="21"/>
  <c r="I6" i="21" s="1"/>
  <c r="F7" i="21"/>
  <c r="I7" i="21" s="1"/>
  <c r="F8" i="21"/>
  <c r="I8" i="21" s="1"/>
  <c r="F9" i="21"/>
  <c r="I9" i="21" s="1"/>
  <c r="F10" i="21"/>
  <c r="I10" i="21" s="1"/>
  <c r="F11" i="21"/>
  <c r="I11" i="21" s="1"/>
  <c r="G3" i="20"/>
  <c r="J3" i="20" s="1"/>
  <c r="G4" i="20"/>
  <c r="J4" i="20" s="1"/>
  <c r="G5" i="20"/>
  <c r="J5" i="20" s="1"/>
  <c r="G6" i="20"/>
  <c r="J6" i="20" s="1"/>
  <c r="G7" i="20"/>
  <c r="J7" i="20" s="1"/>
  <c r="G8" i="20"/>
  <c r="J8" i="20" s="1"/>
  <c r="G9" i="20"/>
  <c r="J9" i="20" s="1"/>
  <c r="G10" i="20"/>
  <c r="J10" i="20" s="1"/>
  <c r="G11" i="20"/>
  <c r="J11" i="20" s="1"/>
  <c r="F3" i="20"/>
  <c r="I3" i="20" s="1"/>
  <c r="F4" i="20"/>
  <c r="I4" i="20" s="1"/>
  <c r="F5" i="20"/>
  <c r="I5" i="20" s="1"/>
  <c r="F6" i="20"/>
  <c r="I6" i="20" s="1"/>
  <c r="F7" i="20"/>
  <c r="I7" i="20" s="1"/>
  <c r="F8" i="20"/>
  <c r="I8" i="20" s="1"/>
  <c r="F9" i="20"/>
  <c r="I9" i="20" s="1"/>
  <c r="F10" i="20"/>
  <c r="I10" i="20" s="1"/>
  <c r="F11" i="20"/>
  <c r="I11" i="20" s="1"/>
  <c r="G3" i="17"/>
  <c r="J3" i="17" s="1"/>
  <c r="G4" i="17"/>
  <c r="J4" i="17" s="1"/>
  <c r="G5" i="17"/>
  <c r="J5" i="17" s="1"/>
  <c r="G6" i="17"/>
  <c r="J6" i="17" s="1"/>
  <c r="G7" i="17"/>
  <c r="J7" i="17" s="1"/>
  <c r="G8" i="17"/>
  <c r="J8" i="17" s="1"/>
  <c r="G9" i="17"/>
  <c r="J9" i="17" s="1"/>
  <c r="G10" i="17"/>
  <c r="J10" i="17" s="1"/>
  <c r="G11" i="17"/>
  <c r="J11" i="17" s="1"/>
  <c r="F3" i="17"/>
  <c r="I3" i="17" s="1"/>
  <c r="F4" i="17"/>
  <c r="I4" i="17" s="1"/>
  <c r="F5" i="17"/>
  <c r="I5" i="17" s="1"/>
  <c r="F6" i="17"/>
  <c r="I6" i="17" s="1"/>
  <c r="F7" i="17"/>
  <c r="I7" i="17" s="1"/>
  <c r="F8" i="17"/>
  <c r="I8" i="17" s="1"/>
  <c r="F9" i="17"/>
  <c r="I9" i="17" s="1"/>
  <c r="F10" i="17"/>
  <c r="I10" i="17" s="1"/>
  <c r="F11" i="17"/>
  <c r="I11" i="17" s="1"/>
  <c r="D3" i="19"/>
  <c r="D4" i="19"/>
  <c r="D5" i="19"/>
  <c r="D6" i="19"/>
  <c r="D7" i="19"/>
  <c r="D8" i="19"/>
  <c r="D9" i="19"/>
  <c r="D10" i="19"/>
  <c r="D11" i="19"/>
  <c r="D3" i="15"/>
  <c r="D4" i="15"/>
  <c r="D5" i="15"/>
  <c r="D6" i="15"/>
  <c r="D7" i="15"/>
  <c r="D8" i="15"/>
  <c r="D9" i="15"/>
  <c r="D10" i="15"/>
  <c r="D11" i="15"/>
  <c r="G3" i="18"/>
  <c r="J3" i="18" s="1"/>
  <c r="G4" i="18"/>
  <c r="J4" i="18" s="1"/>
  <c r="G5" i="18"/>
  <c r="J5" i="18" s="1"/>
  <c r="G6" i="18"/>
  <c r="J6" i="18" s="1"/>
  <c r="G7" i="18"/>
  <c r="J7" i="18" s="1"/>
  <c r="G8" i="18"/>
  <c r="J8" i="18" s="1"/>
  <c r="G9" i="18"/>
  <c r="J9" i="18" s="1"/>
  <c r="G10" i="18"/>
  <c r="J10" i="18" s="1"/>
  <c r="G11" i="18"/>
  <c r="J11" i="18" s="1"/>
  <c r="F3" i="18"/>
  <c r="I3" i="18" s="1"/>
  <c r="F4" i="18"/>
  <c r="I4" i="18" s="1"/>
  <c r="F5" i="18"/>
  <c r="I5" i="18" s="1"/>
  <c r="F6" i="18"/>
  <c r="I6" i="18" s="1"/>
  <c r="F7" i="18"/>
  <c r="I7" i="18" s="1"/>
  <c r="F8" i="18"/>
  <c r="I8" i="18" s="1"/>
  <c r="F9" i="18"/>
  <c r="I9" i="18" s="1"/>
  <c r="F10" i="18"/>
  <c r="I10" i="18" s="1"/>
  <c r="F11" i="18"/>
  <c r="I11" i="18" s="1"/>
  <c r="I11" i="8"/>
  <c r="I10" i="8"/>
  <c r="I9" i="8"/>
  <c r="I8" i="8"/>
  <c r="I7" i="8"/>
  <c r="I6" i="8"/>
  <c r="I5" i="8"/>
  <c r="I4" i="8"/>
  <c r="I3" i="8"/>
  <c r="K5" i="22" l="1"/>
  <c r="K4" i="21"/>
  <c r="K10" i="20"/>
  <c r="K8" i="20"/>
  <c r="K9" i="17"/>
  <c r="K3" i="21"/>
  <c r="K10" i="18"/>
  <c r="K10" i="22"/>
  <c r="K5" i="17"/>
  <c r="K6" i="20"/>
  <c r="K8" i="21"/>
  <c r="K9" i="22"/>
  <c r="K8" i="18"/>
  <c r="K5" i="20"/>
  <c r="K7" i="21"/>
  <c r="K8" i="22"/>
  <c r="K11" i="21"/>
  <c r="K4" i="20"/>
  <c r="K10" i="17"/>
  <c r="K5" i="21"/>
  <c r="K6" i="22"/>
  <c r="D7" i="3"/>
  <c r="I12" i="8"/>
  <c r="K9" i="20"/>
  <c r="K4" i="22"/>
  <c r="K7" i="17"/>
  <c r="K8" i="17"/>
  <c r="K11" i="22"/>
  <c r="K3" i="22"/>
  <c r="K6" i="17"/>
  <c r="K4" i="17"/>
  <c r="K11" i="20"/>
  <c r="K9" i="21"/>
  <c r="K4" i="18"/>
  <c r="K7" i="20"/>
  <c r="K3" i="20"/>
  <c r="K10" i="21"/>
  <c r="K7" i="18"/>
  <c r="K11" i="17"/>
  <c r="K3" i="17"/>
  <c r="K6" i="21"/>
  <c r="K7" i="22"/>
  <c r="K6" i="18"/>
  <c r="D2" i="2"/>
  <c r="K11" i="18"/>
  <c r="K3" i="18"/>
  <c r="D4" i="3"/>
  <c r="D8" i="3"/>
  <c r="D11" i="3"/>
  <c r="D3" i="3"/>
  <c r="D5" i="3"/>
  <c r="D9" i="3"/>
  <c r="D6" i="3"/>
  <c r="D10" i="3"/>
  <c r="D2" i="3"/>
  <c r="K9" i="18"/>
  <c r="K5" i="18"/>
  <c r="C12" i="12"/>
  <c r="B12" i="12"/>
  <c r="I10" i="12"/>
  <c r="I9" i="12"/>
  <c r="I8" i="12"/>
  <c r="I7" i="12"/>
  <c r="I6" i="12"/>
  <c r="I5" i="12"/>
  <c r="I4" i="12"/>
  <c r="I3" i="12"/>
  <c r="C12" i="11"/>
  <c r="B12" i="11"/>
  <c r="I11" i="11"/>
  <c r="I10" i="11"/>
  <c r="I9" i="11"/>
  <c r="I8" i="11"/>
  <c r="I7" i="11"/>
  <c r="I6" i="11"/>
  <c r="I5" i="11"/>
  <c r="I4" i="11"/>
  <c r="I3" i="11"/>
  <c r="C12" i="10"/>
  <c r="B12" i="10"/>
  <c r="I11" i="10"/>
  <c r="I10" i="10"/>
  <c r="I9" i="10"/>
  <c r="I8" i="10"/>
  <c r="I7" i="10"/>
  <c r="I6" i="10"/>
  <c r="I5" i="10"/>
  <c r="I4" i="10"/>
  <c r="I3" i="10"/>
  <c r="C12" i="9"/>
  <c r="B12" i="9"/>
  <c r="I11" i="9"/>
  <c r="I10" i="9"/>
  <c r="I9" i="9"/>
  <c r="I8" i="9"/>
  <c r="I7" i="9"/>
  <c r="I6" i="9"/>
  <c r="I5" i="9"/>
  <c r="I4" i="9"/>
  <c r="I3" i="9"/>
  <c r="I12" i="12" l="1"/>
  <c r="I12" i="11"/>
  <c r="I12" i="10"/>
  <c r="I12" i="9"/>
  <c r="E12" i="23"/>
  <c r="D12" i="23"/>
  <c r="C12" i="23"/>
  <c r="B12" i="23"/>
  <c r="G11" i="23"/>
  <c r="J11" i="23" s="1"/>
  <c r="F11" i="23"/>
  <c r="I11" i="23" s="1"/>
  <c r="G10" i="23"/>
  <c r="J10" i="23" s="1"/>
  <c r="F10" i="23"/>
  <c r="I10" i="23" s="1"/>
  <c r="G9" i="23"/>
  <c r="J9" i="23" s="1"/>
  <c r="F9" i="23"/>
  <c r="I9" i="23" s="1"/>
  <c r="G8" i="23"/>
  <c r="J8" i="23" s="1"/>
  <c r="F8" i="23"/>
  <c r="I8" i="23" s="1"/>
  <c r="G7" i="23"/>
  <c r="J7" i="23" s="1"/>
  <c r="F7" i="23"/>
  <c r="I7" i="23" s="1"/>
  <c r="G6" i="23"/>
  <c r="J6" i="23" s="1"/>
  <c r="F6" i="23"/>
  <c r="I6" i="23" s="1"/>
  <c r="G5" i="23"/>
  <c r="J5" i="23" s="1"/>
  <c r="F5" i="23"/>
  <c r="I5" i="23" s="1"/>
  <c r="G4" i="23"/>
  <c r="J4" i="23" s="1"/>
  <c r="F4" i="23"/>
  <c r="I4" i="23" s="1"/>
  <c r="G3" i="23"/>
  <c r="J3" i="23" s="1"/>
  <c r="F3" i="23"/>
  <c r="I3" i="23" s="1"/>
  <c r="E12" i="22"/>
  <c r="D12" i="22"/>
  <c r="C12" i="22"/>
  <c r="B12" i="22"/>
  <c r="E12" i="21"/>
  <c r="D12" i="21"/>
  <c r="C12" i="21"/>
  <c r="B12" i="21"/>
  <c r="E12" i="20"/>
  <c r="D12" i="20"/>
  <c r="C12" i="20"/>
  <c r="B12" i="20"/>
  <c r="C12" i="19"/>
  <c r="B12" i="19"/>
  <c r="C4" i="24" s="1"/>
  <c r="B12" i="15"/>
  <c r="C3" i="24" s="1"/>
  <c r="C12" i="15"/>
  <c r="D12" i="15" s="1"/>
  <c r="E12" i="18"/>
  <c r="D12" i="18"/>
  <c r="C12" i="18"/>
  <c r="B12" i="18"/>
  <c r="E12" i="17"/>
  <c r="D12" i="17"/>
  <c r="C12" i="17"/>
  <c r="B12" i="17"/>
  <c r="G12" i="22" l="1"/>
  <c r="J12" i="22" s="1"/>
  <c r="D8" i="24" s="1"/>
  <c r="G12" i="20"/>
  <c r="J12" i="20" s="1"/>
  <c r="G12" i="18"/>
  <c r="J12" i="18" s="1"/>
  <c r="D2" i="24" s="1"/>
  <c r="F12" i="17"/>
  <c r="I12" i="17" s="1"/>
  <c r="D12" i="19"/>
  <c r="K8" i="23"/>
  <c r="K4" i="23"/>
  <c r="K9" i="23"/>
  <c r="K5" i="23"/>
  <c r="K6" i="23"/>
  <c r="K10" i="23"/>
  <c r="G12" i="23"/>
  <c r="J12" i="23" s="1"/>
  <c r="K3" i="23"/>
  <c r="K7" i="23"/>
  <c r="K11" i="23"/>
  <c r="G12" i="17"/>
  <c r="J12" i="17" s="1"/>
  <c r="D5" i="24" s="1"/>
  <c r="G12" i="21"/>
  <c r="J12" i="21" s="1"/>
  <c r="D7" i="24" s="1"/>
  <c r="D4" i="24"/>
  <c r="E4" i="24" s="1"/>
  <c r="F12" i="21"/>
  <c r="I12" i="21" s="1"/>
  <c r="C7" i="24" s="1"/>
  <c r="D3" i="24"/>
  <c r="E3" i="24" s="1"/>
  <c r="F12" i="18"/>
  <c r="I12" i="18" s="1"/>
  <c r="C2" i="24" s="1"/>
  <c r="F12" i="20"/>
  <c r="I12" i="20" s="1"/>
  <c r="F12" i="22"/>
  <c r="I12" i="22" s="1"/>
  <c r="F12" i="23"/>
  <c r="I12" i="23" s="1"/>
  <c r="C9" i="24" s="1"/>
  <c r="C5" i="24"/>
  <c r="K12" i="22" l="1"/>
  <c r="K12" i="20"/>
  <c r="K12" i="17"/>
  <c r="C6" i="24"/>
  <c r="E2" i="24"/>
  <c r="D9" i="24"/>
  <c r="E9" i="24" s="1"/>
  <c r="K12" i="23"/>
  <c r="K12" i="21"/>
  <c r="K12" i="18"/>
  <c r="C8" i="24"/>
  <c r="E8" i="24" s="1"/>
  <c r="D6" i="24"/>
  <c r="E5" i="24"/>
  <c r="E7" i="24"/>
  <c r="E6" i="24" l="1"/>
  <c r="C11" i="2"/>
  <c r="C9" i="2"/>
  <c r="C8" i="2"/>
  <c r="C7" i="2"/>
  <c r="C3" i="2"/>
  <c r="B7" i="2"/>
  <c r="D7" i="2" s="1"/>
  <c r="B6" i="2"/>
  <c r="D6" i="2" s="1"/>
  <c r="B3" i="2"/>
  <c r="D3" i="2" s="1"/>
  <c r="C10" i="2"/>
  <c r="C6" i="2"/>
  <c r="B11" i="2"/>
  <c r="D11" i="2" s="1"/>
  <c r="B10" i="2"/>
  <c r="D10" i="2" s="1"/>
  <c r="B8" i="2"/>
  <c r="D8" i="2" s="1"/>
  <c r="B4" i="2"/>
  <c r="D4" i="2" s="1"/>
  <c r="B13" i="14"/>
  <c r="D13" i="14" s="1"/>
  <c r="C27" i="14"/>
  <c r="B27" i="14"/>
  <c r="C5" i="2"/>
  <c r="C4" i="2"/>
  <c r="C13" i="14"/>
  <c r="B9" i="2"/>
  <c r="D9" i="2" s="1"/>
  <c r="B5" i="2"/>
  <c r="D5" i="2" s="1"/>
  <c r="C27" i="13"/>
  <c r="C13" i="13"/>
  <c r="B13" i="13"/>
  <c r="D13" i="13" l="1"/>
  <c r="B12" i="3" s="1"/>
  <c r="D27" i="14"/>
  <c r="C12" i="2" s="1"/>
  <c r="B12" i="2"/>
  <c r="C6" i="1"/>
  <c r="C7" i="1"/>
  <c r="C8" i="1"/>
  <c r="C9" i="1"/>
  <c r="C10" i="1"/>
  <c r="C11" i="1"/>
  <c r="C12" i="1"/>
  <c r="C13" i="1"/>
  <c r="C14" i="1"/>
  <c r="H12" i="8"/>
  <c r="G12" i="8"/>
  <c r="F12" i="8"/>
  <c r="C12" i="8"/>
  <c r="B12" i="8"/>
  <c r="D12" i="2" l="1"/>
  <c r="D17" i="1" s="1"/>
  <c r="E2" i="5"/>
  <c r="D12" i="5"/>
  <c r="E2" i="1" s="1"/>
  <c r="C12" i="5"/>
  <c r="D2" i="1" s="1"/>
  <c r="B12" i="5"/>
  <c r="B2" i="1" s="1"/>
  <c r="C17" i="1"/>
  <c r="B17" i="1"/>
  <c r="B18" i="1"/>
  <c r="B12" i="4"/>
  <c r="B19" i="1" s="1"/>
  <c r="E12" i="5" l="1"/>
  <c r="F2" i="1" s="1"/>
  <c r="C12" i="4"/>
  <c r="D12" i="4" s="1"/>
  <c r="D19" i="1" l="1"/>
  <c r="C19" i="1"/>
  <c r="B27" i="13" l="1"/>
  <c r="D27" i="13" s="1"/>
  <c r="C12" i="3" s="1"/>
  <c r="D12" i="3" s="1"/>
  <c r="C18" i="1" l="1"/>
  <c r="D18" i="1"/>
</calcChain>
</file>

<file path=xl/sharedStrings.xml><?xml version="1.0" encoding="utf-8"?>
<sst xmlns="http://schemas.openxmlformats.org/spreadsheetml/2006/main" count="601" uniqueCount="145">
  <si>
    <t>Horas Extraordinarias</t>
  </si>
  <si>
    <t>Asignación de Turno, establecida en el artículo 94 del DFL N° 1, (S), de 2005</t>
  </si>
  <si>
    <t>Bonificación Compensatoria de la Asignación de Turno, establecida en el Artículo 13° T Ley N° 19.937</t>
  </si>
  <si>
    <t>Autorización Máxima para gastos en Viáticos, en territorio Nacional</t>
  </si>
  <si>
    <t>Convenios con personas naturales</t>
  </si>
  <si>
    <t>Articulo 98 del DFL N° 1, (S), de 2005, Asignación de Responsabilidad</t>
  </si>
  <si>
    <t>Tasa de Variación (%)</t>
  </si>
  <si>
    <t>Total Servicio</t>
  </si>
  <si>
    <t>Asignación de Estimulo Aut Max aplicación art 35 Ley 19.664</t>
  </si>
  <si>
    <t>Capacitación y perfeccionamiento. Leyes N° 18.575. 15. 076 y 19.664</t>
  </si>
  <si>
    <t>Asignación por Funciones Críticas</t>
  </si>
  <si>
    <t>Porcentaje de Órdenes de Compra vía Trato Directo</t>
  </si>
  <si>
    <t xml:space="preserve">Porcentaje de Licitaciones Tipo L1 </t>
  </si>
  <si>
    <t>Devengado  (M$)</t>
  </si>
  <si>
    <t>Por Pagar (M$)</t>
  </si>
  <si>
    <t>Ingresos Propios/ Institución</t>
  </si>
  <si>
    <t>Porcentaje de Órdenes de Compra vía Trato Directo/ Institución</t>
  </si>
  <si>
    <t>Porcentaje de Licitaciones Tipo L1/ Institución</t>
  </si>
  <si>
    <t>Total de Obligaciones Devengadas y no Pagadas</t>
  </si>
  <si>
    <t>Pagado (M$)</t>
  </si>
  <si>
    <t>Nivel de Obligaciones Devengadas y no Pagadas / Institución</t>
  </si>
  <si>
    <t>Dirección del Servicio</t>
  </si>
  <si>
    <t>Estrategia de Compras (Eficiencia en compras de suministro e Ingresos Propios)</t>
  </si>
  <si>
    <t>Gastos en publicidad y difusión</t>
  </si>
  <si>
    <t>Totales</t>
  </si>
  <si>
    <t>Ítem Presupuestario</t>
  </si>
  <si>
    <t xml:space="preserve"> Institución</t>
  </si>
  <si>
    <t>AÑO 2017 PARA T18</t>
  </si>
  <si>
    <t>Porcentaje de Licitaciones Tipo L1</t>
  </si>
  <si>
    <t>AÑO 2017 PARA T19</t>
  </si>
  <si>
    <t>Institución</t>
  </si>
  <si>
    <t>Nombre Institución</t>
  </si>
  <si>
    <t>Ind_1 Índice Ocupacional</t>
  </si>
  <si>
    <t>Ind_2 Número de Intervenciones Quirúrgicas Mayores Electivas</t>
  </si>
  <si>
    <t>Ind_2 Número de Egresos Hospitalarios</t>
  </si>
  <si>
    <t>Ind_4 Porcentaje de Categorización de Urgencia en UEH</t>
  </si>
  <si>
    <t>Ind_5 Porcentaje de Cesáreas sobre Partos</t>
  </si>
  <si>
    <t>Ind_6 Porcentaje de Consultas Nuevas de Especialidad</t>
  </si>
  <si>
    <t>Ind_7 Porcentaje de Oportunidad de Hospitalización desde las UEH</t>
  </si>
  <si>
    <t xml:space="preserve">Ind_8 Promedio de Días de Estada </t>
  </si>
  <si>
    <t>INDICADORES</t>
  </si>
  <si>
    <t>TASA DE VARIACIÓN (%)</t>
  </si>
  <si>
    <t>Modelo Asistencial</t>
  </si>
  <si>
    <t>1. Índice Ocupacional</t>
  </si>
  <si>
    <t>2. Número de Intervenciones Quirúrgicas Mayores Electivas</t>
  </si>
  <si>
    <t>3. Número de Egresos Hospitalarios</t>
  </si>
  <si>
    <t>5. Porcentaje de Cesáreas sobre Partos</t>
  </si>
  <si>
    <t>6. Porcentaje de Consultas Nuevas de Especialidad</t>
  </si>
  <si>
    <t>8. Promedio de Días Estada</t>
  </si>
  <si>
    <t>Artículo 98 del DFL N° 1, (S), de 2005, Asignación de Responsabilidad</t>
  </si>
  <si>
    <t>Nivel de Obligaciones Devengadas y no Pagadas (M$)</t>
  </si>
  <si>
    <t xml:space="preserve">Devengado  </t>
  </si>
  <si>
    <t xml:space="preserve">Pagado </t>
  </si>
  <si>
    <t xml:space="preserve">Por Pagar </t>
  </si>
  <si>
    <t>Ejecución de Glosas Presupuestarias (M$)</t>
  </si>
  <si>
    <t>4. Porcentaje de Categorización de Urgencia en Unidades de Emergencia Hospitalaria</t>
  </si>
  <si>
    <t>7. Porcentaje Oportunidad de Hospitalización desde las Unidades de Emergencia Hospitalaria</t>
  </si>
  <si>
    <t>Recaudación de Ingresos Propios</t>
  </si>
  <si>
    <t xml:space="preserve">1° Trimestre </t>
  </si>
  <si>
    <t xml:space="preserve">Presupuesto Vigente año 2018 </t>
  </si>
  <si>
    <t xml:space="preserve">Acumulado 2018 </t>
  </si>
  <si>
    <t>Presupuesto Vigente año 2018 (M$)</t>
  </si>
  <si>
    <t>Presupuesto Vigente 2018</t>
  </si>
  <si>
    <t>Acumulado 2018</t>
  </si>
  <si>
    <t>AÑO 2018 PARA T18</t>
  </si>
  <si>
    <t>AÑO 2018 PARA T19</t>
  </si>
  <si>
    <t>Presupuesto Vigente año 2018</t>
  </si>
  <si>
    <t>2° Trimestre</t>
  </si>
  <si>
    <t xml:space="preserve">OC = Órdenes de Compra
</t>
  </si>
  <si>
    <t>3° Trimestre</t>
  </si>
  <si>
    <t xml:space="preserve">2° Trimestre </t>
  </si>
  <si>
    <t>Total de días cama ocupados Enero a Diciembre 2017</t>
  </si>
  <si>
    <t>Total de días cama disponibles Enero a Diciembre 2017</t>
  </si>
  <si>
    <t>Total de días cama ocupados Enero a Diciembre 2018</t>
  </si>
  <si>
    <t>Total de días cama disponibles Enero a Diciembre 2018</t>
  </si>
  <si>
    <t xml:space="preserve"> Índice Ocupacional Enero a Diciembre 2017</t>
  </si>
  <si>
    <t xml:space="preserve"> Índice Ocupacional Enero a Diciembre 2018</t>
  </si>
  <si>
    <t>Enero a Diciembre 2017</t>
  </si>
  <si>
    <t>Enero a Diciembre 2018</t>
  </si>
  <si>
    <t>Número de pacientes categorizados en UEH  Enero a Diciembre 2017</t>
  </si>
  <si>
    <t>Total de consultas de urgencia en UEH  Enero a Diciembre 2017</t>
  </si>
  <si>
    <t>Número de pacientes categorizados en UEH  Enero a Diciembre 2018</t>
  </si>
  <si>
    <t>Total de consultas de urgencia en UEH  Enero a Diciembre 2018</t>
  </si>
  <si>
    <t xml:space="preserve"> Porcentaje Categorización de Urgencia Enero a Diciembre 2017</t>
  </si>
  <si>
    <t xml:space="preserve"> Porcentaje Categorización de Urgencia Enero a Diciembre 2018</t>
  </si>
  <si>
    <t>Número de cesáreas en  Enero a Diciembre 2017</t>
  </si>
  <si>
    <t>Total de partos en Enero a Diciembre 2017</t>
  </si>
  <si>
    <t>Número de cesáreas en  Enero a Diciembre 2018</t>
  </si>
  <si>
    <t>Total de partos en Enero a Diciembre 2018</t>
  </si>
  <si>
    <t>Porcentaje de Cesáreas Enero a Diciembre 2017</t>
  </si>
  <si>
    <t>Porcentaje de Cesáreas Enero a Diciembre 2018</t>
  </si>
  <si>
    <t>Número de Consultas Nuevas Enero a Diciembre 2017</t>
  </si>
  <si>
    <t>Total de Consultas Especialidad Enero a Diciembre 2017</t>
  </si>
  <si>
    <t>Número de Consultas Nuevas Enero a Diciembre 2018</t>
  </si>
  <si>
    <t>Total de Consultas Especialidad Enero a Diciembre 2018</t>
  </si>
  <si>
    <t>Porcentaje de Consultas  Nuevas de especialidad Enero a Diciembre 2017</t>
  </si>
  <si>
    <t>Porcentaje de Consultas  Nuevas de especialidad  Enero a Diciembre 2018</t>
  </si>
  <si>
    <t>Número de pacientes hospitalizados antes de 12 horas, Enero a Diciembre 2017</t>
  </si>
  <si>
    <t>Total de pacientes hospitalizados Enero a Diciembre 2017</t>
  </si>
  <si>
    <t>Número de pacientes hospitalizados antes de 12 horas, Enero a Diciembre 2018</t>
  </si>
  <si>
    <t>Total de pacientes hospitalizados Enero a Diciembre 2018</t>
  </si>
  <si>
    <t>Porcentaje Oportunidad de Hospitalización Enero a Diciembre 2017</t>
  </si>
  <si>
    <t>Porcentaje Oportunidad de Hospitalización Enero a Diciembre 2018</t>
  </si>
  <si>
    <t>Total de Días de Estada Enero a Diciembre 2017</t>
  </si>
  <si>
    <t>Total de Egresos Enero a Diciembre 2017</t>
  </si>
  <si>
    <t>Total de Días de Estada Enero a Diciembre 2018</t>
  </si>
  <si>
    <t>Total de Egresos Enero a Diciembre 2018</t>
  </si>
  <si>
    <t>Promedio de Días de Estada Enero a Diciembre 2017</t>
  </si>
  <si>
    <t>Promedio de Días de Estada Enero a Diciembre 2018</t>
  </si>
  <si>
    <t>Enero a Diciembre 2017 Licitaciones Tipo L1</t>
  </si>
  <si>
    <t xml:space="preserve">Enero a Diciembre 2017 Total de Licitaciones </t>
  </si>
  <si>
    <t>Enero a Diciembre 2018 Licitaciones Tipo L1</t>
  </si>
  <si>
    <t xml:space="preserve">Enero a Diciembre 2018 Total de Licitaciones </t>
  </si>
  <si>
    <t>Enero a Diciembre 2017 OC Trato Directo</t>
  </si>
  <si>
    <t>Enero a Diciembre 2017 Total de OC</t>
  </si>
  <si>
    <t>Enero a Diciembre 2018 OC Trato Directo</t>
  </si>
  <si>
    <t>Enero a Diciembre 2018 Total de OC</t>
  </si>
  <si>
    <t>Enero a Diciembre 2017 (M$)</t>
  </si>
  <si>
    <t>Enero a Diciembre 2018 (M$)</t>
  </si>
  <si>
    <t>ENE-DIC 2017</t>
  </si>
  <si>
    <t>ENE-DIC 2018</t>
  </si>
  <si>
    <t>4° Trimestre</t>
  </si>
  <si>
    <t xml:space="preserve">3° Trimestre </t>
  </si>
  <si>
    <t>Octubre</t>
  </si>
  <si>
    <t>Noviembre</t>
  </si>
  <si>
    <t>Diciembre</t>
  </si>
  <si>
    <t>Hospital La Serena</t>
  </si>
  <si>
    <t>Hospital Coquimbo</t>
  </si>
  <si>
    <t>Hospital Ovalle</t>
  </si>
  <si>
    <t>Hospital Illapel</t>
  </si>
  <si>
    <t>Hospital Salamanca</t>
  </si>
  <si>
    <t>Hospital Combarbalá</t>
  </si>
  <si>
    <t>Hospital Andacollo</t>
  </si>
  <si>
    <t>Hospital Vicuña</t>
  </si>
  <si>
    <t>Hospital Los Vilos</t>
  </si>
  <si>
    <t>DIRECCIÓN DE SERVICIO</t>
  </si>
  <si>
    <t>HOSPITAL DE LA SERENA</t>
  </si>
  <si>
    <t>HOSPITAL DE COQUIMBO</t>
  </si>
  <si>
    <t>HOSPITAL DE ILLAPEL</t>
  </si>
  <si>
    <t>HOSPITAL DE SALAMANCA</t>
  </si>
  <si>
    <t>HOSPITAL DE COMBARBALÁ</t>
  </si>
  <si>
    <t>HOSPITAL DE ANDACOLLO</t>
  </si>
  <si>
    <t>HOSPITAL DE VICUÑA</t>
  </si>
  <si>
    <t>HOSPITAL LOS VILOS</t>
  </si>
  <si>
    <t>HOSPITAL DE OVALLE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</si>
</sst>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 * #,##0_ ;_ * \-#,##0_ ;_ * &quot;-&quot;_ ;_ @_ "/>
    <numFmt numFmtId="165" formatCode="_-* #,##0_-;\-* #,##0_-;_-* &quot;-&quot;??_-;_-@_-"/>
  </numFmts>
  <fonts count="19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sz val="11.5"/>
      <color rgb="FF000000"/>
      <name val="Times New Roman"/>
      <family val="1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9"/>
      <color theme="1"/>
      <name val="Calibri"/>
      <family val="2"/>
    </font>
    <font>
      <b/>
      <sz val="9"/>
      <color rgb="FFFFFFFF"/>
      <name val="Calibri"/>
      <family val="2"/>
    </font>
    <font>
      <b/>
      <sz val="9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2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theme="4" tint="0.79998168889431442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4"/>
      </bottom>
      <diagonal/>
    </border>
    <border>
      <left style="thin">
        <color indexed="64"/>
      </left>
      <right style="thin">
        <color indexed="64"/>
      </right>
      <top style="thin">
        <color theme="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82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165" fontId="5" fillId="3" borderId="3" xfId="1" applyNumberFormat="1" applyFont="1" applyFill="1" applyBorder="1" applyAlignment="1">
      <alignment vertical="center" wrapText="1"/>
    </xf>
    <xf numFmtId="165" fontId="5" fillId="4" borderId="3" xfId="1" applyNumberFormat="1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10" fontId="5" fillId="3" borderId="4" xfId="3" applyNumberFormat="1" applyFont="1" applyFill="1" applyBorder="1" applyAlignment="1">
      <alignment horizontal="center" vertical="center" wrapText="1"/>
    </xf>
    <xf numFmtId="10" fontId="5" fillId="4" borderId="4" xfId="3" applyNumberFormat="1" applyFont="1" applyFill="1" applyBorder="1" applyAlignment="1">
      <alignment horizontal="center" vertical="center" wrapText="1"/>
    </xf>
    <xf numFmtId="165" fontId="8" fillId="3" borderId="3" xfId="1" applyNumberFormat="1" applyFont="1" applyFill="1" applyBorder="1" applyAlignment="1">
      <alignment vertical="center" wrapText="1"/>
    </xf>
    <xf numFmtId="10" fontId="8" fillId="3" borderId="4" xfId="3" applyNumberFormat="1" applyFont="1" applyFill="1" applyBorder="1" applyAlignment="1">
      <alignment horizontal="center" vertical="center" wrapText="1"/>
    </xf>
    <xf numFmtId="165" fontId="0" fillId="0" borderId="0" xfId="0" applyNumberFormat="1"/>
    <xf numFmtId="165" fontId="5" fillId="3" borderId="4" xfId="1" applyNumberFormat="1" applyFont="1" applyFill="1" applyBorder="1" applyAlignment="1">
      <alignment horizontal="center" vertical="center" wrapText="1"/>
    </xf>
    <xf numFmtId="165" fontId="5" fillId="4" borderId="4" xfId="1" applyNumberFormat="1" applyFont="1" applyFill="1" applyBorder="1" applyAlignment="1">
      <alignment horizontal="center" vertical="center" wrapText="1"/>
    </xf>
    <xf numFmtId="165" fontId="8" fillId="3" borderId="4" xfId="1" applyNumberFormat="1" applyFont="1" applyFill="1" applyBorder="1" applyAlignment="1">
      <alignment horizontal="center" vertical="center" wrapText="1"/>
    </xf>
    <xf numFmtId="165" fontId="5" fillId="0" borderId="2" xfId="1" applyNumberFormat="1" applyFont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3" borderId="0" xfId="0" applyFill="1"/>
    <xf numFmtId="0" fontId="6" fillId="3" borderId="0" xfId="0" applyFont="1" applyFill="1" applyAlignment="1">
      <alignment wrapText="1"/>
    </xf>
    <xf numFmtId="0" fontId="4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65" fontId="9" fillId="0" borderId="2" xfId="1" applyNumberFormat="1" applyFont="1" applyBorder="1" applyAlignment="1">
      <alignment vertical="center" wrapText="1"/>
    </xf>
    <xf numFmtId="165" fontId="9" fillId="5" borderId="6" xfId="1" applyNumberFormat="1" applyFont="1" applyFill="1" applyBorder="1" applyAlignment="1">
      <alignment vertical="center" wrapText="1"/>
    </xf>
    <xf numFmtId="165" fontId="9" fillId="0" borderId="6" xfId="1" applyNumberFormat="1" applyFont="1" applyBorder="1" applyAlignment="1">
      <alignment vertical="center" wrapText="1"/>
    </xf>
    <xf numFmtId="165" fontId="11" fillId="0" borderId="6" xfId="1" applyNumberFormat="1" applyFont="1" applyBorder="1" applyAlignment="1">
      <alignment vertical="center" wrapText="1"/>
    </xf>
    <xf numFmtId="3" fontId="9" fillId="0" borderId="2" xfId="1" applyNumberFormat="1" applyFont="1" applyBorder="1" applyAlignment="1">
      <alignment horizontal="right" vertical="center" wrapText="1"/>
    </xf>
    <xf numFmtId="3" fontId="9" fillId="5" borderId="6" xfId="1" applyNumberFormat="1" applyFont="1" applyFill="1" applyBorder="1" applyAlignment="1">
      <alignment horizontal="right" vertical="center" wrapText="1"/>
    </xf>
    <xf numFmtId="3" fontId="11" fillId="5" borderId="6" xfId="1" applyNumberFormat="1" applyFont="1" applyFill="1" applyBorder="1" applyAlignment="1">
      <alignment horizontal="right" vertical="center" wrapText="1"/>
    </xf>
    <xf numFmtId="3" fontId="9" fillId="0" borderId="6" xfId="1" applyNumberFormat="1" applyFont="1" applyBorder="1" applyAlignment="1">
      <alignment horizontal="right" vertical="center" wrapText="1"/>
    </xf>
    <xf numFmtId="3" fontId="11" fillId="0" borderId="6" xfId="1" applyNumberFormat="1" applyFont="1" applyBorder="1" applyAlignment="1">
      <alignment horizontal="right" vertical="center" wrapText="1"/>
    </xf>
    <xf numFmtId="0" fontId="4" fillId="2" borderId="18" xfId="0" applyFont="1" applyFill="1" applyBorder="1" applyAlignment="1">
      <alignment horizontal="center" vertical="center" wrapText="1"/>
    </xf>
    <xf numFmtId="165" fontId="7" fillId="3" borderId="13" xfId="1" applyNumberFormat="1" applyFont="1" applyFill="1" applyBorder="1" applyAlignment="1">
      <alignment vertical="center" wrapText="1"/>
    </xf>
    <xf numFmtId="10" fontId="7" fillId="3" borderId="14" xfId="3" applyNumberFormat="1" applyFont="1" applyFill="1" applyBorder="1" applyAlignment="1">
      <alignment horizontal="center" vertical="center" wrapText="1"/>
    </xf>
    <xf numFmtId="165" fontId="7" fillId="4" borderId="13" xfId="1" applyNumberFormat="1" applyFont="1" applyFill="1" applyBorder="1" applyAlignment="1">
      <alignment vertical="center" wrapText="1"/>
    </xf>
    <xf numFmtId="10" fontId="7" fillId="4" borderId="14" xfId="3" applyNumberFormat="1" applyFont="1" applyFill="1" applyBorder="1" applyAlignment="1">
      <alignment horizontal="center" vertical="center" wrapText="1"/>
    </xf>
    <xf numFmtId="165" fontId="12" fillId="3" borderId="15" xfId="1" applyNumberFormat="1" applyFont="1" applyFill="1" applyBorder="1" applyAlignment="1">
      <alignment vertical="center" wrapText="1"/>
    </xf>
    <xf numFmtId="10" fontId="12" fillId="3" borderId="17" xfId="3" applyNumberFormat="1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2" fontId="5" fillId="3" borderId="4" xfId="1" applyNumberFormat="1" applyFont="1" applyFill="1" applyBorder="1" applyAlignment="1">
      <alignment horizontal="center" vertical="center" wrapText="1"/>
    </xf>
    <xf numFmtId="2" fontId="5" fillId="4" borderId="4" xfId="1" applyNumberFormat="1" applyFont="1" applyFill="1" applyBorder="1" applyAlignment="1">
      <alignment horizontal="center" vertical="center" wrapText="1"/>
    </xf>
    <xf numFmtId="2" fontId="8" fillId="3" borderId="4" xfId="1" applyNumberFormat="1" applyFont="1" applyFill="1" applyBorder="1" applyAlignment="1">
      <alignment horizontal="center" vertical="center" wrapText="1"/>
    </xf>
    <xf numFmtId="0" fontId="15" fillId="6" borderId="4" xfId="4" applyFont="1" applyFill="1" applyBorder="1" applyAlignment="1">
      <alignment horizontal="center" vertical="center" wrapText="1"/>
    </xf>
    <xf numFmtId="0" fontId="1" fillId="6" borderId="0" xfId="4" applyFill="1"/>
    <xf numFmtId="0" fontId="1" fillId="0" borderId="0" xfId="4"/>
    <xf numFmtId="10" fontId="17" fillId="6" borderId="4" xfId="4" applyNumberFormat="1" applyFont="1" applyFill="1" applyBorder="1" applyAlignment="1">
      <alignment horizontal="center" vertical="center" wrapText="1"/>
    </xf>
    <xf numFmtId="3" fontId="17" fillId="6" borderId="4" xfId="6" applyNumberFormat="1" applyFont="1" applyFill="1" applyBorder="1" applyAlignment="1">
      <alignment horizontal="center" vertical="center" wrapText="1"/>
    </xf>
    <xf numFmtId="4" fontId="17" fillId="6" borderId="4" xfId="6" applyNumberFormat="1" applyFont="1" applyFill="1" applyBorder="1" applyAlignment="1">
      <alignment horizontal="center" vertical="center" wrapText="1"/>
    </xf>
    <xf numFmtId="165" fontId="7" fillId="0" borderId="4" xfId="1" applyNumberFormat="1" applyFont="1" applyBorder="1" applyAlignment="1">
      <alignment vertical="center" wrapText="1"/>
    </xf>
    <xf numFmtId="165" fontId="7" fillId="5" borderId="4" xfId="1" applyNumberFormat="1" applyFont="1" applyFill="1" applyBorder="1" applyAlignment="1">
      <alignment vertical="center" wrapText="1"/>
    </xf>
    <xf numFmtId="0" fontId="15" fillId="6" borderId="11" xfId="4" applyFont="1" applyFill="1" applyBorder="1" applyAlignment="1">
      <alignment horizontal="center" vertical="center" wrapText="1"/>
    </xf>
    <xf numFmtId="0" fontId="18" fillId="6" borderId="4" xfId="0" applyFont="1" applyFill="1" applyBorder="1" applyAlignment="1">
      <alignment vertical="center" wrapText="1"/>
    </xf>
    <xf numFmtId="3" fontId="7" fillId="0" borderId="4" xfId="1" applyNumberFormat="1" applyFont="1" applyBorder="1" applyAlignment="1">
      <alignment vertical="center" wrapText="1"/>
    </xf>
    <xf numFmtId="3" fontId="7" fillId="0" borderId="4" xfId="1" applyNumberFormat="1" applyFont="1" applyBorder="1" applyAlignment="1">
      <alignment horizontal="center" vertical="center" wrapText="1"/>
    </xf>
    <xf numFmtId="3" fontId="7" fillId="3" borderId="4" xfId="1" applyNumberFormat="1" applyFont="1" applyFill="1" applyBorder="1" applyAlignment="1">
      <alignment horizontal="center" vertical="center" wrapText="1"/>
    </xf>
    <xf numFmtId="3" fontId="7" fillId="4" borderId="4" xfId="1" applyNumberFormat="1" applyFont="1" applyFill="1" applyBorder="1" applyAlignment="1">
      <alignment horizontal="center" vertical="center" wrapText="1"/>
    </xf>
    <xf numFmtId="3" fontId="12" fillId="3" borderId="16" xfId="1" applyNumberFormat="1" applyFont="1" applyFill="1" applyBorder="1" applyAlignment="1">
      <alignment horizontal="center" vertical="center" wrapText="1"/>
    </xf>
    <xf numFmtId="10" fontId="7" fillId="7" borderId="4" xfId="2" applyNumberFormat="1" applyFont="1" applyFill="1" applyBorder="1" applyAlignment="1">
      <alignment horizontal="center" vertical="center" wrapText="1"/>
    </xf>
    <xf numFmtId="10" fontId="7" fillId="5" borderId="4" xfId="2" applyNumberFormat="1" applyFont="1" applyFill="1" applyBorder="1" applyAlignment="1">
      <alignment horizontal="center" vertical="center" wrapText="1"/>
    </xf>
    <xf numFmtId="3" fontId="7" fillId="5" borderId="4" xfId="2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0" fontId="7" fillId="7" borderId="4" xfId="2" applyNumberFormat="1" applyFont="1" applyFill="1" applyBorder="1" applyAlignment="1">
      <alignment horizontal="center" vertical="center" wrapText="1"/>
    </xf>
    <xf numFmtId="10" fontId="7" fillId="5" borderId="4" xfId="2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right" vertical="center" wrapText="1"/>
    </xf>
    <xf numFmtId="164" fontId="0" fillId="0" borderId="0" xfId="7" applyFont="1"/>
    <xf numFmtId="164" fontId="5" fillId="0" borderId="2" xfId="7" applyFont="1" applyBorder="1" applyAlignment="1">
      <alignment vertical="center" wrapText="1"/>
    </xf>
    <xf numFmtId="0" fontId="16" fillId="6" borderId="24" xfId="4" applyFont="1" applyFill="1" applyBorder="1" applyAlignment="1">
      <alignment horizontal="center" vertical="center" textRotation="90" wrapText="1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3" fontId="7" fillId="0" borderId="4" xfId="1" applyNumberFormat="1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3" fillId="0" borderId="23" xfId="0" applyFont="1" applyBorder="1" applyAlignment="1">
      <alignment horizontal="center"/>
    </xf>
  </cellXfs>
  <cellStyles count="8">
    <cellStyle name="Millares" xfId="1" builtinId="3"/>
    <cellStyle name="Millares [0]" xfId="7" builtinId="6"/>
    <cellStyle name="Millares 2" xfId="6"/>
    <cellStyle name="Normal" xfId="0" builtinId="0"/>
    <cellStyle name="Normal 2" xfId="4"/>
    <cellStyle name="Porcentaje" xfId="2" builtinId="5"/>
    <cellStyle name="Porcentaje 2" xfId="3"/>
    <cellStyle name="Porcentaje 3" xfId="5"/>
  </cellStyles>
  <dxfs count="15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general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none"/>
      </font>
      <numFmt numFmtId="165" formatCode="_-* #,##0_-;\-* #,##0_-;_-* &quot;-&quot;??_-;_-@_-"/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general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indexed="64"/>
          <bgColor rgb="FF4472C4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numFmt numFmtId="2" formatCode="0.00"/>
      <border outline="0">
        <left style="thin">
          <color indexed="64"/>
        </left>
      </border>
    </dxf>
    <dxf>
      <numFmt numFmtId="2" formatCode="0.00"/>
      <border outline="0">
        <left style="thin">
          <color indexed="64"/>
        </left>
        <right style="thin">
          <color indexed="64"/>
        </right>
      </border>
    </dxf>
    <dxf>
      <border outline="0">
        <left style="thin">
          <color indexed="64"/>
        </left>
        <right style="thin">
          <color indexed="64"/>
        </right>
      </border>
    </dxf>
    <dxf>
      <border outline="0">
        <left style="thin">
          <color indexed="64"/>
        </left>
      </border>
    </dxf>
    <dxf>
      <border outline="0">
        <left style="thin">
          <color indexed="64"/>
        </left>
      </border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general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numFmt numFmtId="14" formatCode="0.00%"/>
      <border>
        <left style="thin">
          <color indexed="64"/>
        </left>
      </border>
    </dxf>
    <dxf>
      <numFmt numFmtId="14" formatCode="0.00%"/>
      <border>
        <left style="thin">
          <color indexed="64"/>
        </left>
      </border>
    </dxf>
    <dxf>
      <border outline="0">
        <left style="thin">
          <color indexed="64"/>
        </left>
      </border>
    </dxf>
    <dxf>
      <border outline="0">
        <left style="thin">
          <color indexed="64"/>
        </left>
      </border>
    </dxf>
    <dxf>
      <border outline="0">
        <left style="thin">
          <color indexed="64"/>
        </left>
      </border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general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numFmt numFmtId="14" formatCode="0.00%"/>
      <border>
        <left style="thin">
          <color indexed="64"/>
        </left>
      </border>
    </dxf>
    <dxf>
      <numFmt numFmtId="14" formatCode="0.00%"/>
      <border>
        <left style="thin">
          <color indexed="64"/>
        </left>
      </border>
    </dxf>
    <dxf>
      <border outline="0">
        <left style="thin">
          <color indexed="64"/>
        </left>
      </border>
    </dxf>
    <dxf>
      <border outline="0">
        <left style="thin">
          <color indexed="64"/>
        </left>
      </border>
    </dxf>
    <dxf>
      <border outline="0">
        <left style="thin">
          <color indexed="64"/>
        </left>
      </border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general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numFmt numFmtId="14" formatCode="0.00%"/>
      <border>
        <left style="thin">
          <color indexed="64"/>
        </left>
      </border>
    </dxf>
    <dxf>
      <numFmt numFmtId="14" formatCode="0.00%"/>
      <border>
        <left style="thin">
          <color indexed="64"/>
        </left>
      </border>
    </dxf>
    <dxf>
      <border outline="0">
        <left style="thin">
          <color indexed="64"/>
        </left>
      </border>
    </dxf>
    <dxf>
      <border outline="0">
        <left style="thin">
          <color indexed="64"/>
        </left>
      </border>
    </dxf>
    <dxf>
      <border outline="0">
        <left style="thin">
          <color indexed="64"/>
        </left>
      </border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general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numFmt numFmtId="14" formatCode="0.00%"/>
      <border>
        <left style="thin">
          <color indexed="64"/>
        </left>
      </border>
    </dxf>
    <dxf>
      <numFmt numFmtId="14" formatCode="0.00%"/>
      <border>
        <left style="thin">
          <color indexed="64"/>
        </left>
      </border>
    </dxf>
    <dxf>
      <border outline="0">
        <left style="thin">
          <color indexed="64"/>
        </left>
      </border>
    </dxf>
    <dxf>
      <border outline="0">
        <left style="thin">
          <color indexed="64"/>
        </left>
      </border>
    </dxf>
    <dxf>
      <border outline="0">
        <left style="thin">
          <color indexed="64"/>
        </left>
      </border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general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general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general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numFmt numFmtId="14" formatCode="0.00%"/>
      <border>
        <left style="thin">
          <color indexed="64"/>
        </left>
      </border>
    </dxf>
    <dxf>
      <numFmt numFmtId="14" formatCode="0.00%"/>
      <border>
        <left style="thin">
          <color indexed="64"/>
        </left>
      </border>
    </dxf>
    <dxf>
      <border outline="0">
        <left style="thin">
          <color indexed="64"/>
        </left>
      </border>
    </dxf>
    <dxf>
      <border outline="0">
        <left style="thin">
          <color indexed="64"/>
        </left>
      </border>
    </dxf>
    <dxf>
      <border outline="0">
        <left style="thin">
          <color indexed="64"/>
        </left>
      </border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_-* #,##0_-;\-* #,##0_-;_-* &quot;-&quot;??_-;_-@_-"/>
      <alignment horizontal="general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10" name="Tabla159101112131415167911" displayName="Tabla159101112131415167911" ref="A2:K12" totalsRowShown="0" headerRowDxfId="149" dataDxfId="147" headerRowBorderDxfId="148" tableBorderDxfId="146" dataCellStyle="Millares">
  <autoFilter ref="A2:K12"/>
  <tableColumns count="11">
    <tableColumn id="1" name="Nombre Institución" dataDxfId="145" dataCellStyle="Millares"/>
    <tableColumn id="9" name="Total de días cama ocupados Enero a Diciembre 2017" dataDxfId="144"/>
    <tableColumn id="10" name="Total de días cama disponibles Enero a Diciembre 2017" dataDxfId="143"/>
    <tableColumn id="7" name="Total de días cama ocupados Enero a Diciembre 2018" dataDxfId="142"/>
    <tableColumn id="8" name="Total de días cama disponibles Enero a Diciembre 2018" dataDxfId="141"/>
    <tableColumn id="11" name=" Índice Ocupacional Enero a Diciembre 2017" dataDxfId="140">
      <calculatedColumnFormula>ROUND(Tabla159101112131415167911[[#This Row],[Total de días cama ocupados Enero a Diciembre 2017]]/Tabla159101112131415167911[[#This Row],[Total de días cama disponibles Enero a Diciembre 2017]],4)</calculatedColumnFormula>
    </tableColumn>
    <tableColumn id="5" name=" Índice Ocupacional Enero a Diciembre 2018" dataDxfId="139">
      <calculatedColumnFormula>ROUND(Tabla159101112131415167911[[#This Row],[Total de días cama ocupados Enero a Diciembre 2018]]/Tabla159101112131415167911[[#This Row],[Total de días cama disponibles Enero a Diciembre 2018]],4)</calculatedColumnFormula>
    </tableColumn>
    <tableColumn id="6" name="Institución" dataDxfId="138"/>
    <tableColumn id="2" name="Enero a Diciembre 2017" dataDxfId="137" dataCellStyle="Porcentaje">
      <calculatedColumnFormula>ROUND(Tabla159101112131415167911[[#This Row],[ Índice Ocupacional Enero a Diciembre 2017]],4)</calculatedColumnFormula>
    </tableColumn>
    <tableColumn id="3" name="Enero a Diciembre 2018" dataDxfId="136" dataCellStyle="Porcentaje">
      <calculatedColumnFormula>ROUND(Tabla159101112131415167911[[#This Row],[ Índice Ocupacional Enero a Diciembre 2018]],4)</calculatedColumnFormula>
    </tableColumn>
    <tableColumn id="4" name="Tasa de Variación (%)" dataDxfId="135" dataCellStyle="Porcentaje">
      <calculatedColumnFormula>ROUND((Tabla159101112131415167911[[#This Row],[Enero a Diciembre 2018]]-Tabla159101112131415167911[[#This Row],[Enero a Diciembre 2017]])/Tabla159101112131415167911[[#This Row],[Enero a Diciembre 2017]],4)</calculatedColumnFormula>
    </tableColumn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id="6" name="Tabla159101112131415167" displayName="Tabla159101112131415167" ref="A2:D12" totalsRowShown="0" headerRowDxfId="134" dataDxfId="132" headerRowBorderDxfId="133" tableBorderDxfId="131" dataCellStyle="Millares">
  <autoFilter ref="A2:D12"/>
  <tableColumns count="4">
    <tableColumn id="6" name="Institución" dataDxfId="130"/>
    <tableColumn id="2" name="Enero a Diciembre 2017" dataDxfId="129" dataCellStyle="Porcentaje">
      <calculatedColumnFormula>#REF!</calculatedColumnFormula>
    </tableColumn>
    <tableColumn id="3" name="Enero a Diciembre 2018" dataDxfId="128" dataCellStyle="Porcentaje">
      <calculatedColumnFormula>#REF!</calculatedColumnFormula>
    </tableColumn>
    <tableColumn id="4" name="Tasa de Variación (%)" dataDxfId="127" dataCellStyle="Porcentaje">
      <calculatedColumnFormula>ROUND((Tabla159101112131415167[[#This Row],[Enero a Diciembre 2018]]-Tabla159101112131415167[[#This Row],[Enero a Diciembre 2017]])/Tabla159101112131415167[[#This Row],[Enero a Diciembre 2017]],4)</calculatedColumnFormula>
    </tableColumn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id="11" name="Tabla15910111213141516712" displayName="Tabla15910111213141516712" ref="A2:D12" totalsRowShown="0" headerRowDxfId="126" dataDxfId="124" headerRowBorderDxfId="125" tableBorderDxfId="123" dataCellStyle="Millares">
  <autoFilter ref="A2:D12"/>
  <tableColumns count="4">
    <tableColumn id="6" name="Institución" dataDxfId="122"/>
    <tableColumn id="2" name="Enero a Diciembre 2017" dataDxfId="121" dataCellStyle="Porcentaje">
      <calculatedColumnFormula>#REF!</calculatedColumnFormula>
    </tableColumn>
    <tableColumn id="3" name="Enero a Diciembre 2018" dataDxfId="120" dataCellStyle="Porcentaje">
      <calculatedColumnFormula>#REF!</calculatedColumnFormula>
    </tableColumn>
    <tableColumn id="4" name="Tasa de Variación (%)" dataDxfId="119" dataCellStyle="Porcentaje">
      <calculatedColumnFormula>ROUND((Tabla15910111213141516712[[#This Row],[Enero a Diciembre 2018]]-Tabla15910111213141516712[[#This Row],[Enero a Diciembre 2017]])/Tabla15910111213141516712[[#This Row],[Enero a Diciembre 2017]],4)</calculatedColumnFormula>
    </tableColumn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id="8" name="Tabla1591011121314151679" displayName="Tabla1591011121314151679" ref="A2:K12" totalsRowShown="0" headerRowDxfId="118" dataDxfId="116" headerRowBorderDxfId="117" tableBorderDxfId="115" dataCellStyle="Millares">
  <autoFilter ref="A2:K12"/>
  <tableColumns count="11">
    <tableColumn id="1" name="Nombre Institución" dataDxfId="114" dataCellStyle="Millares"/>
    <tableColumn id="9" name="Número de pacientes categorizados en UEH  Enero a Diciembre 2017" dataDxfId="113"/>
    <tableColumn id="10" name="Total de consultas de urgencia en UEH  Enero a Diciembre 2017" dataDxfId="112"/>
    <tableColumn id="7" name="Número de pacientes categorizados en UEH  Enero a Diciembre 2018" dataDxfId="111"/>
    <tableColumn id="8" name="Total de consultas de urgencia en UEH  Enero a Diciembre 2018" dataDxfId="110"/>
    <tableColumn id="11" name=" Porcentaje Categorización de Urgencia Enero a Diciembre 2017" dataDxfId="109">
      <calculatedColumnFormula>ROUND(Tabla1591011121314151679[[#This Row],[Número de pacientes categorizados en UEH  Enero a Diciembre 2017]]/Tabla1591011121314151679[[#This Row],[Total de consultas de urgencia en UEH  Enero a Diciembre 2017]],4)</calculatedColumnFormula>
    </tableColumn>
    <tableColumn id="5" name=" Porcentaje Categorización de Urgencia Enero a Diciembre 2018" dataDxfId="108">
      <calculatedColumnFormula>ROUND(Tabla1591011121314151679[[#This Row],[Número de pacientes categorizados en UEH  Enero a Diciembre 2018]]/Tabla1591011121314151679[[#This Row],[Total de consultas de urgencia en UEH  Enero a Diciembre 2018]],4)</calculatedColumnFormula>
    </tableColumn>
    <tableColumn id="6" name="Institución" dataDxfId="107"/>
    <tableColumn id="2" name="Enero a Diciembre 2017" dataDxfId="106" dataCellStyle="Porcentaje">
      <calculatedColumnFormula>ROUND(Tabla1591011121314151679[[#This Row],[ Porcentaje Categorización de Urgencia Enero a Diciembre 2017]],4)</calculatedColumnFormula>
    </tableColumn>
    <tableColumn id="3" name="Enero a Diciembre 2018" dataDxfId="105" dataCellStyle="Porcentaje">
      <calculatedColumnFormula>ROUND(Tabla1591011121314151679[[#This Row],[ Porcentaje Categorización de Urgencia Enero a Diciembre 2018]],4)</calculatedColumnFormula>
    </tableColumn>
    <tableColumn id="4" name="Tasa de Variación (%)" dataDxfId="104" dataCellStyle="Porcentaje">
      <calculatedColumnFormula>ROUND((Tabla1591011121314151679[[#This Row],[Enero a Diciembre 2018]]-Tabla1591011121314151679[[#This Row],[Enero a Diciembre 2017]])/Tabla1591011121314151679[[#This Row],[Enero a Diciembre 2017]],4)</calculatedColumnFormula>
    </tableColumn>
  </tableColumns>
  <tableStyleInfo name="TableStyleLight16" showFirstColumn="0" showLastColumn="0" showRowStripes="1" showColumnStripes="0"/>
</table>
</file>

<file path=xl/tables/table5.xml><?xml version="1.0" encoding="utf-8"?>
<table xmlns="http://schemas.openxmlformats.org/spreadsheetml/2006/main" id="12" name="Tabla159101112131415167913" displayName="Tabla159101112131415167913" ref="A2:K12" totalsRowShown="0" headerRowDxfId="103" dataDxfId="101" headerRowBorderDxfId="102" tableBorderDxfId="100" dataCellStyle="Millares">
  <autoFilter ref="A2:K12"/>
  <tableColumns count="11">
    <tableColumn id="1" name="Nombre Institución" dataDxfId="99" dataCellStyle="Millares"/>
    <tableColumn id="9" name="Número de cesáreas en  Enero a Diciembre 2017" dataDxfId="98"/>
    <tableColumn id="10" name="Total de partos en Enero a Diciembre 2017" dataDxfId="97"/>
    <tableColumn id="7" name="Número de cesáreas en  Enero a Diciembre 2018" dataDxfId="96"/>
    <tableColumn id="8" name="Total de partos en Enero a Diciembre 2018" dataDxfId="95"/>
    <tableColumn id="11" name="Porcentaje de Cesáreas Enero a Diciembre 2017" dataDxfId="94">
      <calculatedColumnFormula>ROUND(Tabla159101112131415167913[[#This Row],[Número de cesáreas en  Enero a Diciembre 2017]]/Tabla159101112131415167913[[#This Row],[Total de partos en Enero a Diciembre 2017]],4)</calculatedColumnFormula>
    </tableColumn>
    <tableColumn id="5" name="Porcentaje de Cesáreas Enero a Diciembre 2018" dataDxfId="93">
      <calculatedColumnFormula>ROUND(Tabla159101112131415167913[[#This Row],[Número de cesáreas en  Enero a Diciembre 2018]]/Tabla159101112131415167913[[#This Row],[Total de partos en Enero a Diciembre 2018]],4)</calculatedColumnFormula>
    </tableColumn>
    <tableColumn id="6" name="Institución" dataDxfId="92"/>
    <tableColumn id="2" name="Enero a Diciembre 2017" dataDxfId="91" dataCellStyle="Porcentaje">
      <calculatedColumnFormula>ROUND(Tabla159101112131415167913[[#This Row],[Porcentaje de Cesáreas Enero a Diciembre 2017]],4)</calculatedColumnFormula>
    </tableColumn>
    <tableColumn id="3" name="Enero a Diciembre 2018" dataDxfId="90" dataCellStyle="Porcentaje">
      <calculatedColumnFormula>ROUND(Tabla159101112131415167913[[#This Row],[Porcentaje de Cesáreas Enero a Diciembre 2018]],4)</calculatedColumnFormula>
    </tableColumn>
    <tableColumn id="4" name="Tasa de Variación (%)" dataDxfId="89" dataCellStyle="Porcentaje">
      <calculatedColumnFormula>ROUND((Tabla159101112131415167913[[#This Row],[Enero a Diciembre 2018]]-Tabla159101112131415167913[[#This Row],[Enero a Diciembre 2017]])/Tabla159101112131415167913[[#This Row],[Enero a Diciembre 2017]],4)</calculatedColumnFormula>
    </tableColumn>
  </tableColumns>
  <tableStyleInfo name="TableStyleLight16" showFirstColumn="0" showLastColumn="0" showRowStripes="1" showColumnStripes="0"/>
</table>
</file>

<file path=xl/tables/table6.xml><?xml version="1.0" encoding="utf-8"?>
<table xmlns="http://schemas.openxmlformats.org/spreadsheetml/2006/main" id="13" name="Tabla15910111213141516791314" displayName="Tabla15910111213141516791314" ref="A2:K12" totalsRowShown="0" headerRowDxfId="88" dataDxfId="86" headerRowBorderDxfId="87" tableBorderDxfId="85" dataCellStyle="Millares">
  <autoFilter ref="A2:K12"/>
  <tableColumns count="11">
    <tableColumn id="1" name="Nombre Institución" dataDxfId="84" dataCellStyle="Millares"/>
    <tableColumn id="9" name="Número de Consultas Nuevas Enero a Diciembre 2017" dataDxfId="83"/>
    <tableColumn id="10" name="Total de Consultas Especialidad Enero a Diciembre 2017" dataDxfId="82"/>
    <tableColumn id="7" name="Número de Consultas Nuevas Enero a Diciembre 2018" dataDxfId="81"/>
    <tableColumn id="8" name="Total de Consultas Especialidad Enero a Diciembre 2018" dataDxfId="80"/>
    <tableColumn id="11" name="Porcentaje de Consultas  Nuevas de especialidad Enero a Diciembre 2017" dataDxfId="79">
      <calculatedColumnFormula>ROUND(Tabla15910111213141516791314[[#This Row],[Número de Consultas Nuevas Enero a Diciembre 2017]]/Tabla15910111213141516791314[[#This Row],[Total de Consultas Especialidad Enero a Diciembre 2017]],4)</calculatedColumnFormula>
    </tableColumn>
    <tableColumn id="5" name="Porcentaje de Consultas  Nuevas de especialidad  Enero a Diciembre 2018" dataDxfId="78">
      <calculatedColumnFormula>ROUND(Tabla15910111213141516791314[[#This Row],[Número de Consultas Nuevas Enero a Diciembre 2018]]/Tabla15910111213141516791314[[#This Row],[Total de Consultas Especialidad Enero a Diciembre 2018]],4)</calculatedColumnFormula>
    </tableColumn>
    <tableColumn id="6" name="Institución" dataDxfId="77"/>
    <tableColumn id="2" name="Enero a Diciembre 2017" dataDxfId="76" dataCellStyle="Porcentaje">
      <calculatedColumnFormula>ROUND(Tabla15910111213141516791314[[#This Row],[Porcentaje de Consultas  Nuevas de especialidad Enero a Diciembre 2017]],4)</calculatedColumnFormula>
    </tableColumn>
    <tableColumn id="3" name="Enero a Diciembre 2018" dataDxfId="75" dataCellStyle="Porcentaje">
      <calculatedColumnFormula>ROUND(Tabla15910111213141516791314[[#This Row],[Porcentaje de Consultas  Nuevas de especialidad  Enero a Diciembre 2018]],4)</calculatedColumnFormula>
    </tableColumn>
    <tableColumn id="4" name="Tasa de Variación (%)" dataDxfId="74" dataCellStyle="Porcentaje">
      <calculatedColumnFormula>ROUND((Tabla15910111213141516791314[[#This Row],[Enero a Diciembre 2018]]-Tabla15910111213141516791314[[#This Row],[Enero a Diciembre 2017]])/Tabla15910111213141516791314[[#This Row],[Enero a Diciembre 2017]],4)</calculatedColumnFormula>
    </tableColumn>
  </tableColumns>
  <tableStyleInfo name="TableStyleLight16" showFirstColumn="0" showLastColumn="0" showRowStripes="1" showColumnStripes="0"/>
</table>
</file>

<file path=xl/tables/table7.xml><?xml version="1.0" encoding="utf-8"?>
<table xmlns="http://schemas.openxmlformats.org/spreadsheetml/2006/main" id="14" name="Tabla1591011121314151679131415" displayName="Tabla1591011121314151679131415" ref="A2:K12" totalsRowShown="0" headerRowDxfId="73" dataDxfId="71" headerRowBorderDxfId="72" tableBorderDxfId="70" dataCellStyle="Millares">
  <autoFilter ref="A2:K12"/>
  <tableColumns count="11">
    <tableColumn id="1" name="Nombre Institución" dataDxfId="69" dataCellStyle="Millares"/>
    <tableColumn id="9" name="Número de pacientes hospitalizados antes de 12 horas, Enero a Diciembre 2017" dataDxfId="68"/>
    <tableColumn id="10" name="Total de pacientes hospitalizados Enero a Diciembre 2017" dataDxfId="67"/>
    <tableColumn id="7" name="Número de pacientes hospitalizados antes de 12 horas, Enero a Diciembre 2018" dataDxfId="66"/>
    <tableColumn id="8" name="Total de pacientes hospitalizados Enero a Diciembre 2018" dataDxfId="65"/>
    <tableColumn id="11" name="Porcentaje Oportunidad de Hospitalización Enero a Diciembre 2017" dataDxfId="64">
      <calculatedColumnFormula>ROUND(Tabla1591011121314151679131415[[#This Row],[Número de pacientes hospitalizados antes de 12 horas, Enero a Diciembre 2017]]/Tabla1591011121314151679131415[[#This Row],[Total de pacientes hospitalizados Enero a Diciembre 2017]],4)</calculatedColumnFormula>
    </tableColumn>
    <tableColumn id="5" name="Porcentaje Oportunidad de Hospitalización Enero a Diciembre 2018" dataDxfId="63">
      <calculatedColumnFormula>ROUND(Tabla1591011121314151679131415[[#This Row],[Número de pacientes hospitalizados antes de 12 horas, Enero a Diciembre 2018]]/Tabla1591011121314151679131415[[#This Row],[Total de pacientes hospitalizados Enero a Diciembre 2018]],4)</calculatedColumnFormula>
    </tableColumn>
    <tableColumn id="6" name="Institución" dataDxfId="62"/>
    <tableColumn id="2" name="Enero a Diciembre 2017" dataDxfId="61" dataCellStyle="Porcentaje">
      <calculatedColumnFormula>ROUND(Tabla1591011121314151679131415[[#This Row],[Porcentaje Oportunidad de Hospitalización Enero a Diciembre 2017]],4)</calculatedColumnFormula>
    </tableColumn>
    <tableColumn id="3" name="Enero a Diciembre 2018" dataDxfId="60" dataCellStyle="Porcentaje">
      <calculatedColumnFormula>ROUND(Tabla1591011121314151679131415[[#This Row],[Porcentaje Oportunidad de Hospitalización Enero a Diciembre 2018]],4)</calculatedColumnFormula>
    </tableColumn>
    <tableColumn id="4" name="Tasa de Variación (%)" dataDxfId="59" dataCellStyle="Porcentaje">
      <calculatedColumnFormula>ROUND((Tabla1591011121314151679131415[[#This Row],[Enero a Diciembre 2018]]-Tabla1591011121314151679131415[[#This Row],[Enero a Diciembre 2017]])/Tabla1591011121314151679131415[[#This Row],[Enero a Diciembre 2017]],4)</calculatedColumnFormula>
    </tableColumn>
  </tableColumns>
  <tableStyleInfo name="TableStyleLight16" showFirstColumn="0" showLastColumn="0" showRowStripes="1" showColumnStripes="0"/>
</table>
</file>

<file path=xl/tables/table8.xml><?xml version="1.0" encoding="utf-8"?>
<table xmlns="http://schemas.openxmlformats.org/spreadsheetml/2006/main" id="15" name="Tabla159101112131415167913141516" displayName="Tabla159101112131415167913141516" ref="A2:K12" totalsRowShown="0" headerRowDxfId="58" dataDxfId="56" headerRowBorderDxfId="57" tableBorderDxfId="55" dataCellStyle="Millares">
  <autoFilter ref="A2:K12"/>
  <tableColumns count="11">
    <tableColumn id="1" name="Nombre Institución" dataDxfId="54" dataCellStyle="Millares"/>
    <tableColumn id="9" name="Total de Días de Estada Enero a Diciembre 2017" dataDxfId="53"/>
    <tableColumn id="10" name="Total de Egresos Enero a Diciembre 2017" dataDxfId="52"/>
    <tableColumn id="7" name="Total de Días de Estada Enero a Diciembre 2018" dataDxfId="51"/>
    <tableColumn id="8" name="Total de Egresos Enero a Diciembre 2018" dataDxfId="50"/>
    <tableColumn id="11" name="Promedio de Días de Estada Enero a Diciembre 2017" dataDxfId="49" dataCellStyle="Millares">
      <calculatedColumnFormula>Tabla159101112131415167913141516[[#This Row],[Total de Días de Estada Enero a Diciembre 2017]]/Tabla159101112131415167913141516[[#This Row],[Total de Egresos Enero a Diciembre 2017]]</calculatedColumnFormula>
    </tableColumn>
    <tableColumn id="5" name="Promedio de Días de Estada Enero a Diciembre 2018" dataDxfId="48" dataCellStyle="Millares">
      <calculatedColumnFormula>Tabla159101112131415167913141516[[#This Row],[Total de Días de Estada Enero a Diciembre 2018]]/Tabla159101112131415167913141516[[#This Row],[Total de Egresos Enero a Diciembre 2018]]</calculatedColumnFormula>
    </tableColumn>
    <tableColumn id="6" name="Institución" dataDxfId="47"/>
    <tableColumn id="2" name="Enero a Diciembre 2017" dataDxfId="46" dataCellStyle="Porcentaje">
      <calculatedColumnFormula>ROUND(Tabla159101112131415167913141516[[#This Row],[Promedio de Días de Estada Enero a Diciembre 2017]],2)</calculatedColumnFormula>
    </tableColumn>
    <tableColumn id="3" name="Enero a Diciembre 2018" dataDxfId="45" dataCellStyle="Porcentaje">
      <calculatedColumnFormula>ROUND(Tabla159101112131415167913141516[[#This Row],[Promedio de Días de Estada Enero a Diciembre 2018]],2)</calculatedColumnFormula>
    </tableColumn>
    <tableColumn id="4" name="Tasa de Variación (%)" dataDxfId="44" dataCellStyle="Porcentaje">
      <calculatedColumnFormula>ROUND((Tabla159101112131415167913141516[[#This Row],[Enero a Diciembre 2018]]-Tabla159101112131415167913141516[[#This Row],[Enero a Diciembre 2017]])/Tabla159101112131415167913141516[[#This Row],[Enero a Diciembre 2017]],4)</calculatedColumnFormula>
    </tableColumn>
  </tableColumns>
  <tableStyleInfo name="TableStyleLight16" showFirstColumn="0" showLastColumn="0" showRowStripes="1" showColumnStripes="0"/>
</table>
</file>

<file path=xl/tables/table9.xml><?xml version="1.0" encoding="utf-8"?>
<table xmlns="http://schemas.openxmlformats.org/spreadsheetml/2006/main" id="1" name="Tabla13" displayName="Tabla13" ref="A4:G14" totalsRowShown="0" headerRowDxfId="43" dataDxfId="41" headerRowBorderDxfId="42" tableBorderDxfId="40" dataCellStyle="Millares">
  <autoFilter ref="A4:G14"/>
  <tableColumns count="7">
    <tableColumn id="6" name="Ejecución de Glosas Presupuestarias (M$)" dataDxfId="39" dataCellStyle="Millares"/>
    <tableColumn id="2" name="Presupuesto Vigente año 2018 " dataDxfId="38" dataCellStyle="Millares">
      <calculatedColumnFormula>'T13'!B2+'T14'!B2+'T15'!B2+'T16'!B2+'T17'!B2+'17.1'!B2+'17.2'!B2+'17.3'!B2+'17.4'!B2+'17.5'!B2</calculatedColumnFormula>
    </tableColumn>
    <tableColumn id="3" name="1° Trimestre " dataDxfId="37" dataCellStyle="Millares">
      <calculatedColumnFormula>'T13'!C2+'T14'!C2+'T15'!C2+'T16'!C2+'T17'!C2</calculatedColumnFormula>
    </tableColumn>
    <tableColumn id="5" name="2° Trimestre" dataDxfId="36" dataCellStyle="Millares">
      <calculatedColumnFormula>'T13'!D2+'T14'!D2+'T15'!D2+'T16'!D2+'T17'!D2</calculatedColumnFormula>
    </tableColumn>
    <tableColumn id="1" name="3° Trimestre" dataDxfId="35" dataCellStyle="Millares">
      <calculatedColumnFormula>'T13'!E2+'T14'!E2+'T15'!E2+'T16'!E2+'T17'!E2</calculatedColumnFormula>
    </tableColumn>
    <tableColumn id="4" name="4° Trimestre" dataDxfId="34" dataCellStyle="Millares">
      <calculatedColumnFormula>SUM('T13'!F2:H2,'T14'!F2:H2,'T15'!F2:H2,'T16'!F2:H2,'T17'!F2:H2,'17.1'!F2:H2,'17.2'!F2:H2,'17.3'!F2:H2,'17.4'!F2:H2,'17.5'!F2:H2)</calculatedColumnFormula>
    </tableColumn>
    <tableColumn id="7" name="Acumulado 2018 " dataDxfId="33" dataCellStyle="Millares [0]">
      <calculatedColumnFormula>+'T13'!I2+'T14'!I2+'T15'!I2+'T16'!I2+'T17'!I2+'17.1'!I2+'17.2'!I2+'17.3'!I2+'17.4'!I2+'17.5'!I2</calculatedColumnFormula>
    </tableColumn>
  </tableColumns>
  <tableStyleInfo name="TableStyleLight16" showFirstColumn="0" showLastColumn="0" showRowStripes="1" showColumnStripes="0"/>
</table>
</file>

<file path=xl/tables/table10.xml><?xml version="1.0" encoding="utf-8"?>
<table xmlns="http://schemas.openxmlformats.org/spreadsheetml/2006/main" id="9" name="Tabla159101112131415161710" displayName="Tabla159101112131415161710" ref="A1:E12" totalsRowShown="0" headerRowDxfId="32" dataDxfId="30" headerRowBorderDxfId="31" tableBorderDxfId="29" dataCellStyle="Millares">
  <autoFilter ref="A1:E12"/>
  <tableColumns count="5">
    <tableColumn id="1" name="Nivel de Obligaciones Devengadas y no Pagadas / Institución" dataDxfId="28" dataCellStyle="Millares"/>
    <tableColumn id="2" name="Presupuesto Vigente año 2018 (M$)" dataDxfId="27" dataCellStyle="Millares"/>
    <tableColumn id="3" name="Devengado  (M$)" dataDxfId="26" dataCellStyle="Millares"/>
    <tableColumn id="4" name="Pagado (M$)" dataDxfId="25" dataCellStyle="Porcentaje">
      <calculatedColumnFormula>(Tabla159101112131415161710[[#This Row],[Devengado  (M$)]]-Tabla159101112131415161710[[#This Row],[Presupuesto Vigente año 2018 (M$)]])/Tabla159101112131415161710[[#This Row],[Presupuesto Vigente año 2018 (M$)]]</calculatedColumnFormula>
    </tableColumn>
    <tableColumn id="5" name="Por Pagar (M$)" dataDxfId="24" dataCellStyle="Millares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3" name="Tabla159101112131415" displayName="Tabla159101112131415" ref="A1:D12" totalsRowShown="0" headerRowDxfId="23" dataDxfId="21" headerRowBorderDxfId="22" tableBorderDxfId="20" dataCellStyle="Millares">
  <autoFilter ref="A1:D12"/>
  <tableColumns count="4">
    <tableColumn id="1" name="Porcentaje de Licitaciones Tipo L1/ Institución" dataDxfId="19" dataCellStyle="Millares"/>
    <tableColumn id="2" name="Enero a Diciembre 2017" dataDxfId="18" dataCellStyle="Porcentaje"/>
    <tableColumn id="3" name="Enero a Diciembre 2018" dataDxfId="17" dataCellStyle="Porcentaje"/>
    <tableColumn id="4" name="Tasa de Variación (%)" dataDxfId="16" dataCellStyle="Porcentaje">
      <calculatedColumnFormula>ROUND((Tabla159101112131415[[#This Row],[Enero a Diciembre 2018]]-Tabla159101112131415[[#This Row],[Enero a Diciembre 2017]])/Tabla159101112131415[[#This Row],[Enero a Diciembre 2017]],4)</calculatedColumnFormula>
    </tableColumn>
  </tableColumns>
  <tableStyleInfo name="TableStyleLight16" showFirstColumn="0" showLastColumn="0" showRowStripes="1" showColumnStripes="0"/>
</table>
</file>

<file path=xl/tables/table12.xml><?xml version="1.0" encoding="utf-8"?>
<table xmlns="http://schemas.openxmlformats.org/spreadsheetml/2006/main" id="4" name="Tabla15910111213141516" displayName="Tabla15910111213141516" ref="A1:D12" totalsRowShown="0" headerRowDxfId="15" dataDxfId="13" headerRowBorderDxfId="14" tableBorderDxfId="12" dataCellStyle="Millares">
  <autoFilter ref="A1:D12"/>
  <tableColumns count="4">
    <tableColumn id="1" name="Porcentaje de Órdenes de Compra vía Trato Directo/ Institución" dataDxfId="11" dataCellStyle="Millares"/>
    <tableColumn id="2" name="Enero a Diciembre 2017" dataDxfId="10" dataCellStyle="Porcentaje">
      <calculatedColumnFormula>ROUND(T19__datos!D3,4)</calculatedColumnFormula>
    </tableColumn>
    <tableColumn id="3" name="Enero a Diciembre 2018" dataDxfId="9" dataCellStyle="Porcentaje"/>
    <tableColumn id="4" name="Tasa de Variación (%)" dataDxfId="8" dataCellStyle="Porcentaje">
      <calculatedColumnFormula>ROUND((Tabla15910111213141516[[#This Row],[Enero a Diciembre 2018]]-Tabla15910111213141516[[#This Row],[Enero a Diciembre 2017]])/Tabla15910111213141516[[#This Row],[Enero a Diciembre 2017]],4)</calculatedColumnFormula>
    </tableColumn>
  </tableColumns>
  <tableStyleInfo name="TableStyleLight16" showFirstColumn="0" showLastColumn="0" showRowStripes="1" showColumnStripes="0"/>
</table>
</file>

<file path=xl/tables/table13.xml><?xml version="1.0" encoding="utf-8"?>
<table xmlns="http://schemas.openxmlformats.org/spreadsheetml/2006/main" id="5" name="Tabla1591011121314151617" displayName="Tabla1591011121314151617" ref="A1:D12" totalsRowShown="0" headerRowDxfId="7" dataDxfId="5" headerRowBorderDxfId="6" tableBorderDxfId="4" headerRowCellStyle="Millares" dataCellStyle="Millares">
  <autoFilter ref="A1:D12"/>
  <tableColumns count="4">
    <tableColumn id="1" name="Ingresos Propios/ Institución" dataDxfId="3" dataCellStyle="Millares"/>
    <tableColumn id="2" name="Enero a Diciembre 2017 (M$)" dataDxfId="2" dataCellStyle="Millares"/>
    <tableColumn id="3" name="Enero a Diciembre 2018 (M$)" dataDxfId="1" dataCellStyle="Millares"/>
    <tableColumn id="4" name="Tasa de Variación (%)" dataDxfId="0" dataCellStyle="Porcentaje">
      <calculatedColumnFormula>ROUND((Tabla1591011121314151617[[#This Row],[Enero a Diciembre 2018 (M$)]]-Tabla1591011121314151617[[#This Row],[Enero a Diciembre 2017 (M$)]])/Tabla1591011121314151617[[#This Row],[Enero a Diciembre 2017 (M$)]],4)</calculatedColumnFormula>
    </tableColumn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="115" zoomScaleNormal="115" workbookViewId="0"/>
  </sheetViews>
  <sheetFormatPr baseColWidth="10" defaultColWidth="11.42578125" defaultRowHeight="37.5" customHeight="1" x14ac:dyDescent="0.25"/>
  <cols>
    <col min="1" max="1" width="6.5703125" style="49" customWidth="1"/>
    <col min="2" max="2" width="39.7109375" style="49" customWidth="1"/>
    <col min="3" max="5" width="16.28515625" style="49" customWidth="1"/>
    <col min="6" max="16384" width="11.42578125" style="49"/>
  </cols>
  <sheetData>
    <row r="1" spans="1:6" ht="37.5" customHeight="1" x14ac:dyDescent="0.25">
      <c r="A1" s="47"/>
      <c r="B1" s="55" t="s">
        <v>40</v>
      </c>
      <c r="C1" s="55" t="s">
        <v>119</v>
      </c>
      <c r="D1" s="55" t="s">
        <v>120</v>
      </c>
      <c r="E1" s="55" t="s">
        <v>41</v>
      </c>
      <c r="F1" s="48"/>
    </row>
    <row r="2" spans="1:6" ht="37.5" customHeight="1" x14ac:dyDescent="0.25">
      <c r="A2" s="72" t="s">
        <v>42</v>
      </c>
      <c r="B2" s="56" t="s">
        <v>43</v>
      </c>
      <c r="C2" s="50">
        <f>ROUND('T3'!I12,4)</f>
        <v>0.76849999999999996</v>
      </c>
      <c r="D2" s="50">
        <f>ROUND('T3'!J12,4)</f>
        <v>0.77969999999999995</v>
      </c>
      <c r="E2" s="50">
        <f t="shared" ref="E2:E9" si="0">ROUND((D2-C2)/C2,4)</f>
        <v>1.46E-2</v>
      </c>
      <c r="F2" s="48"/>
    </row>
    <row r="3" spans="1:6" ht="37.5" customHeight="1" x14ac:dyDescent="0.25">
      <c r="A3" s="72"/>
      <c r="B3" s="56" t="s">
        <v>44</v>
      </c>
      <c r="C3" s="51">
        <f>'T4'!B12</f>
        <v>23391</v>
      </c>
      <c r="D3" s="51">
        <f>'T4'!C12</f>
        <v>25899</v>
      </c>
      <c r="E3" s="50">
        <f t="shared" si="0"/>
        <v>0.1072</v>
      </c>
      <c r="F3" s="48"/>
    </row>
    <row r="4" spans="1:6" ht="37.5" customHeight="1" x14ac:dyDescent="0.25">
      <c r="A4" s="72"/>
      <c r="B4" s="56" t="s">
        <v>45</v>
      </c>
      <c r="C4" s="51">
        <f>'T5'!B12</f>
        <v>41959</v>
      </c>
      <c r="D4" s="51">
        <f>'T5'!C12</f>
        <v>40954</v>
      </c>
      <c r="E4" s="50">
        <f t="shared" si="0"/>
        <v>-2.4E-2</v>
      </c>
      <c r="F4" s="48"/>
    </row>
    <row r="5" spans="1:6" ht="37.5" customHeight="1" x14ac:dyDescent="0.25">
      <c r="A5" s="72"/>
      <c r="B5" s="56" t="s">
        <v>55</v>
      </c>
      <c r="C5" s="50">
        <f>ROUND('T6'!I12,4)</f>
        <v>0.92930000000000001</v>
      </c>
      <c r="D5" s="50">
        <f>ROUND('T6'!J12,4)</f>
        <v>1.0959000000000001</v>
      </c>
      <c r="E5" s="50">
        <f t="shared" si="0"/>
        <v>0.17929999999999999</v>
      </c>
      <c r="F5" s="48"/>
    </row>
    <row r="6" spans="1:6" ht="37.5" customHeight="1" x14ac:dyDescent="0.25">
      <c r="A6" s="72"/>
      <c r="B6" s="56" t="s">
        <v>46</v>
      </c>
      <c r="C6" s="50">
        <f>ROUND('T7'!I12,4)</f>
        <v>0.52229999999999999</v>
      </c>
      <c r="D6" s="50">
        <f>ROUND('T7'!J12,4)</f>
        <v>0.51910000000000001</v>
      </c>
      <c r="E6" s="50">
        <f t="shared" si="0"/>
        <v>-6.1000000000000004E-3</v>
      </c>
      <c r="F6" s="48"/>
    </row>
    <row r="7" spans="1:6" ht="37.5" customHeight="1" x14ac:dyDescent="0.25">
      <c r="A7" s="72"/>
      <c r="B7" s="56" t="s">
        <v>47</v>
      </c>
      <c r="C7" s="50">
        <f>ROUND('T8'!I12,4)</f>
        <v>0.29270000000000002</v>
      </c>
      <c r="D7" s="50">
        <f>ROUND('T8'!J12,4)</f>
        <v>0.3135</v>
      </c>
      <c r="E7" s="50">
        <f t="shared" si="0"/>
        <v>7.1099999999999997E-2</v>
      </c>
      <c r="F7" s="48"/>
    </row>
    <row r="8" spans="1:6" ht="45" customHeight="1" x14ac:dyDescent="0.25">
      <c r="A8" s="72"/>
      <c r="B8" s="56" t="s">
        <v>56</v>
      </c>
      <c r="C8" s="50">
        <f>ROUND('T9'!I12,4)</f>
        <v>0.70309999999999995</v>
      </c>
      <c r="D8" s="50">
        <f>ROUND('T9'!J12,4)</f>
        <v>0.65229999999999999</v>
      </c>
      <c r="E8" s="50">
        <f t="shared" si="0"/>
        <v>-7.2300000000000003E-2</v>
      </c>
      <c r="F8" s="48"/>
    </row>
    <row r="9" spans="1:6" ht="37.5" customHeight="1" x14ac:dyDescent="0.25">
      <c r="A9" s="72"/>
      <c r="B9" s="56" t="s">
        <v>48</v>
      </c>
      <c r="C9" s="52">
        <f>ROUND('T10'!I12,2)</f>
        <v>6.01</v>
      </c>
      <c r="D9" s="52">
        <f>ROUND('T10'!J12,2)</f>
        <v>6.31</v>
      </c>
      <c r="E9" s="50">
        <f t="shared" si="0"/>
        <v>4.99E-2</v>
      </c>
      <c r="F9" s="48"/>
    </row>
    <row r="10" spans="1:6" ht="37.5" customHeight="1" x14ac:dyDescent="0.25">
      <c r="A10" s="48"/>
      <c r="B10" s="48"/>
      <c r="C10" s="48"/>
      <c r="D10" s="48"/>
      <c r="E10" s="48"/>
      <c r="F10" s="48"/>
    </row>
    <row r="11" spans="1:6" ht="37.5" customHeight="1" x14ac:dyDescent="0.25">
      <c r="A11" s="48"/>
      <c r="B11" s="48"/>
      <c r="C11" s="48"/>
      <c r="D11" s="48"/>
      <c r="E11" s="48"/>
      <c r="F11" s="48"/>
    </row>
    <row r="12" spans="1:6" ht="37.5" customHeight="1" x14ac:dyDescent="0.25">
      <c r="A12" s="48"/>
      <c r="B12" s="48"/>
      <c r="C12" s="48"/>
      <c r="D12" s="48"/>
      <c r="E12" s="48"/>
      <c r="F12" s="48"/>
    </row>
    <row r="13" spans="1:6" ht="37.5" customHeight="1" x14ac:dyDescent="0.25">
      <c r="A13" s="48"/>
      <c r="B13" s="48"/>
      <c r="C13" s="48"/>
      <c r="D13" s="48"/>
      <c r="E13" s="48"/>
      <c r="F13" s="48"/>
    </row>
    <row r="14" spans="1:6" ht="37.5" customHeight="1" x14ac:dyDescent="0.25">
      <c r="A14" s="48"/>
      <c r="B14" s="48"/>
      <c r="C14" s="48"/>
      <c r="D14" s="48"/>
      <c r="E14" s="48"/>
      <c r="F14" s="48"/>
    </row>
    <row r="15" spans="1:6" ht="37.5" customHeight="1" x14ac:dyDescent="0.25">
      <c r="A15" s="48"/>
      <c r="B15" s="48"/>
      <c r="C15" s="48"/>
      <c r="D15" s="48"/>
      <c r="E15" s="48"/>
      <c r="F15" s="48"/>
    </row>
  </sheetData>
  <mergeCells count="1">
    <mergeCell ref="A2:A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ColWidth="8.85546875" defaultRowHeight="15" outlineLevelCol="1" x14ac:dyDescent="0.25"/>
  <cols>
    <col min="1" max="1" width="20.140625" customWidth="1" outlineLevel="1"/>
    <col min="2" max="2" width="17.7109375" customWidth="1" outlineLevel="1"/>
    <col min="3" max="3" width="19" customWidth="1" outlineLevel="1"/>
    <col min="4" max="4" width="17.5703125" customWidth="1" outlineLevel="1"/>
    <col min="5" max="5" width="19.140625" customWidth="1" outlineLevel="1"/>
    <col min="6" max="6" width="18.5703125" customWidth="1" outlineLevel="1"/>
    <col min="7" max="7" width="17.5703125" customWidth="1" outlineLevel="1"/>
    <col min="8" max="8" width="22.7109375" customWidth="1"/>
    <col min="9" max="9" width="18.7109375" customWidth="1"/>
    <col min="10" max="10" width="19.28515625" customWidth="1"/>
    <col min="11" max="11" width="15.42578125" customWidth="1"/>
    <col min="12" max="12" width="6.7109375" customWidth="1"/>
  </cols>
  <sheetData>
    <row r="1" spans="1:11" ht="27.75" customHeight="1" thickBot="1" x14ac:dyDescent="0.3">
      <c r="H1" s="73" t="s">
        <v>32</v>
      </c>
      <c r="I1" s="74"/>
      <c r="J1" s="74"/>
      <c r="K1" s="75"/>
    </row>
    <row r="2" spans="1:11" ht="36" customHeight="1" x14ac:dyDescent="0.25">
      <c r="A2" s="43" t="s">
        <v>31</v>
      </c>
      <c r="B2" s="43" t="s">
        <v>71</v>
      </c>
      <c r="C2" s="43" t="s">
        <v>72</v>
      </c>
      <c r="D2" s="43" t="s">
        <v>73</v>
      </c>
      <c r="E2" s="43" t="s">
        <v>74</v>
      </c>
      <c r="F2" s="43" t="s">
        <v>75</v>
      </c>
      <c r="G2" s="43" t="s">
        <v>76</v>
      </c>
      <c r="H2" s="2" t="s">
        <v>30</v>
      </c>
      <c r="I2" s="2" t="s">
        <v>77</v>
      </c>
      <c r="J2" s="2" t="s">
        <v>78</v>
      </c>
      <c r="K2" s="2" t="s">
        <v>6</v>
      </c>
    </row>
    <row r="3" spans="1:11" x14ac:dyDescent="0.25">
      <c r="A3" s="3" t="s">
        <v>126</v>
      </c>
      <c r="B3" s="3">
        <v>86685</v>
      </c>
      <c r="C3" s="3">
        <v>101704</v>
      </c>
      <c r="D3" s="3">
        <v>89724</v>
      </c>
      <c r="E3" s="3">
        <v>103706</v>
      </c>
      <c r="F3" s="6">
        <f>ROUND(Tabla159101112131415167911[[#This Row],[Total de días cama ocupados Enero a Diciembre 2017]]/Tabla159101112131415167911[[#This Row],[Total de días cama disponibles Enero a Diciembre 2017]],4)</f>
        <v>0.85229999999999995</v>
      </c>
      <c r="G3" s="6">
        <f>ROUND(Tabla159101112131415167911[[#This Row],[Total de días cama ocupados Enero a Diciembre 2018]]/Tabla159101112131415167911[[#This Row],[Total de días cama disponibles Enero a Diciembre 2018]],4)</f>
        <v>0.86519999999999997</v>
      </c>
      <c r="H3" s="3" t="s">
        <v>126</v>
      </c>
      <c r="I3" s="6">
        <f>ROUND(Tabla159101112131415167911[[#This Row],[ Índice Ocupacional Enero a Diciembre 2017]],4)</f>
        <v>0.85229999999999995</v>
      </c>
      <c r="J3" s="6">
        <f>ROUND(Tabla159101112131415167911[[#This Row],[ Índice Ocupacional Enero a Diciembre 2018]],4)</f>
        <v>0.86519999999999997</v>
      </c>
      <c r="K3" s="6">
        <f>ROUND((Tabla159101112131415167911[[#This Row],[Enero a Diciembre 2018]]-Tabla159101112131415167911[[#This Row],[Enero a Diciembre 2017]])/Tabla159101112131415167911[[#This Row],[Enero a Diciembre 2017]],4)</f>
        <v>1.5100000000000001E-2</v>
      </c>
    </row>
    <row r="4" spans="1:11" x14ac:dyDescent="0.25">
      <c r="A4" s="4" t="s">
        <v>127</v>
      </c>
      <c r="B4" s="4">
        <v>90319</v>
      </c>
      <c r="C4" s="4">
        <v>104905</v>
      </c>
      <c r="D4" s="4">
        <v>94475</v>
      </c>
      <c r="E4" s="4">
        <v>108220</v>
      </c>
      <c r="F4" s="7">
        <f>ROUND(Tabla159101112131415167911[[#This Row],[Total de días cama ocupados Enero a Diciembre 2017]]/Tabla159101112131415167911[[#This Row],[Total de días cama disponibles Enero a Diciembre 2017]],4)</f>
        <v>0.86099999999999999</v>
      </c>
      <c r="G4" s="7">
        <f>ROUND(Tabla159101112131415167911[[#This Row],[Total de días cama ocupados Enero a Diciembre 2018]]/Tabla159101112131415167911[[#This Row],[Total de días cama disponibles Enero a Diciembre 2018]],4)</f>
        <v>0.873</v>
      </c>
      <c r="H4" s="4" t="s">
        <v>127</v>
      </c>
      <c r="I4" s="7">
        <f>ROUND(Tabla159101112131415167911[[#This Row],[ Índice Ocupacional Enero a Diciembre 2017]],4)</f>
        <v>0.86099999999999999</v>
      </c>
      <c r="J4" s="7">
        <f>ROUND(Tabla159101112131415167911[[#This Row],[ Índice Ocupacional Enero a Diciembre 2018]],4)</f>
        <v>0.873</v>
      </c>
      <c r="K4" s="7">
        <f>ROUND((Tabla159101112131415167911[[#This Row],[Enero a Diciembre 2018]]-Tabla159101112131415167911[[#This Row],[Enero a Diciembre 2017]])/Tabla159101112131415167911[[#This Row],[Enero a Diciembre 2017]],4)</f>
        <v>1.3899999999999999E-2</v>
      </c>
    </row>
    <row r="5" spans="1:11" x14ac:dyDescent="0.25">
      <c r="A5" s="3" t="s">
        <v>128</v>
      </c>
      <c r="B5" s="3">
        <v>52077</v>
      </c>
      <c r="C5" s="3">
        <v>68416</v>
      </c>
      <c r="D5" s="3">
        <v>52394</v>
      </c>
      <c r="E5" s="3">
        <v>68396</v>
      </c>
      <c r="F5" s="6">
        <f>ROUND(Tabla159101112131415167911[[#This Row],[Total de días cama ocupados Enero a Diciembre 2017]]/Tabla159101112131415167911[[#This Row],[Total de días cama disponibles Enero a Diciembre 2017]],4)</f>
        <v>0.76119999999999999</v>
      </c>
      <c r="G5" s="6">
        <f>ROUND(Tabla159101112131415167911[[#This Row],[Total de días cama ocupados Enero a Diciembre 2018]]/Tabla159101112131415167911[[#This Row],[Total de días cama disponibles Enero a Diciembre 2018]],4)</f>
        <v>0.76600000000000001</v>
      </c>
      <c r="H5" s="3" t="s">
        <v>128</v>
      </c>
      <c r="I5" s="6">
        <f>ROUND(Tabla159101112131415167911[[#This Row],[ Índice Ocupacional Enero a Diciembre 2017]],4)</f>
        <v>0.76119999999999999</v>
      </c>
      <c r="J5" s="6">
        <f>ROUND(Tabla159101112131415167911[[#This Row],[ Índice Ocupacional Enero a Diciembre 2018]],4)</f>
        <v>0.76600000000000001</v>
      </c>
      <c r="K5" s="6">
        <f>ROUND((Tabla159101112131415167911[[#This Row],[Enero a Diciembre 2018]]-Tabla159101112131415167911[[#This Row],[Enero a Diciembre 2017]])/Tabla159101112131415167911[[#This Row],[Enero a Diciembre 2017]],4)</f>
        <v>6.3E-3</v>
      </c>
    </row>
    <row r="6" spans="1:11" x14ac:dyDescent="0.25">
      <c r="A6" s="4" t="s">
        <v>129</v>
      </c>
      <c r="B6" s="4">
        <v>8565</v>
      </c>
      <c r="C6" s="4">
        <v>20098</v>
      </c>
      <c r="D6" s="4">
        <v>9547</v>
      </c>
      <c r="E6" s="4">
        <v>19517</v>
      </c>
      <c r="F6" s="7">
        <f>ROUND(Tabla159101112131415167911[[#This Row],[Total de días cama ocupados Enero a Diciembre 2017]]/Tabla159101112131415167911[[#This Row],[Total de días cama disponibles Enero a Diciembre 2017]],4)</f>
        <v>0.42620000000000002</v>
      </c>
      <c r="G6" s="7">
        <f>ROUND(Tabla159101112131415167911[[#This Row],[Total de días cama ocupados Enero a Diciembre 2018]]/Tabla159101112131415167911[[#This Row],[Total de días cama disponibles Enero a Diciembre 2018]],4)</f>
        <v>0.48920000000000002</v>
      </c>
      <c r="H6" s="4" t="s">
        <v>129</v>
      </c>
      <c r="I6" s="7">
        <f>ROUND(Tabla159101112131415167911[[#This Row],[ Índice Ocupacional Enero a Diciembre 2017]],4)</f>
        <v>0.42620000000000002</v>
      </c>
      <c r="J6" s="7">
        <f>ROUND(Tabla159101112131415167911[[#This Row],[ Índice Ocupacional Enero a Diciembre 2018]],4)</f>
        <v>0.48920000000000002</v>
      </c>
      <c r="K6" s="7">
        <f>ROUND((Tabla159101112131415167911[[#This Row],[Enero a Diciembre 2018]]-Tabla159101112131415167911[[#This Row],[Enero a Diciembre 2017]])/Tabla159101112131415167911[[#This Row],[Enero a Diciembre 2017]],4)</f>
        <v>0.14779999999999999</v>
      </c>
    </row>
    <row r="7" spans="1:11" x14ac:dyDescent="0.25">
      <c r="A7" s="3" t="s">
        <v>130</v>
      </c>
      <c r="B7" s="3">
        <v>4599</v>
      </c>
      <c r="C7" s="3">
        <v>8228</v>
      </c>
      <c r="D7" s="3">
        <v>4267</v>
      </c>
      <c r="E7" s="3">
        <v>6935</v>
      </c>
      <c r="F7" s="6">
        <f>ROUND(Tabla159101112131415167911[[#This Row],[Total de días cama ocupados Enero a Diciembre 2017]]/Tabla159101112131415167911[[#This Row],[Total de días cama disponibles Enero a Diciembre 2017]],4)</f>
        <v>0.55889999999999995</v>
      </c>
      <c r="G7" s="6">
        <f>ROUND(Tabla159101112131415167911[[#This Row],[Total de días cama ocupados Enero a Diciembre 2018]]/Tabla159101112131415167911[[#This Row],[Total de días cama disponibles Enero a Diciembre 2018]],4)</f>
        <v>0.61529999999999996</v>
      </c>
      <c r="H7" s="3" t="s">
        <v>130</v>
      </c>
      <c r="I7" s="6">
        <f>ROUND(Tabla159101112131415167911[[#This Row],[ Índice Ocupacional Enero a Diciembre 2017]],4)</f>
        <v>0.55889999999999995</v>
      </c>
      <c r="J7" s="6">
        <f>ROUND(Tabla159101112131415167911[[#This Row],[ Índice Ocupacional Enero a Diciembre 2018]],4)</f>
        <v>0.61529999999999996</v>
      </c>
      <c r="K7" s="6">
        <f>ROUND((Tabla159101112131415167911[[#This Row],[Enero a Diciembre 2018]]-Tabla159101112131415167911[[#This Row],[Enero a Diciembre 2017]])/Tabla159101112131415167911[[#This Row],[Enero a Diciembre 2017]],4)</f>
        <v>0.1009</v>
      </c>
    </row>
    <row r="8" spans="1:11" x14ac:dyDescent="0.25">
      <c r="A8" s="4" t="s">
        <v>131</v>
      </c>
      <c r="B8" s="4">
        <v>2884</v>
      </c>
      <c r="C8" s="4">
        <v>7300</v>
      </c>
      <c r="D8" s="4">
        <v>3034</v>
      </c>
      <c r="E8" s="4">
        <v>7300</v>
      </c>
      <c r="F8" s="7">
        <f>ROUND(Tabla159101112131415167911[[#This Row],[Total de días cama ocupados Enero a Diciembre 2017]]/Tabla159101112131415167911[[#This Row],[Total de días cama disponibles Enero a Diciembre 2017]],4)</f>
        <v>0.39510000000000001</v>
      </c>
      <c r="G8" s="7">
        <f>ROUND(Tabla159101112131415167911[[#This Row],[Total de días cama ocupados Enero a Diciembre 2018]]/Tabla159101112131415167911[[#This Row],[Total de días cama disponibles Enero a Diciembre 2018]],4)</f>
        <v>0.41560000000000002</v>
      </c>
      <c r="H8" s="4" t="s">
        <v>131</v>
      </c>
      <c r="I8" s="7">
        <f>ROUND(Tabla159101112131415167911[[#This Row],[ Índice Ocupacional Enero a Diciembre 2017]],4)</f>
        <v>0.39510000000000001</v>
      </c>
      <c r="J8" s="7">
        <f>ROUND(Tabla159101112131415167911[[#This Row],[ Índice Ocupacional Enero a Diciembre 2018]],4)</f>
        <v>0.41560000000000002</v>
      </c>
      <c r="K8" s="7">
        <f>ROUND((Tabla159101112131415167911[[#This Row],[Enero a Diciembre 2018]]-Tabla159101112131415167911[[#This Row],[Enero a Diciembre 2017]])/Tabla159101112131415167911[[#This Row],[Enero a Diciembre 2017]],4)</f>
        <v>5.1900000000000002E-2</v>
      </c>
    </row>
    <row r="9" spans="1:11" x14ac:dyDescent="0.25">
      <c r="A9" s="3" t="s">
        <v>132</v>
      </c>
      <c r="B9" s="3">
        <v>2748</v>
      </c>
      <c r="C9" s="3">
        <v>5141</v>
      </c>
      <c r="D9" s="3">
        <v>2331</v>
      </c>
      <c r="E9" s="3">
        <v>5447</v>
      </c>
      <c r="F9" s="6">
        <f>ROUND(Tabla159101112131415167911[[#This Row],[Total de días cama ocupados Enero a Diciembre 2017]]/Tabla159101112131415167911[[#This Row],[Total de días cama disponibles Enero a Diciembre 2017]],4)</f>
        <v>0.53449999999999998</v>
      </c>
      <c r="G9" s="6">
        <f>ROUND(Tabla159101112131415167911[[#This Row],[Total de días cama ocupados Enero a Diciembre 2018]]/Tabla159101112131415167911[[#This Row],[Total de días cama disponibles Enero a Diciembre 2018]],4)</f>
        <v>0.4279</v>
      </c>
      <c r="H9" s="3" t="s">
        <v>132</v>
      </c>
      <c r="I9" s="6">
        <f>ROUND(Tabla159101112131415167911[[#This Row],[ Índice Ocupacional Enero a Diciembre 2017]],4)</f>
        <v>0.53449999999999998</v>
      </c>
      <c r="J9" s="6">
        <f>ROUND(Tabla159101112131415167911[[#This Row],[ Índice Ocupacional Enero a Diciembre 2018]],4)</f>
        <v>0.4279</v>
      </c>
      <c r="K9" s="6">
        <f>ROUND((Tabla159101112131415167911[[#This Row],[Enero a Diciembre 2018]]-Tabla159101112131415167911[[#This Row],[Enero a Diciembre 2017]])/Tabla159101112131415167911[[#This Row],[Enero a Diciembre 2017]],4)</f>
        <v>-0.19939999999999999</v>
      </c>
    </row>
    <row r="10" spans="1:11" x14ac:dyDescent="0.25">
      <c r="A10" s="4" t="s">
        <v>133</v>
      </c>
      <c r="B10" s="4">
        <v>5112</v>
      </c>
      <c r="C10" s="4">
        <v>10950</v>
      </c>
      <c r="D10" s="4">
        <v>5033</v>
      </c>
      <c r="E10" s="4">
        <v>10950</v>
      </c>
      <c r="F10" s="7">
        <f>ROUND(Tabla159101112131415167911[[#This Row],[Total de días cama ocupados Enero a Diciembre 2017]]/Tabla159101112131415167911[[#This Row],[Total de días cama disponibles Enero a Diciembre 2017]],4)</f>
        <v>0.46679999999999999</v>
      </c>
      <c r="G10" s="7">
        <f>ROUND(Tabla159101112131415167911[[#This Row],[Total de días cama ocupados Enero a Diciembre 2018]]/Tabla159101112131415167911[[#This Row],[Total de días cama disponibles Enero a Diciembre 2018]],4)</f>
        <v>0.45960000000000001</v>
      </c>
      <c r="H10" s="4" t="s">
        <v>133</v>
      </c>
      <c r="I10" s="7">
        <f>ROUND(Tabla159101112131415167911[[#This Row],[ Índice Ocupacional Enero a Diciembre 2017]],4)</f>
        <v>0.46679999999999999</v>
      </c>
      <c r="J10" s="7">
        <f>ROUND(Tabla159101112131415167911[[#This Row],[ Índice Ocupacional Enero a Diciembre 2018]],4)</f>
        <v>0.45960000000000001</v>
      </c>
      <c r="K10" s="7">
        <f>ROUND((Tabla159101112131415167911[[#This Row],[Enero a Diciembre 2018]]-Tabla159101112131415167911[[#This Row],[Enero a Diciembre 2017]])/Tabla159101112131415167911[[#This Row],[Enero a Diciembre 2017]],4)</f>
        <v>-1.54E-2</v>
      </c>
    </row>
    <row r="11" spans="1:11" x14ac:dyDescent="0.25">
      <c r="A11" s="3" t="s">
        <v>134</v>
      </c>
      <c r="B11" s="3">
        <v>7252</v>
      </c>
      <c r="C11" s="3">
        <v>11904</v>
      </c>
      <c r="D11" s="3">
        <v>6150</v>
      </c>
      <c r="E11" s="3">
        <v>11904</v>
      </c>
      <c r="F11" s="6">
        <f>ROUND(Tabla159101112131415167911[[#This Row],[Total de días cama ocupados Enero a Diciembre 2017]]/Tabla159101112131415167911[[#This Row],[Total de días cama disponibles Enero a Diciembre 2017]],4)</f>
        <v>0.60919999999999996</v>
      </c>
      <c r="G11" s="6">
        <f>ROUND(Tabla159101112131415167911[[#This Row],[Total de días cama ocupados Enero a Diciembre 2018]]/Tabla159101112131415167911[[#This Row],[Total de días cama disponibles Enero a Diciembre 2018]],4)</f>
        <v>0.51659999999999995</v>
      </c>
      <c r="H11" s="3" t="s">
        <v>134</v>
      </c>
      <c r="I11" s="6">
        <f>ROUND(Tabla159101112131415167911[[#This Row],[ Índice Ocupacional Enero a Diciembre 2017]],4)</f>
        <v>0.60919999999999996</v>
      </c>
      <c r="J11" s="6">
        <f>ROUND(Tabla159101112131415167911[[#This Row],[ Índice Ocupacional Enero a Diciembre 2018]],4)</f>
        <v>0.51659999999999995</v>
      </c>
      <c r="K11" s="6">
        <f>ROUND((Tabla159101112131415167911[[#This Row],[Enero a Diciembre 2018]]-Tabla159101112131415167911[[#This Row],[Enero a Diciembre 2017]])/Tabla159101112131415167911[[#This Row],[Enero a Diciembre 2017]],4)</f>
        <v>-0.152</v>
      </c>
    </row>
    <row r="12" spans="1:11" x14ac:dyDescent="0.25">
      <c r="A12" s="8" t="s">
        <v>7</v>
      </c>
      <c r="B12" s="8">
        <f>SUBTOTAL(109,B3:B11)</f>
        <v>260241</v>
      </c>
      <c r="C12" s="8">
        <f>SUBTOTAL(109,C3:C11)</f>
        <v>338646</v>
      </c>
      <c r="D12" s="8">
        <f>SUBTOTAL(109,D3:D11)</f>
        <v>266955</v>
      </c>
      <c r="E12" s="8">
        <f>SUBTOTAL(109,E3:E11)</f>
        <v>342375</v>
      </c>
      <c r="F12" s="9">
        <f>ROUND(Tabla159101112131415167911[[#This Row],[Total de días cama ocupados Enero a Diciembre 2017]]/Tabla159101112131415167911[[#This Row],[Total de días cama disponibles Enero a Diciembre 2017]],4)</f>
        <v>0.76849999999999996</v>
      </c>
      <c r="G12" s="9">
        <f>ROUND(Tabla159101112131415167911[[#This Row],[Total de días cama ocupados Enero a Diciembre 2018]]/Tabla159101112131415167911[[#This Row],[Total de días cama disponibles Enero a Diciembre 2018]],4)</f>
        <v>0.77969999999999995</v>
      </c>
      <c r="H12" s="8" t="s">
        <v>7</v>
      </c>
      <c r="I12" s="9">
        <f>ROUND(Tabla159101112131415167911[[#This Row],[ Índice Ocupacional Enero a Diciembre 2017]],4)</f>
        <v>0.76849999999999996</v>
      </c>
      <c r="J12" s="9">
        <f>ROUND(Tabla159101112131415167911[[#This Row],[ Índice Ocupacional Enero a Diciembre 2018]],4)</f>
        <v>0.77969999999999995</v>
      </c>
      <c r="K12" s="9">
        <f>ROUND((Tabla159101112131415167911[[#This Row],[Enero a Diciembre 2018]]-Tabla159101112131415167911[[#This Row],[Enero a Diciembre 2017]])/Tabla159101112131415167911[[#This Row],[Enero a Diciembre 2017]],4)</f>
        <v>1.46E-2</v>
      </c>
    </row>
  </sheetData>
  <mergeCells count="1">
    <mergeCell ref="H1:K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sqref="A1:D1"/>
    </sheetView>
  </sheetViews>
  <sheetFormatPr baseColWidth="10" defaultColWidth="8.85546875" defaultRowHeight="15" x14ac:dyDescent="0.25"/>
  <cols>
    <col min="1" max="1" width="22.7109375" customWidth="1"/>
    <col min="2" max="2" width="18.7109375" customWidth="1"/>
    <col min="3" max="3" width="19.28515625" customWidth="1"/>
    <col min="4" max="4" width="18.85546875" bestFit="1" customWidth="1"/>
    <col min="5" max="5" width="6.7109375" customWidth="1"/>
  </cols>
  <sheetData>
    <row r="1" spans="1:4" ht="27.75" customHeight="1" x14ac:dyDescent="0.25">
      <c r="A1" s="76" t="s">
        <v>33</v>
      </c>
      <c r="B1" s="76"/>
      <c r="C1" s="76"/>
      <c r="D1" s="76"/>
    </row>
    <row r="2" spans="1:4" ht="36.75" customHeight="1" x14ac:dyDescent="0.25">
      <c r="A2" s="5" t="s">
        <v>30</v>
      </c>
      <c r="B2" s="5" t="s">
        <v>77</v>
      </c>
      <c r="C2" s="5" t="s">
        <v>78</v>
      </c>
      <c r="D2" s="5" t="s">
        <v>6</v>
      </c>
    </row>
    <row r="3" spans="1:4" x14ac:dyDescent="0.25">
      <c r="A3" s="3" t="s">
        <v>126</v>
      </c>
      <c r="B3" s="3">
        <v>9792</v>
      </c>
      <c r="C3" s="3">
        <v>10224</v>
      </c>
      <c r="D3" s="6">
        <f>ROUND((Tabla159101112131415167[[#This Row],[Enero a Diciembre 2018]]-Tabla159101112131415167[[#This Row],[Enero a Diciembre 2017]])/Tabla159101112131415167[[#This Row],[Enero a Diciembre 2017]],4)</f>
        <v>4.41E-2</v>
      </c>
    </row>
    <row r="4" spans="1:4" x14ac:dyDescent="0.25">
      <c r="A4" s="4" t="s">
        <v>127</v>
      </c>
      <c r="B4" s="4">
        <v>7583</v>
      </c>
      <c r="C4" s="4">
        <v>8773</v>
      </c>
      <c r="D4" s="7">
        <f>ROUND((Tabla159101112131415167[[#This Row],[Enero a Diciembre 2018]]-Tabla159101112131415167[[#This Row],[Enero a Diciembre 2017]])/Tabla159101112131415167[[#This Row],[Enero a Diciembre 2017]],4)</f>
        <v>0.15690000000000001</v>
      </c>
    </row>
    <row r="5" spans="1:4" x14ac:dyDescent="0.25">
      <c r="A5" s="3" t="s">
        <v>128</v>
      </c>
      <c r="B5" s="3">
        <v>4977</v>
      </c>
      <c r="C5" s="3">
        <v>5895</v>
      </c>
      <c r="D5" s="6">
        <f>ROUND((Tabla159101112131415167[[#This Row],[Enero a Diciembre 2018]]-Tabla159101112131415167[[#This Row],[Enero a Diciembre 2017]])/Tabla159101112131415167[[#This Row],[Enero a Diciembre 2017]],4)</f>
        <v>0.18440000000000001</v>
      </c>
    </row>
    <row r="6" spans="1:4" x14ac:dyDescent="0.25">
      <c r="A6" s="4" t="s">
        <v>129</v>
      </c>
      <c r="B6" s="4">
        <v>969</v>
      </c>
      <c r="C6" s="4">
        <v>1007</v>
      </c>
      <c r="D6" s="7">
        <f>ROUND((Tabla159101112131415167[[#This Row],[Enero a Diciembre 2018]]-Tabla159101112131415167[[#This Row],[Enero a Diciembre 2017]])/Tabla159101112131415167[[#This Row],[Enero a Diciembre 2017]],4)</f>
        <v>3.9199999999999999E-2</v>
      </c>
    </row>
    <row r="7" spans="1:4" x14ac:dyDescent="0.25">
      <c r="A7" s="3" t="s">
        <v>130</v>
      </c>
      <c r="B7" s="3"/>
      <c r="C7" s="3"/>
      <c r="D7" s="6" t="e">
        <f>ROUND((Tabla159101112131415167[[#This Row],[Enero a Diciembre 2018]]-Tabla159101112131415167[[#This Row],[Enero a Diciembre 2017]])/Tabla159101112131415167[[#This Row],[Enero a Diciembre 2017]],4)</f>
        <v>#DIV/0!</v>
      </c>
    </row>
    <row r="8" spans="1:4" x14ac:dyDescent="0.25">
      <c r="A8" s="4" t="s">
        <v>131</v>
      </c>
      <c r="B8" s="4"/>
      <c r="C8" s="4"/>
      <c r="D8" s="7" t="e">
        <f>ROUND((Tabla159101112131415167[[#This Row],[Enero a Diciembre 2018]]-Tabla159101112131415167[[#This Row],[Enero a Diciembre 2017]])/Tabla159101112131415167[[#This Row],[Enero a Diciembre 2017]],4)</f>
        <v>#DIV/0!</v>
      </c>
    </row>
    <row r="9" spans="1:4" x14ac:dyDescent="0.25">
      <c r="A9" s="3" t="s">
        <v>132</v>
      </c>
      <c r="B9" s="3"/>
      <c r="C9" s="3"/>
      <c r="D9" s="6" t="e">
        <f>ROUND((Tabla159101112131415167[[#This Row],[Enero a Diciembre 2018]]-Tabla159101112131415167[[#This Row],[Enero a Diciembre 2017]])/Tabla159101112131415167[[#This Row],[Enero a Diciembre 2017]],4)</f>
        <v>#DIV/0!</v>
      </c>
    </row>
    <row r="10" spans="1:4" x14ac:dyDescent="0.25">
      <c r="A10" s="4" t="s">
        <v>133</v>
      </c>
      <c r="B10" s="4"/>
      <c r="C10" s="4"/>
      <c r="D10" s="7" t="e">
        <f>ROUND((Tabla159101112131415167[[#This Row],[Enero a Diciembre 2018]]-Tabla159101112131415167[[#This Row],[Enero a Diciembre 2017]])/Tabla159101112131415167[[#This Row],[Enero a Diciembre 2017]],4)</f>
        <v>#DIV/0!</v>
      </c>
    </row>
    <row r="11" spans="1:4" x14ac:dyDescent="0.25">
      <c r="A11" s="3" t="s">
        <v>134</v>
      </c>
      <c r="B11" s="3">
        <v>70</v>
      </c>
      <c r="C11" s="3"/>
      <c r="D11" s="6">
        <f>ROUND((Tabla159101112131415167[[#This Row],[Enero a Diciembre 2018]]-Tabla159101112131415167[[#This Row],[Enero a Diciembre 2017]])/Tabla159101112131415167[[#This Row],[Enero a Diciembre 2017]],4)</f>
        <v>-1</v>
      </c>
    </row>
    <row r="12" spans="1:4" x14ac:dyDescent="0.25">
      <c r="A12" s="8" t="s">
        <v>7</v>
      </c>
      <c r="B12" s="8">
        <f>SUBTOTAL(109,B3:B11)</f>
        <v>23391</v>
      </c>
      <c r="C12" s="8">
        <f>SUBTOTAL(109,C3:C11)</f>
        <v>25899</v>
      </c>
      <c r="D12" s="9">
        <f>ROUND((Tabla159101112131415167[[#This Row],[Enero a Diciembre 2018]]-Tabla159101112131415167[[#This Row],[Enero a Diciembre 2017]])/Tabla159101112131415167[[#This Row],[Enero a Diciembre 2017]],4)</f>
        <v>0.1072</v>
      </c>
    </row>
  </sheetData>
  <mergeCells count="1">
    <mergeCell ref="A1:D1"/>
  </mergeCells>
  <pageMargins left="0.7" right="0.7" top="0.75" bottom="0.75" header="0.3" footer="0.3"/>
  <ignoredErrors>
    <ignoredError sqref="B12:C12" calculatedColumn="1"/>
  </ignoredErrors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sqref="A1:D1"/>
    </sheetView>
  </sheetViews>
  <sheetFormatPr baseColWidth="10" defaultColWidth="8.85546875" defaultRowHeight="15" x14ac:dyDescent="0.25"/>
  <cols>
    <col min="1" max="1" width="22.7109375" customWidth="1"/>
    <col min="2" max="2" width="18.7109375" customWidth="1"/>
    <col min="3" max="3" width="19.28515625" customWidth="1"/>
    <col min="4" max="4" width="18.85546875" bestFit="1" customWidth="1"/>
    <col min="5" max="5" width="6.7109375" customWidth="1"/>
  </cols>
  <sheetData>
    <row r="1" spans="1:4" ht="27.75" customHeight="1" x14ac:dyDescent="0.25">
      <c r="A1" s="76" t="s">
        <v>34</v>
      </c>
      <c r="B1" s="76"/>
      <c r="C1" s="76"/>
      <c r="D1" s="76"/>
    </row>
    <row r="2" spans="1:4" ht="36" customHeight="1" x14ac:dyDescent="0.25">
      <c r="A2" s="5" t="s">
        <v>30</v>
      </c>
      <c r="B2" s="5" t="s">
        <v>77</v>
      </c>
      <c r="C2" s="5" t="s">
        <v>78</v>
      </c>
      <c r="D2" s="5" t="s">
        <v>6</v>
      </c>
    </row>
    <row r="3" spans="1:4" x14ac:dyDescent="0.25">
      <c r="A3" s="3" t="s">
        <v>126</v>
      </c>
      <c r="B3" s="3">
        <v>13127</v>
      </c>
      <c r="C3" s="3">
        <v>12497</v>
      </c>
      <c r="D3" s="6">
        <f>ROUND((Tabla15910111213141516712[[#This Row],[Enero a Diciembre 2018]]-Tabla15910111213141516712[[#This Row],[Enero a Diciembre 2017]])/Tabla15910111213141516712[[#This Row],[Enero a Diciembre 2017]],4)</f>
        <v>-4.8000000000000001E-2</v>
      </c>
    </row>
    <row r="4" spans="1:4" x14ac:dyDescent="0.25">
      <c r="A4" s="4" t="s">
        <v>127</v>
      </c>
      <c r="B4" s="4">
        <v>13378</v>
      </c>
      <c r="C4" s="4">
        <v>13511</v>
      </c>
      <c r="D4" s="7">
        <f>ROUND((Tabla15910111213141516712[[#This Row],[Enero a Diciembre 2018]]-Tabla15910111213141516712[[#This Row],[Enero a Diciembre 2017]])/Tabla15910111213141516712[[#This Row],[Enero a Diciembre 2017]],4)</f>
        <v>9.9000000000000008E-3</v>
      </c>
    </row>
    <row r="5" spans="1:4" x14ac:dyDescent="0.25">
      <c r="A5" s="3" t="s">
        <v>128</v>
      </c>
      <c r="B5" s="3">
        <v>8960</v>
      </c>
      <c r="C5" s="3">
        <v>8892</v>
      </c>
      <c r="D5" s="6">
        <f>ROUND((Tabla15910111213141516712[[#This Row],[Enero a Diciembre 2018]]-Tabla15910111213141516712[[#This Row],[Enero a Diciembre 2017]])/Tabla15910111213141516712[[#This Row],[Enero a Diciembre 2017]],4)</f>
        <v>-7.6E-3</v>
      </c>
    </row>
    <row r="6" spans="1:4" x14ac:dyDescent="0.25">
      <c r="A6" s="4" t="s">
        <v>129</v>
      </c>
      <c r="B6" s="4">
        <v>2599</v>
      </c>
      <c r="C6" s="4">
        <v>2888</v>
      </c>
      <c r="D6" s="7">
        <f>ROUND((Tabla15910111213141516712[[#This Row],[Enero a Diciembre 2018]]-Tabla15910111213141516712[[#This Row],[Enero a Diciembre 2017]])/Tabla15910111213141516712[[#This Row],[Enero a Diciembre 2017]],4)</f>
        <v>0.11119999999999999</v>
      </c>
    </row>
    <row r="7" spans="1:4" x14ac:dyDescent="0.25">
      <c r="A7" s="3" t="s">
        <v>130</v>
      </c>
      <c r="B7" s="3">
        <v>869</v>
      </c>
      <c r="C7" s="3">
        <v>794</v>
      </c>
      <c r="D7" s="6">
        <f>ROUND((Tabla15910111213141516712[[#This Row],[Enero a Diciembre 2018]]-Tabla15910111213141516712[[#This Row],[Enero a Diciembre 2017]])/Tabla15910111213141516712[[#This Row],[Enero a Diciembre 2017]],4)</f>
        <v>-8.6300000000000002E-2</v>
      </c>
    </row>
    <row r="8" spans="1:4" x14ac:dyDescent="0.25">
      <c r="A8" s="4" t="s">
        <v>131</v>
      </c>
      <c r="B8" s="4">
        <v>390</v>
      </c>
      <c r="C8" s="4">
        <v>343</v>
      </c>
      <c r="D8" s="7">
        <f>ROUND((Tabla15910111213141516712[[#This Row],[Enero a Diciembre 2018]]-Tabla15910111213141516712[[#This Row],[Enero a Diciembre 2017]])/Tabla15910111213141516712[[#This Row],[Enero a Diciembre 2017]],4)</f>
        <v>-0.1205</v>
      </c>
    </row>
    <row r="9" spans="1:4" x14ac:dyDescent="0.25">
      <c r="A9" s="3" t="s">
        <v>132</v>
      </c>
      <c r="B9" s="3">
        <v>338</v>
      </c>
      <c r="C9" s="3">
        <v>297</v>
      </c>
      <c r="D9" s="6">
        <f>ROUND((Tabla15910111213141516712[[#This Row],[Enero a Diciembre 2018]]-Tabla15910111213141516712[[#This Row],[Enero a Diciembre 2017]])/Tabla15910111213141516712[[#This Row],[Enero a Diciembre 2017]],4)</f>
        <v>-0.12130000000000001</v>
      </c>
    </row>
    <row r="10" spans="1:4" x14ac:dyDescent="0.25">
      <c r="A10" s="4" t="s">
        <v>133</v>
      </c>
      <c r="B10" s="4">
        <v>1068</v>
      </c>
      <c r="C10" s="4">
        <v>903</v>
      </c>
      <c r="D10" s="7">
        <f>ROUND((Tabla15910111213141516712[[#This Row],[Enero a Diciembre 2018]]-Tabla15910111213141516712[[#This Row],[Enero a Diciembre 2017]])/Tabla15910111213141516712[[#This Row],[Enero a Diciembre 2017]],4)</f>
        <v>-0.1545</v>
      </c>
    </row>
    <row r="11" spans="1:4" x14ac:dyDescent="0.25">
      <c r="A11" s="3" t="s">
        <v>134</v>
      </c>
      <c r="B11" s="3">
        <v>1230</v>
      </c>
      <c r="C11" s="3">
        <v>829</v>
      </c>
      <c r="D11" s="6">
        <f>ROUND((Tabla15910111213141516712[[#This Row],[Enero a Diciembre 2018]]-Tabla15910111213141516712[[#This Row],[Enero a Diciembre 2017]])/Tabla15910111213141516712[[#This Row],[Enero a Diciembre 2017]],4)</f>
        <v>-0.32600000000000001</v>
      </c>
    </row>
    <row r="12" spans="1:4" x14ac:dyDescent="0.25">
      <c r="A12" s="8" t="s">
        <v>7</v>
      </c>
      <c r="B12" s="8">
        <f>SUBTOTAL(109,B3:B11)</f>
        <v>41959</v>
      </c>
      <c r="C12" s="8">
        <f>SUBTOTAL(109,C3:C11)</f>
        <v>40954</v>
      </c>
      <c r="D12" s="9">
        <f>ROUND((Tabla15910111213141516712[[#This Row],[Enero a Diciembre 2018]]-Tabla15910111213141516712[[#This Row],[Enero a Diciembre 2017]])/Tabla15910111213141516712[[#This Row],[Enero a Diciembre 2017]],4)</f>
        <v>-2.4E-2</v>
      </c>
    </row>
  </sheetData>
  <mergeCells count="1">
    <mergeCell ref="A1:D1"/>
  </mergeCells>
  <pageMargins left="0.7" right="0.7" top="0.75" bottom="0.75" header="0.3" footer="0.3"/>
  <ignoredErrors>
    <ignoredError sqref="B12:C12" calculatedColumn="1"/>
  </ignoredErrors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ColWidth="8.85546875" defaultRowHeight="15" outlineLevelCol="1" x14ac:dyDescent="0.25"/>
  <cols>
    <col min="1" max="1" width="20.140625" customWidth="1" outlineLevel="1"/>
    <col min="2" max="5" width="19.28515625" customWidth="1" outlineLevel="1"/>
    <col min="6" max="6" width="20" customWidth="1" outlineLevel="1"/>
    <col min="7" max="7" width="19.7109375" customWidth="1" outlineLevel="1"/>
    <col min="8" max="8" width="22.7109375" customWidth="1"/>
    <col min="9" max="9" width="18.7109375" customWidth="1"/>
    <col min="10" max="10" width="19.28515625" customWidth="1"/>
    <col min="11" max="11" width="15.42578125" customWidth="1"/>
    <col min="12" max="12" width="6.7109375" customWidth="1"/>
  </cols>
  <sheetData>
    <row r="1" spans="1:11" ht="27.75" customHeight="1" x14ac:dyDescent="0.25">
      <c r="H1" s="76" t="s">
        <v>35</v>
      </c>
      <c r="I1" s="76"/>
      <c r="J1" s="76"/>
      <c r="K1" s="76"/>
    </row>
    <row r="2" spans="1:11" ht="41.25" customHeight="1" x14ac:dyDescent="0.25">
      <c r="A2" s="43" t="s">
        <v>31</v>
      </c>
      <c r="B2" s="43" t="s">
        <v>79</v>
      </c>
      <c r="C2" s="43" t="s">
        <v>80</v>
      </c>
      <c r="D2" s="43" t="s">
        <v>81</v>
      </c>
      <c r="E2" s="43" t="s">
        <v>82</v>
      </c>
      <c r="F2" s="43" t="s">
        <v>83</v>
      </c>
      <c r="G2" s="43" t="s">
        <v>84</v>
      </c>
      <c r="H2" s="5" t="s">
        <v>30</v>
      </c>
      <c r="I2" s="2" t="s">
        <v>77</v>
      </c>
      <c r="J2" s="2" t="s">
        <v>78</v>
      </c>
      <c r="K2" s="5" t="s">
        <v>6</v>
      </c>
    </row>
    <row r="3" spans="1:11" x14ac:dyDescent="0.25">
      <c r="A3" s="3" t="s">
        <v>126</v>
      </c>
      <c r="B3" s="3">
        <v>56353</v>
      </c>
      <c r="C3" s="3">
        <v>56507</v>
      </c>
      <c r="D3" s="3">
        <v>53851</v>
      </c>
      <c r="E3" s="3">
        <v>54467</v>
      </c>
      <c r="F3" s="6">
        <f>ROUND(Tabla1591011121314151679[[#This Row],[Número de pacientes categorizados en UEH  Enero a Diciembre 2017]]/Tabla1591011121314151679[[#This Row],[Total de consultas de urgencia en UEH  Enero a Diciembre 2017]],4)</f>
        <v>0.99729999999999996</v>
      </c>
      <c r="G3" s="6">
        <f>ROUND(Tabla1591011121314151679[[#This Row],[Número de pacientes categorizados en UEH  Enero a Diciembre 2018]]/Tabla1591011121314151679[[#This Row],[Total de consultas de urgencia en UEH  Enero a Diciembre 2018]],4)</f>
        <v>0.98870000000000002</v>
      </c>
      <c r="H3" s="3" t="s">
        <v>126</v>
      </c>
      <c r="I3" s="6">
        <f>ROUND(Tabla1591011121314151679[[#This Row],[ Porcentaje Categorización de Urgencia Enero a Diciembre 2017]],4)</f>
        <v>0.99729999999999996</v>
      </c>
      <c r="J3" s="6">
        <f>ROUND(Tabla1591011121314151679[[#This Row],[ Porcentaje Categorización de Urgencia Enero a Diciembre 2018]],4)</f>
        <v>0.98870000000000002</v>
      </c>
      <c r="K3" s="6">
        <f>ROUND((Tabla1591011121314151679[[#This Row],[Enero a Diciembre 2018]]-Tabla1591011121314151679[[#This Row],[Enero a Diciembre 2017]])/Tabla1591011121314151679[[#This Row],[Enero a Diciembre 2017]],4)</f>
        <v>-8.6E-3</v>
      </c>
    </row>
    <row r="4" spans="1:11" x14ac:dyDescent="0.25">
      <c r="A4" s="4" t="s">
        <v>127</v>
      </c>
      <c r="B4" s="4">
        <v>70344</v>
      </c>
      <c r="C4" s="4">
        <v>75249</v>
      </c>
      <c r="D4" s="4">
        <v>63506</v>
      </c>
      <c r="E4" s="4">
        <v>64917</v>
      </c>
      <c r="F4" s="7">
        <f>ROUND(Tabla1591011121314151679[[#This Row],[Número de pacientes categorizados en UEH  Enero a Diciembre 2017]]/Tabla1591011121314151679[[#This Row],[Total de consultas de urgencia en UEH  Enero a Diciembre 2017]],4)</f>
        <v>0.93479999999999996</v>
      </c>
      <c r="G4" s="7">
        <f>ROUND(Tabla1591011121314151679[[#This Row],[Número de pacientes categorizados en UEH  Enero a Diciembre 2018]]/Tabla1591011121314151679[[#This Row],[Total de consultas de urgencia en UEH  Enero a Diciembre 2018]],4)</f>
        <v>0.97829999999999995</v>
      </c>
      <c r="H4" s="4" t="s">
        <v>127</v>
      </c>
      <c r="I4" s="7">
        <f>ROUND(Tabla1591011121314151679[[#This Row],[ Porcentaje Categorización de Urgencia Enero a Diciembre 2017]],4)</f>
        <v>0.93479999999999996</v>
      </c>
      <c r="J4" s="7">
        <f>ROUND(Tabla1591011121314151679[[#This Row],[ Porcentaje Categorización de Urgencia Enero a Diciembre 2018]],4)</f>
        <v>0.97829999999999995</v>
      </c>
      <c r="K4" s="7">
        <f>ROUND((Tabla1591011121314151679[[#This Row],[Enero a Diciembre 2018]]-Tabla1591011121314151679[[#This Row],[Enero a Diciembre 2017]])/Tabla1591011121314151679[[#This Row],[Enero a Diciembre 2017]],4)</f>
        <v>4.65E-2</v>
      </c>
    </row>
    <row r="5" spans="1:11" x14ac:dyDescent="0.25">
      <c r="A5" s="3" t="s">
        <v>128</v>
      </c>
      <c r="B5" s="3">
        <v>57836</v>
      </c>
      <c r="C5" s="3">
        <v>59698</v>
      </c>
      <c r="D5" s="3">
        <v>47843</v>
      </c>
      <c r="E5" s="3">
        <v>49001</v>
      </c>
      <c r="F5" s="6">
        <f>ROUND(Tabla1591011121314151679[[#This Row],[Número de pacientes categorizados en UEH  Enero a Diciembre 2017]]/Tabla1591011121314151679[[#This Row],[Total de consultas de urgencia en UEH  Enero a Diciembre 2017]],4)</f>
        <v>0.96879999999999999</v>
      </c>
      <c r="G5" s="6">
        <f>ROUND(Tabla1591011121314151679[[#This Row],[Número de pacientes categorizados en UEH  Enero a Diciembre 2018]]/Tabla1591011121314151679[[#This Row],[Total de consultas de urgencia en UEH  Enero a Diciembre 2018]],4)</f>
        <v>0.97640000000000005</v>
      </c>
      <c r="H5" s="3" t="s">
        <v>128</v>
      </c>
      <c r="I5" s="6">
        <f>ROUND(Tabla1591011121314151679[[#This Row],[ Porcentaje Categorización de Urgencia Enero a Diciembre 2017]],4)</f>
        <v>0.96879999999999999</v>
      </c>
      <c r="J5" s="6">
        <f>ROUND(Tabla1591011121314151679[[#This Row],[ Porcentaje Categorización de Urgencia Enero a Diciembre 2018]],4)</f>
        <v>0.97640000000000005</v>
      </c>
      <c r="K5" s="6">
        <f>ROUND((Tabla1591011121314151679[[#This Row],[Enero a Diciembre 2018]]-Tabla1591011121314151679[[#This Row],[Enero a Diciembre 2017]])/Tabla1591011121314151679[[#This Row],[Enero a Diciembre 2017]],4)</f>
        <v>7.7999999999999996E-3</v>
      </c>
    </row>
    <row r="6" spans="1:11" x14ac:dyDescent="0.25">
      <c r="A6" s="4" t="s">
        <v>129</v>
      </c>
      <c r="B6" s="4">
        <v>18473</v>
      </c>
      <c r="C6" s="4">
        <v>32637</v>
      </c>
      <c r="D6" s="4">
        <v>22637</v>
      </c>
      <c r="E6" s="4">
        <v>32914</v>
      </c>
      <c r="F6" s="7">
        <f>ROUND(Tabla1591011121314151679[[#This Row],[Número de pacientes categorizados en UEH  Enero a Diciembre 2017]]/Tabla1591011121314151679[[#This Row],[Total de consultas de urgencia en UEH  Enero a Diciembre 2017]],4)</f>
        <v>0.56599999999999995</v>
      </c>
      <c r="G6" s="7">
        <f>ROUND(Tabla1591011121314151679[[#This Row],[Número de pacientes categorizados en UEH  Enero a Diciembre 2018]]/Tabla1591011121314151679[[#This Row],[Total de consultas de urgencia en UEH  Enero a Diciembre 2018]],4)</f>
        <v>0.68779999999999997</v>
      </c>
      <c r="H6" s="4" t="s">
        <v>129</v>
      </c>
      <c r="I6" s="7">
        <f>ROUND(Tabla1591011121314151679[[#This Row],[ Porcentaje Categorización de Urgencia Enero a Diciembre 2017]],4)</f>
        <v>0.56599999999999995</v>
      </c>
      <c r="J6" s="7">
        <f>ROUND(Tabla1591011121314151679[[#This Row],[ Porcentaje Categorización de Urgencia Enero a Diciembre 2018]],4)</f>
        <v>0.68779999999999997</v>
      </c>
      <c r="K6" s="7">
        <f>ROUND((Tabla1591011121314151679[[#This Row],[Enero a Diciembre 2018]]-Tabla1591011121314151679[[#This Row],[Enero a Diciembre 2017]])/Tabla1591011121314151679[[#This Row],[Enero a Diciembre 2017]],4)</f>
        <v>0.2152</v>
      </c>
    </row>
    <row r="7" spans="1:11" x14ac:dyDescent="0.25">
      <c r="A7" s="3" t="s">
        <v>130</v>
      </c>
      <c r="B7" s="3"/>
      <c r="C7" s="3"/>
      <c r="D7" s="3"/>
      <c r="E7" s="3"/>
      <c r="F7" s="6" t="e">
        <f>ROUND(Tabla1591011121314151679[[#This Row],[Número de pacientes categorizados en UEH  Enero a Diciembre 2017]]/Tabla1591011121314151679[[#This Row],[Total de consultas de urgencia en UEH  Enero a Diciembre 2017]],4)</f>
        <v>#DIV/0!</v>
      </c>
      <c r="G7" s="6" t="e">
        <f>ROUND(Tabla1591011121314151679[[#This Row],[Número de pacientes categorizados en UEH  Enero a Diciembre 2018]]/Tabla1591011121314151679[[#This Row],[Total de consultas de urgencia en UEH  Enero a Diciembre 2018]],4)</f>
        <v>#DIV/0!</v>
      </c>
      <c r="H7" s="3" t="s">
        <v>130</v>
      </c>
      <c r="I7" s="6" t="e">
        <f>ROUND(Tabla1591011121314151679[[#This Row],[ Porcentaje Categorización de Urgencia Enero a Diciembre 2017]],4)</f>
        <v>#DIV/0!</v>
      </c>
      <c r="J7" s="6" t="e">
        <f>ROUND(Tabla1591011121314151679[[#This Row],[ Porcentaje Categorización de Urgencia Enero a Diciembre 2018]],4)</f>
        <v>#DIV/0!</v>
      </c>
      <c r="K7" s="6" t="e">
        <f>ROUND((Tabla1591011121314151679[[#This Row],[Enero a Diciembre 2018]]-Tabla1591011121314151679[[#This Row],[Enero a Diciembre 2017]])/Tabla1591011121314151679[[#This Row],[Enero a Diciembre 2017]],4)</f>
        <v>#DIV/0!</v>
      </c>
    </row>
    <row r="8" spans="1:11" x14ac:dyDescent="0.25">
      <c r="A8" s="4" t="s">
        <v>131</v>
      </c>
      <c r="B8" s="4"/>
      <c r="C8" s="4"/>
      <c r="D8" s="4"/>
      <c r="E8" s="4"/>
      <c r="F8" s="7" t="e">
        <f>ROUND(Tabla1591011121314151679[[#This Row],[Número de pacientes categorizados en UEH  Enero a Diciembre 2017]]/Tabla1591011121314151679[[#This Row],[Total de consultas de urgencia en UEH  Enero a Diciembre 2017]],4)</f>
        <v>#DIV/0!</v>
      </c>
      <c r="G8" s="7" t="e">
        <f>ROUND(Tabla1591011121314151679[[#This Row],[Número de pacientes categorizados en UEH  Enero a Diciembre 2018]]/Tabla1591011121314151679[[#This Row],[Total de consultas de urgencia en UEH  Enero a Diciembre 2018]],4)</f>
        <v>#DIV/0!</v>
      </c>
      <c r="H8" s="4" t="s">
        <v>131</v>
      </c>
      <c r="I8" s="7" t="e">
        <f>ROUND(Tabla1591011121314151679[[#This Row],[ Porcentaje Categorización de Urgencia Enero a Diciembre 2017]],4)</f>
        <v>#DIV/0!</v>
      </c>
      <c r="J8" s="7" t="e">
        <f>ROUND(Tabla1591011121314151679[[#This Row],[ Porcentaje Categorización de Urgencia Enero a Diciembre 2018]],4)</f>
        <v>#DIV/0!</v>
      </c>
      <c r="K8" s="7" t="e">
        <f>ROUND((Tabla1591011121314151679[[#This Row],[Enero a Diciembre 2018]]-Tabla1591011121314151679[[#This Row],[Enero a Diciembre 2017]])/Tabla1591011121314151679[[#This Row],[Enero a Diciembre 2017]],4)</f>
        <v>#DIV/0!</v>
      </c>
    </row>
    <row r="9" spans="1:11" x14ac:dyDescent="0.25">
      <c r="A9" s="3" t="s">
        <v>132</v>
      </c>
      <c r="B9" s="3"/>
      <c r="C9" s="3"/>
      <c r="D9" s="3">
        <v>5648</v>
      </c>
      <c r="E9" s="3"/>
      <c r="F9" s="6" t="e">
        <f>ROUND(Tabla1591011121314151679[[#This Row],[Número de pacientes categorizados en UEH  Enero a Diciembre 2017]]/Tabla1591011121314151679[[#This Row],[Total de consultas de urgencia en UEH  Enero a Diciembre 2017]],4)</f>
        <v>#DIV/0!</v>
      </c>
      <c r="G9" s="6" t="e">
        <f>ROUND(Tabla1591011121314151679[[#This Row],[Número de pacientes categorizados en UEH  Enero a Diciembre 2018]]/Tabla1591011121314151679[[#This Row],[Total de consultas de urgencia en UEH  Enero a Diciembre 2018]],4)</f>
        <v>#DIV/0!</v>
      </c>
      <c r="H9" s="3" t="s">
        <v>132</v>
      </c>
      <c r="I9" s="6" t="e">
        <f>ROUND(Tabla1591011121314151679[[#This Row],[ Porcentaje Categorización de Urgencia Enero a Diciembre 2017]],4)</f>
        <v>#DIV/0!</v>
      </c>
      <c r="J9" s="6" t="e">
        <f>ROUND(Tabla1591011121314151679[[#This Row],[ Porcentaje Categorización de Urgencia Enero a Diciembre 2018]],4)</f>
        <v>#DIV/0!</v>
      </c>
      <c r="K9" s="6" t="e">
        <f>ROUND((Tabla1591011121314151679[[#This Row],[Enero a Diciembre 2018]]-Tabla1591011121314151679[[#This Row],[Enero a Diciembre 2017]])/Tabla1591011121314151679[[#This Row],[Enero a Diciembre 2017]],4)</f>
        <v>#DIV/0!</v>
      </c>
    </row>
    <row r="10" spans="1:11" x14ac:dyDescent="0.25">
      <c r="A10" s="4" t="s">
        <v>133</v>
      </c>
      <c r="B10" s="4">
        <v>5248</v>
      </c>
      <c r="C10" s="4"/>
      <c r="D10" s="4">
        <v>27070</v>
      </c>
      <c r="E10" s="4"/>
      <c r="F10" s="7" t="e">
        <f>ROUND(Tabla1591011121314151679[[#This Row],[Número de pacientes categorizados en UEH  Enero a Diciembre 2017]]/Tabla1591011121314151679[[#This Row],[Total de consultas de urgencia en UEH  Enero a Diciembre 2017]],4)</f>
        <v>#DIV/0!</v>
      </c>
      <c r="G10" s="7" t="e">
        <f>ROUND(Tabla1591011121314151679[[#This Row],[Número de pacientes categorizados en UEH  Enero a Diciembre 2018]]/Tabla1591011121314151679[[#This Row],[Total de consultas de urgencia en UEH  Enero a Diciembre 2018]],4)</f>
        <v>#DIV/0!</v>
      </c>
      <c r="H10" s="4" t="s">
        <v>133</v>
      </c>
      <c r="I10" s="7" t="e">
        <f>ROUND(Tabla1591011121314151679[[#This Row],[ Porcentaje Categorización de Urgencia Enero a Diciembre 2017]],4)</f>
        <v>#DIV/0!</v>
      </c>
      <c r="J10" s="7" t="e">
        <f>ROUND(Tabla1591011121314151679[[#This Row],[ Porcentaje Categorización de Urgencia Enero a Diciembre 2018]],4)</f>
        <v>#DIV/0!</v>
      </c>
      <c r="K10" s="7" t="e">
        <f>ROUND((Tabla1591011121314151679[[#This Row],[Enero a Diciembre 2018]]-Tabla1591011121314151679[[#This Row],[Enero a Diciembre 2017]])/Tabla1591011121314151679[[#This Row],[Enero a Diciembre 2017]],4)</f>
        <v>#DIV/0!</v>
      </c>
    </row>
    <row r="11" spans="1:11" x14ac:dyDescent="0.25">
      <c r="A11" s="3" t="s">
        <v>134</v>
      </c>
      <c r="B11" s="3"/>
      <c r="C11" s="3"/>
      <c r="D11" s="3">
        <v>47</v>
      </c>
      <c r="E11" s="3"/>
      <c r="F11" s="6" t="e">
        <f>ROUND(Tabla1591011121314151679[[#This Row],[Número de pacientes categorizados en UEH  Enero a Diciembre 2017]]/Tabla1591011121314151679[[#This Row],[Total de consultas de urgencia en UEH  Enero a Diciembre 2017]],4)</f>
        <v>#DIV/0!</v>
      </c>
      <c r="G11" s="6" t="e">
        <f>ROUND(Tabla1591011121314151679[[#This Row],[Número de pacientes categorizados en UEH  Enero a Diciembre 2018]]/Tabla1591011121314151679[[#This Row],[Total de consultas de urgencia en UEH  Enero a Diciembre 2018]],4)</f>
        <v>#DIV/0!</v>
      </c>
      <c r="H11" s="3" t="s">
        <v>134</v>
      </c>
      <c r="I11" s="6" t="e">
        <f>ROUND(Tabla1591011121314151679[[#This Row],[ Porcentaje Categorización de Urgencia Enero a Diciembre 2017]],4)</f>
        <v>#DIV/0!</v>
      </c>
      <c r="J11" s="6" t="e">
        <f>ROUND(Tabla1591011121314151679[[#This Row],[ Porcentaje Categorización de Urgencia Enero a Diciembre 2018]],4)</f>
        <v>#DIV/0!</v>
      </c>
      <c r="K11" s="6" t="e">
        <f>ROUND((Tabla1591011121314151679[[#This Row],[Enero a Diciembre 2018]]-Tabla1591011121314151679[[#This Row],[Enero a Diciembre 2017]])/Tabla1591011121314151679[[#This Row],[Enero a Diciembre 2017]],4)</f>
        <v>#DIV/0!</v>
      </c>
    </row>
    <row r="12" spans="1:11" x14ac:dyDescent="0.25">
      <c r="A12" s="8" t="s">
        <v>7</v>
      </c>
      <c r="B12" s="8">
        <f>SUBTOTAL(109,B3:B11)</f>
        <v>208254</v>
      </c>
      <c r="C12" s="8">
        <f>SUBTOTAL(109,C3:C11)</f>
        <v>224091</v>
      </c>
      <c r="D12" s="8">
        <f>SUBTOTAL(109,D3:D11)</f>
        <v>220602</v>
      </c>
      <c r="E12" s="8">
        <f>SUBTOTAL(109,E3:E11)</f>
        <v>201299</v>
      </c>
      <c r="F12" s="9">
        <f>ROUND(Tabla1591011121314151679[[#This Row],[Número de pacientes categorizados en UEH  Enero a Diciembre 2017]]/Tabla1591011121314151679[[#This Row],[Total de consultas de urgencia en UEH  Enero a Diciembre 2017]],4)</f>
        <v>0.92930000000000001</v>
      </c>
      <c r="G12" s="9">
        <f>ROUND(Tabla1591011121314151679[[#This Row],[Número de pacientes categorizados en UEH  Enero a Diciembre 2018]]/Tabla1591011121314151679[[#This Row],[Total de consultas de urgencia en UEH  Enero a Diciembre 2018]],4)</f>
        <v>1.0959000000000001</v>
      </c>
      <c r="H12" s="8" t="s">
        <v>7</v>
      </c>
      <c r="I12" s="9">
        <f>ROUND(Tabla1591011121314151679[[#This Row],[ Porcentaje Categorización de Urgencia Enero a Diciembre 2017]],4)</f>
        <v>0.92930000000000001</v>
      </c>
      <c r="J12" s="9">
        <f>ROUND(Tabla1591011121314151679[[#This Row],[ Porcentaje Categorización de Urgencia Enero a Diciembre 2018]],4)</f>
        <v>1.0959000000000001</v>
      </c>
      <c r="K12" s="9">
        <f>ROUND((Tabla1591011121314151679[[#This Row],[Enero a Diciembre 2018]]-Tabla1591011121314151679[[#This Row],[Enero a Diciembre 2017]])/Tabla1591011121314151679[[#This Row],[Enero a Diciembre 2017]],4)</f>
        <v>0.17929999999999999</v>
      </c>
    </row>
  </sheetData>
  <mergeCells count="1">
    <mergeCell ref="H1:K1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ColWidth="8.85546875" defaultRowHeight="15" outlineLevelCol="1" x14ac:dyDescent="0.25"/>
  <cols>
    <col min="1" max="1" width="20.140625" customWidth="1" outlineLevel="1"/>
    <col min="2" max="2" width="19.28515625" customWidth="1" outlineLevel="1"/>
    <col min="3" max="3" width="18.140625" customWidth="1" outlineLevel="1"/>
    <col min="4" max="5" width="19.28515625" customWidth="1" outlineLevel="1"/>
    <col min="6" max="6" width="20" customWidth="1" outlineLevel="1"/>
    <col min="7" max="7" width="19.7109375" customWidth="1" outlineLevel="1"/>
    <col min="8" max="8" width="22.7109375" customWidth="1"/>
    <col min="9" max="9" width="18.7109375" customWidth="1"/>
    <col min="10" max="10" width="19.28515625" customWidth="1"/>
    <col min="11" max="11" width="15.42578125" customWidth="1"/>
    <col min="12" max="12" width="6.7109375" customWidth="1"/>
  </cols>
  <sheetData>
    <row r="1" spans="1:11" ht="27.75" customHeight="1" x14ac:dyDescent="0.25">
      <c r="H1" s="76" t="s">
        <v>36</v>
      </c>
      <c r="I1" s="76"/>
      <c r="J1" s="76"/>
      <c r="K1" s="76"/>
    </row>
    <row r="2" spans="1:11" ht="41.25" customHeight="1" x14ac:dyDescent="0.25">
      <c r="A2" s="43" t="s">
        <v>31</v>
      </c>
      <c r="B2" s="43" t="s">
        <v>85</v>
      </c>
      <c r="C2" s="43" t="s">
        <v>86</v>
      </c>
      <c r="D2" s="43" t="s">
        <v>87</v>
      </c>
      <c r="E2" s="43" t="s">
        <v>88</v>
      </c>
      <c r="F2" s="43" t="s">
        <v>89</v>
      </c>
      <c r="G2" s="43" t="s">
        <v>90</v>
      </c>
      <c r="H2" s="5" t="s">
        <v>30</v>
      </c>
      <c r="I2" s="2" t="s">
        <v>77</v>
      </c>
      <c r="J2" s="2" t="s">
        <v>78</v>
      </c>
      <c r="K2" s="5" t="s">
        <v>6</v>
      </c>
    </row>
    <row r="3" spans="1:11" x14ac:dyDescent="0.25">
      <c r="A3" s="3" t="s">
        <v>126</v>
      </c>
      <c r="B3" s="3">
        <v>1743</v>
      </c>
      <c r="C3" s="3">
        <v>3128</v>
      </c>
      <c r="D3" s="3">
        <v>1518</v>
      </c>
      <c r="E3" s="3">
        <v>2804</v>
      </c>
      <c r="F3" s="6">
        <f>ROUND(Tabla159101112131415167913[[#This Row],[Número de cesáreas en  Enero a Diciembre 2017]]/Tabla159101112131415167913[[#This Row],[Total de partos en Enero a Diciembre 2017]],4)</f>
        <v>0.55720000000000003</v>
      </c>
      <c r="G3" s="6">
        <f>ROUND(Tabla159101112131415167913[[#This Row],[Número de cesáreas en  Enero a Diciembre 2018]]/Tabla159101112131415167913[[#This Row],[Total de partos en Enero a Diciembre 2018]],4)</f>
        <v>0.54139999999999999</v>
      </c>
      <c r="H3" s="3" t="s">
        <v>126</v>
      </c>
      <c r="I3" s="6">
        <f>ROUND(Tabla159101112131415167913[[#This Row],[Porcentaje de Cesáreas Enero a Diciembre 2017]],4)</f>
        <v>0.55720000000000003</v>
      </c>
      <c r="J3" s="6">
        <f>ROUND(Tabla159101112131415167913[[#This Row],[Porcentaje de Cesáreas Enero a Diciembre 2018]],4)</f>
        <v>0.54139999999999999</v>
      </c>
      <c r="K3" s="6">
        <f>ROUND((Tabla159101112131415167913[[#This Row],[Enero a Diciembre 2018]]-Tabla159101112131415167913[[#This Row],[Enero a Diciembre 2017]])/Tabla159101112131415167913[[#This Row],[Enero a Diciembre 2017]],4)</f>
        <v>-2.8400000000000002E-2</v>
      </c>
    </row>
    <row r="4" spans="1:11" x14ac:dyDescent="0.25">
      <c r="A4" s="4" t="s">
        <v>127</v>
      </c>
      <c r="B4" s="4">
        <v>1263</v>
      </c>
      <c r="C4" s="4">
        <v>2540</v>
      </c>
      <c r="D4" s="4">
        <v>1275</v>
      </c>
      <c r="E4" s="4">
        <v>2589</v>
      </c>
      <c r="F4" s="7">
        <f>ROUND(Tabla159101112131415167913[[#This Row],[Número de cesáreas en  Enero a Diciembre 2017]]/Tabla159101112131415167913[[#This Row],[Total de partos en Enero a Diciembre 2017]],4)</f>
        <v>0.49719999999999998</v>
      </c>
      <c r="G4" s="7">
        <f>ROUND(Tabla159101112131415167913[[#This Row],[Número de cesáreas en  Enero a Diciembre 2018]]/Tabla159101112131415167913[[#This Row],[Total de partos en Enero a Diciembre 2018]],4)</f>
        <v>0.49249999999999999</v>
      </c>
      <c r="H4" s="4" t="s">
        <v>127</v>
      </c>
      <c r="I4" s="7">
        <f>ROUND(Tabla159101112131415167913[[#This Row],[Porcentaje de Cesáreas Enero a Diciembre 2017]],4)</f>
        <v>0.49719999999999998</v>
      </c>
      <c r="J4" s="7">
        <f>ROUND(Tabla159101112131415167913[[#This Row],[Porcentaje de Cesáreas Enero a Diciembre 2018]],4)</f>
        <v>0.49249999999999999</v>
      </c>
      <c r="K4" s="7">
        <f>ROUND((Tabla159101112131415167913[[#This Row],[Enero a Diciembre 2018]]-Tabla159101112131415167913[[#This Row],[Enero a Diciembre 2017]])/Tabla159101112131415167913[[#This Row],[Enero a Diciembre 2017]],4)</f>
        <v>-9.4999999999999998E-3</v>
      </c>
    </row>
    <row r="5" spans="1:11" x14ac:dyDescent="0.25">
      <c r="A5" s="3" t="s">
        <v>128</v>
      </c>
      <c r="B5" s="3">
        <v>1125</v>
      </c>
      <c r="C5" s="3">
        <v>1960</v>
      </c>
      <c r="D5" s="3">
        <v>1090</v>
      </c>
      <c r="E5" s="3">
        <v>1850</v>
      </c>
      <c r="F5" s="6">
        <f>ROUND(Tabla159101112131415167913[[#This Row],[Número de cesáreas en  Enero a Diciembre 2017]]/Tabla159101112131415167913[[#This Row],[Total de partos en Enero a Diciembre 2017]],4)</f>
        <v>0.57399999999999995</v>
      </c>
      <c r="G5" s="6">
        <f>ROUND(Tabla159101112131415167913[[#This Row],[Número de cesáreas en  Enero a Diciembre 2018]]/Tabla159101112131415167913[[#This Row],[Total de partos en Enero a Diciembre 2018]],4)</f>
        <v>0.58919999999999995</v>
      </c>
      <c r="H5" s="3" t="s">
        <v>128</v>
      </c>
      <c r="I5" s="6">
        <f>ROUND(Tabla159101112131415167913[[#This Row],[Porcentaje de Cesáreas Enero a Diciembre 2017]],4)</f>
        <v>0.57399999999999995</v>
      </c>
      <c r="J5" s="6">
        <f>ROUND(Tabla159101112131415167913[[#This Row],[Porcentaje de Cesáreas Enero a Diciembre 2018]],4)</f>
        <v>0.58919999999999995</v>
      </c>
      <c r="K5" s="6">
        <f>ROUND((Tabla159101112131415167913[[#This Row],[Enero a Diciembre 2018]]-Tabla159101112131415167913[[#This Row],[Enero a Diciembre 2017]])/Tabla159101112131415167913[[#This Row],[Enero a Diciembre 2017]],4)</f>
        <v>2.6499999999999999E-2</v>
      </c>
    </row>
    <row r="6" spans="1:11" x14ac:dyDescent="0.25">
      <c r="A6" s="4" t="s">
        <v>129</v>
      </c>
      <c r="B6" s="4">
        <v>260</v>
      </c>
      <c r="C6" s="4">
        <v>570</v>
      </c>
      <c r="D6" s="4">
        <v>309</v>
      </c>
      <c r="E6" s="4">
        <v>647</v>
      </c>
      <c r="F6" s="7">
        <f>ROUND(Tabla159101112131415167913[[#This Row],[Número de cesáreas en  Enero a Diciembre 2017]]/Tabla159101112131415167913[[#This Row],[Total de partos en Enero a Diciembre 2017]],4)</f>
        <v>0.45610000000000001</v>
      </c>
      <c r="G6" s="7">
        <f>ROUND(Tabla159101112131415167913[[#This Row],[Número de cesáreas en  Enero a Diciembre 2018]]/Tabla159101112131415167913[[#This Row],[Total de partos en Enero a Diciembre 2018]],4)</f>
        <v>0.47760000000000002</v>
      </c>
      <c r="H6" s="4" t="s">
        <v>129</v>
      </c>
      <c r="I6" s="7">
        <f>ROUND(Tabla159101112131415167913[[#This Row],[Porcentaje de Cesáreas Enero a Diciembre 2017]],4)</f>
        <v>0.45610000000000001</v>
      </c>
      <c r="J6" s="7">
        <f>ROUND(Tabla159101112131415167913[[#This Row],[Porcentaje de Cesáreas Enero a Diciembre 2018]],4)</f>
        <v>0.47760000000000002</v>
      </c>
      <c r="K6" s="7">
        <f>ROUND((Tabla159101112131415167913[[#This Row],[Enero a Diciembre 2018]]-Tabla159101112131415167913[[#This Row],[Enero a Diciembre 2017]])/Tabla159101112131415167913[[#This Row],[Enero a Diciembre 2017]],4)</f>
        <v>4.7100000000000003E-2</v>
      </c>
    </row>
    <row r="7" spans="1:11" x14ac:dyDescent="0.25">
      <c r="A7" s="3" t="s">
        <v>130</v>
      </c>
      <c r="B7" s="3"/>
      <c r="C7" s="3">
        <v>33</v>
      </c>
      <c r="D7" s="3"/>
      <c r="E7" s="3">
        <v>60</v>
      </c>
      <c r="F7" s="6">
        <f>ROUND(Tabla159101112131415167913[[#This Row],[Número de cesáreas en  Enero a Diciembre 2017]]/Tabla159101112131415167913[[#This Row],[Total de partos en Enero a Diciembre 2017]],4)</f>
        <v>0</v>
      </c>
      <c r="G7" s="6">
        <f>ROUND(Tabla159101112131415167913[[#This Row],[Número de cesáreas en  Enero a Diciembre 2018]]/Tabla159101112131415167913[[#This Row],[Total de partos en Enero a Diciembre 2018]],4)</f>
        <v>0</v>
      </c>
      <c r="H7" s="3" t="s">
        <v>130</v>
      </c>
      <c r="I7" s="6">
        <f>ROUND(Tabla159101112131415167913[[#This Row],[Porcentaje de Cesáreas Enero a Diciembre 2017]],4)</f>
        <v>0</v>
      </c>
      <c r="J7" s="6">
        <f>ROUND(Tabla159101112131415167913[[#This Row],[Porcentaje de Cesáreas Enero a Diciembre 2018]],4)</f>
        <v>0</v>
      </c>
      <c r="K7" s="6" t="e">
        <f>ROUND((Tabla159101112131415167913[[#This Row],[Enero a Diciembre 2018]]-Tabla159101112131415167913[[#This Row],[Enero a Diciembre 2017]])/Tabla159101112131415167913[[#This Row],[Enero a Diciembre 2017]],4)</f>
        <v>#DIV/0!</v>
      </c>
    </row>
    <row r="8" spans="1:11" x14ac:dyDescent="0.25">
      <c r="A8" s="4" t="s">
        <v>131</v>
      </c>
      <c r="B8" s="4"/>
      <c r="C8" s="4">
        <v>7</v>
      </c>
      <c r="D8" s="4"/>
      <c r="E8" s="4">
        <v>8</v>
      </c>
      <c r="F8" s="7">
        <f>ROUND(Tabla159101112131415167913[[#This Row],[Número de cesáreas en  Enero a Diciembre 2017]]/Tabla159101112131415167913[[#This Row],[Total de partos en Enero a Diciembre 2017]],4)</f>
        <v>0</v>
      </c>
      <c r="G8" s="7">
        <f>ROUND(Tabla159101112131415167913[[#This Row],[Número de cesáreas en  Enero a Diciembre 2018]]/Tabla159101112131415167913[[#This Row],[Total de partos en Enero a Diciembre 2018]],4)</f>
        <v>0</v>
      </c>
      <c r="H8" s="4" t="s">
        <v>131</v>
      </c>
      <c r="I8" s="7">
        <f>ROUND(Tabla159101112131415167913[[#This Row],[Porcentaje de Cesáreas Enero a Diciembre 2017]],4)</f>
        <v>0</v>
      </c>
      <c r="J8" s="7">
        <f>ROUND(Tabla159101112131415167913[[#This Row],[Porcentaje de Cesáreas Enero a Diciembre 2018]],4)</f>
        <v>0</v>
      </c>
      <c r="K8" s="7" t="e">
        <f>ROUND((Tabla159101112131415167913[[#This Row],[Enero a Diciembre 2018]]-Tabla159101112131415167913[[#This Row],[Enero a Diciembre 2017]])/Tabla159101112131415167913[[#This Row],[Enero a Diciembre 2017]],4)</f>
        <v>#DIV/0!</v>
      </c>
    </row>
    <row r="9" spans="1:11" x14ac:dyDescent="0.25">
      <c r="A9" s="3" t="s">
        <v>132</v>
      </c>
      <c r="B9" s="3"/>
      <c r="C9" s="3">
        <v>28</v>
      </c>
      <c r="D9" s="3"/>
      <c r="E9" s="3">
        <v>17</v>
      </c>
      <c r="F9" s="6">
        <f>ROUND(Tabla159101112131415167913[[#This Row],[Número de cesáreas en  Enero a Diciembre 2017]]/Tabla159101112131415167913[[#This Row],[Total de partos en Enero a Diciembre 2017]],4)</f>
        <v>0</v>
      </c>
      <c r="G9" s="6">
        <f>ROUND(Tabla159101112131415167913[[#This Row],[Número de cesáreas en  Enero a Diciembre 2018]]/Tabla159101112131415167913[[#This Row],[Total de partos en Enero a Diciembre 2018]],4)</f>
        <v>0</v>
      </c>
      <c r="H9" s="3" t="s">
        <v>132</v>
      </c>
      <c r="I9" s="6">
        <f>ROUND(Tabla159101112131415167913[[#This Row],[Porcentaje de Cesáreas Enero a Diciembre 2017]],4)</f>
        <v>0</v>
      </c>
      <c r="J9" s="6">
        <f>ROUND(Tabla159101112131415167913[[#This Row],[Porcentaje de Cesáreas Enero a Diciembre 2018]],4)</f>
        <v>0</v>
      </c>
      <c r="K9" s="6" t="e">
        <f>ROUND((Tabla159101112131415167913[[#This Row],[Enero a Diciembre 2018]]-Tabla159101112131415167913[[#This Row],[Enero a Diciembre 2017]])/Tabla159101112131415167913[[#This Row],[Enero a Diciembre 2017]],4)</f>
        <v>#DIV/0!</v>
      </c>
    </row>
    <row r="10" spans="1:11" x14ac:dyDescent="0.25">
      <c r="A10" s="4" t="s">
        <v>133</v>
      </c>
      <c r="B10" s="4"/>
      <c r="C10" s="4">
        <v>39</v>
      </c>
      <c r="D10" s="4"/>
      <c r="E10" s="4">
        <v>39</v>
      </c>
      <c r="F10" s="7">
        <f>ROUND(Tabla159101112131415167913[[#This Row],[Número de cesáreas en  Enero a Diciembre 2017]]/Tabla159101112131415167913[[#This Row],[Total de partos en Enero a Diciembre 2017]],4)</f>
        <v>0</v>
      </c>
      <c r="G10" s="7">
        <f>ROUND(Tabla159101112131415167913[[#This Row],[Número de cesáreas en  Enero a Diciembre 2018]]/Tabla159101112131415167913[[#This Row],[Total de partos en Enero a Diciembre 2018]],4)</f>
        <v>0</v>
      </c>
      <c r="H10" s="4" t="s">
        <v>133</v>
      </c>
      <c r="I10" s="7">
        <f>ROUND(Tabla159101112131415167913[[#This Row],[Porcentaje de Cesáreas Enero a Diciembre 2017]],4)</f>
        <v>0</v>
      </c>
      <c r="J10" s="7">
        <f>ROUND(Tabla159101112131415167913[[#This Row],[Porcentaje de Cesáreas Enero a Diciembre 2018]],4)</f>
        <v>0</v>
      </c>
      <c r="K10" s="7" t="e">
        <f>ROUND((Tabla159101112131415167913[[#This Row],[Enero a Diciembre 2018]]-Tabla159101112131415167913[[#This Row],[Enero a Diciembre 2017]])/Tabla159101112131415167913[[#This Row],[Enero a Diciembre 2017]],4)</f>
        <v>#DIV/0!</v>
      </c>
    </row>
    <row r="11" spans="1:11" x14ac:dyDescent="0.25">
      <c r="A11" s="3" t="s">
        <v>134</v>
      </c>
      <c r="B11" s="3">
        <v>47</v>
      </c>
      <c r="C11" s="3">
        <v>192</v>
      </c>
      <c r="D11" s="3">
        <v>3</v>
      </c>
      <c r="E11" s="3">
        <v>68</v>
      </c>
      <c r="F11" s="6">
        <f>ROUND(Tabla159101112131415167913[[#This Row],[Número de cesáreas en  Enero a Diciembre 2017]]/Tabla159101112131415167913[[#This Row],[Total de partos en Enero a Diciembre 2017]],4)</f>
        <v>0.24479999999999999</v>
      </c>
      <c r="G11" s="6">
        <f>ROUND(Tabla159101112131415167913[[#This Row],[Número de cesáreas en  Enero a Diciembre 2018]]/Tabla159101112131415167913[[#This Row],[Total de partos en Enero a Diciembre 2018]],4)</f>
        <v>4.41E-2</v>
      </c>
      <c r="H11" s="3" t="s">
        <v>134</v>
      </c>
      <c r="I11" s="6">
        <f>ROUND(Tabla159101112131415167913[[#This Row],[Porcentaje de Cesáreas Enero a Diciembre 2017]],4)</f>
        <v>0.24479999999999999</v>
      </c>
      <c r="J11" s="6">
        <f>ROUND(Tabla159101112131415167913[[#This Row],[Porcentaje de Cesáreas Enero a Diciembre 2018]],4)</f>
        <v>4.41E-2</v>
      </c>
      <c r="K11" s="6">
        <f>ROUND((Tabla159101112131415167913[[#This Row],[Enero a Diciembre 2018]]-Tabla159101112131415167913[[#This Row],[Enero a Diciembre 2017]])/Tabla159101112131415167913[[#This Row],[Enero a Diciembre 2017]],4)</f>
        <v>-0.81989999999999996</v>
      </c>
    </row>
    <row r="12" spans="1:11" x14ac:dyDescent="0.25">
      <c r="A12" s="8" t="s">
        <v>7</v>
      </c>
      <c r="B12" s="8">
        <f>SUBTOTAL(109,B3:B11)</f>
        <v>4438</v>
      </c>
      <c r="C12" s="8">
        <f>SUBTOTAL(109,C3:C11)</f>
        <v>8497</v>
      </c>
      <c r="D12" s="8">
        <f>SUBTOTAL(109,D3:D11)</f>
        <v>4195</v>
      </c>
      <c r="E12" s="8">
        <f>SUBTOTAL(109,E3:E11)</f>
        <v>8082</v>
      </c>
      <c r="F12" s="9">
        <f>ROUND(Tabla159101112131415167913[[#This Row],[Número de cesáreas en  Enero a Diciembre 2017]]/Tabla159101112131415167913[[#This Row],[Total de partos en Enero a Diciembre 2017]],4)</f>
        <v>0.52229999999999999</v>
      </c>
      <c r="G12" s="9">
        <f>ROUND(Tabla159101112131415167913[[#This Row],[Número de cesáreas en  Enero a Diciembre 2018]]/Tabla159101112131415167913[[#This Row],[Total de partos en Enero a Diciembre 2018]],4)</f>
        <v>0.51910000000000001</v>
      </c>
      <c r="H12" s="8" t="s">
        <v>7</v>
      </c>
      <c r="I12" s="9">
        <f>ROUND(Tabla159101112131415167913[[#This Row],[Porcentaje de Cesáreas Enero a Diciembre 2017]],4)</f>
        <v>0.52229999999999999</v>
      </c>
      <c r="J12" s="9">
        <f>ROUND(Tabla159101112131415167913[[#This Row],[Porcentaje de Cesáreas Enero a Diciembre 2018]],4)</f>
        <v>0.51910000000000001</v>
      </c>
      <c r="K12" s="9">
        <f>ROUND((Tabla159101112131415167913[[#This Row],[Enero a Diciembre 2018]]-Tabla159101112131415167913[[#This Row],[Enero a Diciembre 2017]])/Tabla159101112131415167913[[#This Row],[Enero a Diciembre 2017]],4)</f>
        <v>-6.1000000000000004E-3</v>
      </c>
    </row>
  </sheetData>
  <mergeCells count="1">
    <mergeCell ref="H1:K1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ColWidth="8.85546875" defaultRowHeight="15" outlineLevelCol="1" x14ac:dyDescent="0.25"/>
  <cols>
    <col min="1" max="1" width="20.140625" customWidth="1" outlineLevel="1"/>
    <col min="2" max="2" width="22.28515625" customWidth="1" outlineLevel="1"/>
    <col min="3" max="3" width="22.85546875" customWidth="1" outlineLevel="1"/>
    <col min="4" max="4" width="16.140625" customWidth="1" outlineLevel="1"/>
    <col min="5" max="5" width="19.28515625" customWidth="1" outlineLevel="1"/>
    <col min="6" max="6" width="17.7109375" customWidth="1" outlineLevel="1"/>
    <col min="7" max="7" width="18.5703125" customWidth="1" outlineLevel="1"/>
    <col min="8" max="8" width="22.7109375" customWidth="1"/>
    <col min="9" max="9" width="18.7109375" customWidth="1"/>
    <col min="10" max="10" width="19.28515625" customWidth="1"/>
    <col min="11" max="11" width="15.42578125" customWidth="1"/>
    <col min="12" max="12" width="6.7109375" customWidth="1"/>
  </cols>
  <sheetData>
    <row r="1" spans="1:11" ht="27.75" customHeight="1" x14ac:dyDescent="0.25">
      <c r="H1" s="76" t="s">
        <v>37</v>
      </c>
      <c r="I1" s="76"/>
      <c r="J1" s="76"/>
      <c r="K1" s="76"/>
    </row>
    <row r="2" spans="1:11" ht="41.25" customHeight="1" x14ac:dyDescent="0.25">
      <c r="A2" s="43" t="s">
        <v>31</v>
      </c>
      <c r="B2" s="43" t="s">
        <v>91</v>
      </c>
      <c r="C2" s="43" t="s">
        <v>92</v>
      </c>
      <c r="D2" s="43" t="s">
        <v>93</v>
      </c>
      <c r="E2" s="43" t="s">
        <v>94</v>
      </c>
      <c r="F2" s="43" t="s">
        <v>95</v>
      </c>
      <c r="G2" s="43" t="s">
        <v>96</v>
      </c>
      <c r="H2" s="5" t="s">
        <v>30</v>
      </c>
      <c r="I2" s="2" t="s">
        <v>77</v>
      </c>
      <c r="J2" s="2" t="s">
        <v>78</v>
      </c>
      <c r="K2" s="5" t="s">
        <v>6</v>
      </c>
    </row>
    <row r="3" spans="1:11" x14ac:dyDescent="0.25">
      <c r="A3" s="3" t="s">
        <v>126</v>
      </c>
      <c r="B3" s="3">
        <v>31954</v>
      </c>
      <c r="C3" s="3">
        <v>143356</v>
      </c>
      <c r="D3" s="3">
        <v>38814</v>
      </c>
      <c r="E3" s="3">
        <v>143573</v>
      </c>
      <c r="F3" s="6">
        <f>ROUND(Tabla15910111213141516791314[[#This Row],[Número de Consultas Nuevas Enero a Diciembre 2017]]/Tabla15910111213141516791314[[#This Row],[Total de Consultas Especialidad Enero a Diciembre 2017]],4)</f>
        <v>0.22289999999999999</v>
      </c>
      <c r="G3" s="6">
        <f>ROUND(Tabla15910111213141516791314[[#This Row],[Número de Consultas Nuevas Enero a Diciembre 2018]]/Tabla15910111213141516791314[[#This Row],[Total de Consultas Especialidad Enero a Diciembre 2018]],4)</f>
        <v>0.27029999999999998</v>
      </c>
      <c r="H3" s="3" t="s">
        <v>126</v>
      </c>
      <c r="I3" s="6">
        <f>ROUND(Tabla15910111213141516791314[[#This Row],[Porcentaje de Consultas  Nuevas de especialidad Enero a Diciembre 2017]],4)</f>
        <v>0.22289999999999999</v>
      </c>
      <c r="J3" s="6">
        <f>ROUND(Tabla15910111213141516791314[[#This Row],[Porcentaje de Consultas  Nuevas de especialidad  Enero a Diciembre 2018]],4)</f>
        <v>0.27029999999999998</v>
      </c>
      <c r="K3" s="6">
        <f>ROUND((Tabla15910111213141516791314[[#This Row],[Enero a Diciembre 2018]]-Tabla15910111213141516791314[[#This Row],[Enero a Diciembre 2017]])/Tabla15910111213141516791314[[#This Row],[Enero a Diciembre 2017]],4)</f>
        <v>0.2127</v>
      </c>
    </row>
    <row r="4" spans="1:11" x14ac:dyDescent="0.25">
      <c r="A4" s="4" t="s">
        <v>127</v>
      </c>
      <c r="B4" s="4">
        <v>34657</v>
      </c>
      <c r="C4" s="4">
        <v>96703</v>
      </c>
      <c r="D4" s="4">
        <v>41657</v>
      </c>
      <c r="E4" s="4">
        <v>114036</v>
      </c>
      <c r="F4" s="7">
        <f>ROUND(Tabla15910111213141516791314[[#This Row],[Número de Consultas Nuevas Enero a Diciembre 2017]]/Tabla15910111213141516791314[[#This Row],[Total de Consultas Especialidad Enero a Diciembre 2017]],4)</f>
        <v>0.3584</v>
      </c>
      <c r="G4" s="7">
        <f>ROUND(Tabla15910111213141516791314[[#This Row],[Número de Consultas Nuevas Enero a Diciembre 2018]]/Tabla15910111213141516791314[[#This Row],[Total de Consultas Especialidad Enero a Diciembre 2018]],4)</f>
        <v>0.36530000000000001</v>
      </c>
      <c r="H4" s="4" t="s">
        <v>127</v>
      </c>
      <c r="I4" s="7">
        <f>ROUND(Tabla15910111213141516791314[[#This Row],[Porcentaje de Consultas  Nuevas de especialidad Enero a Diciembre 2017]],4)</f>
        <v>0.3584</v>
      </c>
      <c r="J4" s="7">
        <f>ROUND(Tabla15910111213141516791314[[#This Row],[Porcentaje de Consultas  Nuevas de especialidad  Enero a Diciembre 2018]],4)</f>
        <v>0.36530000000000001</v>
      </c>
      <c r="K4" s="7">
        <f>ROUND((Tabla15910111213141516791314[[#This Row],[Enero a Diciembre 2018]]-Tabla15910111213141516791314[[#This Row],[Enero a Diciembre 2017]])/Tabla15910111213141516791314[[#This Row],[Enero a Diciembre 2017]],4)</f>
        <v>1.9300000000000001E-2</v>
      </c>
    </row>
    <row r="5" spans="1:11" x14ac:dyDescent="0.25">
      <c r="A5" s="3" t="s">
        <v>128</v>
      </c>
      <c r="B5" s="3">
        <v>22057</v>
      </c>
      <c r="C5" s="3">
        <v>73612</v>
      </c>
      <c r="D5" s="3">
        <v>25713</v>
      </c>
      <c r="E5" s="3">
        <v>84972</v>
      </c>
      <c r="F5" s="6">
        <f>ROUND(Tabla15910111213141516791314[[#This Row],[Número de Consultas Nuevas Enero a Diciembre 2017]]/Tabla15910111213141516791314[[#This Row],[Total de Consultas Especialidad Enero a Diciembre 2017]],4)</f>
        <v>0.29959999999999998</v>
      </c>
      <c r="G5" s="6">
        <f>ROUND(Tabla15910111213141516791314[[#This Row],[Número de Consultas Nuevas Enero a Diciembre 2018]]/Tabla15910111213141516791314[[#This Row],[Total de Consultas Especialidad Enero a Diciembre 2018]],4)</f>
        <v>0.30259999999999998</v>
      </c>
      <c r="H5" s="3" t="s">
        <v>128</v>
      </c>
      <c r="I5" s="6">
        <f>ROUND(Tabla15910111213141516791314[[#This Row],[Porcentaje de Consultas  Nuevas de especialidad Enero a Diciembre 2017]],4)</f>
        <v>0.29959999999999998</v>
      </c>
      <c r="J5" s="6">
        <f>ROUND(Tabla15910111213141516791314[[#This Row],[Porcentaje de Consultas  Nuevas de especialidad  Enero a Diciembre 2018]],4)</f>
        <v>0.30259999999999998</v>
      </c>
      <c r="K5" s="6">
        <f>ROUND((Tabla15910111213141516791314[[#This Row],[Enero a Diciembre 2018]]-Tabla15910111213141516791314[[#This Row],[Enero a Diciembre 2017]])/Tabla15910111213141516791314[[#This Row],[Enero a Diciembre 2017]],4)</f>
        <v>0.01</v>
      </c>
    </row>
    <row r="6" spans="1:11" x14ac:dyDescent="0.25">
      <c r="A6" s="4" t="s">
        <v>129</v>
      </c>
      <c r="B6" s="4">
        <v>10192</v>
      </c>
      <c r="C6" s="4">
        <v>27376</v>
      </c>
      <c r="D6" s="4">
        <v>10824</v>
      </c>
      <c r="E6" s="4">
        <v>31842</v>
      </c>
      <c r="F6" s="7">
        <f>ROUND(Tabla15910111213141516791314[[#This Row],[Número de Consultas Nuevas Enero a Diciembre 2017]]/Tabla15910111213141516791314[[#This Row],[Total de Consultas Especialidad Enero a Diciembre 2017]],4)</f>
        <v>0.37230000000000002</v>
      </c>
      <c r="G6" s="7">
        <f>ROUND(Tabla15910111213141516791314[[#This Row],[Número de Consultas Nuevas Enero a Diciembre 2018]]/Tabla15910111213141516791314[[#This Row],[Total de Consultas Especialidad Enero a Diciembre 2018]],4)</f>
        <v>0.33989999999999998</v>
      </c>
      <c r="H6" s="4" t="s">
        <v>129</v>
      </c>
      <c r="I6" s="7">
        <f>ROUND(Tabla15910111213141516791314[[#This Row],[Porcentaje de Consultas  Nuevas de especialidad Enero a Diciembre 2017]],4)</f>
        <v>0.37230000000000002</v>
      </c>
      <c r="J6" s="7">
        <f>ROUND(Tabla15910111213141516791314[[#This Row],[Porcentaje de Consultas  Nuevas de especialidad  Enero a Diciembre 2018]],4)</f>
        <v>0.33989999999999998</v>
      </c>
      <c r="K6" s="7">
        <f>ROUND((Tabla15910111213141516791314[[#This Row],[Enero a Diciembre 2018]]-Tabla15910111213141516791314[[#This Row],[Enero a Diciembre 2017]])/Tabla15910111213141516791314[[#This Row],[Enero a Diciembre 2017]],4)</f>
        <v>-8.6999999999999994E-2</v>
      </c>
    </row>
    <row r="7" spans="1:11" x14ac:dyDescent="0.25">
      <c r="A7" s="3" t="s">
        <v>130</v>
      </c>
      <c r="B7" s="3">
        <v>407</v>
      </c>
      <c r="C7" s="3">
        <v>407</v>
      </c>
      <c r="D7" s="3">
        <v>330</v>
      </c>
      <c r="E7" s="3">
        <v>352</v>
      </c>
      <c r="F7" s="6">
        <f>ROUND(Tabla15910111213141516791314[[#This Row],[Número de Consultas Nuevas Enero a Diciembre 2017]]/Tabla15910111213141516791314[[#This Row],[Total de Consultas Especialidad Enero a Diciembre 2017]],4)</f>
        <v>1</v>
      </c>
      <c r="G7" s="6">
        <f>ROUND(Tabla15910111213141516791314[[#This Row],[Número de Consultas Nuevas Enero a Diciembre 2018]]/Tabla15910111213141516791314[[#This Row],[Total de Consultas Especialidad Enero a Diciembre 2018]],4)</f>
        <v>0.9375</v>
      </c>
      <c r="H7" s="3" t="s">
        <v>130</v>
      </c>
      <c r="I7" s="6">
        <f>ROUND(Tabla15910111213141516791314[[#This Row],[Porcentaje de Consultas  Nuevas de especialidad Enero a Diciembre 2017]],4)</f>
        <v>1</v>
      </c>
      <c r="J7" s="6">
        <f>ROUND(Tabla15910111213141516791314[[#This Row],[Porcentaje de Consultas  Nuevas de especialidad  Enero a Diciembre 2018]],4)</f>
        <v>0.9375</v>
      </c>
      <c r="K7" s="6">
        <f>ROUND((Tabla15910111213141516791314[[#This Row],[Enero a Diciembre 2018]]-Tabla15910111213141516791314[[#This Row],[Enero a Diciembre 2017]])/Tabla15910111213141516791314[[#This Row],[Enero a Diciembre 2017]],4)</f>
        <v>-6.25E-2</v>
      </c>
    </row>
    <row r="8" spans="1:11" x14ac:dyDescent="0.25">
      <c r="A8" s="4" t="s">
        <v>131</v>
      </c>
      <c r="B8" s="4"/>
      <c r="C8" s="4"/>
      <c r="D8" s="4">
        <v>0</v>
      </c>
      <c r="E8" s="4">
        <v>0</v>
      </c>
      <c r="F8" s="7" t="e">
        <f>ROUND(Tabla15910111213141516791314[[#This Row],[Número de Consultas Nuevas Enero a Diciembre 2017]]/Tabla15910111213141516791314[[#This Row],[Total de Consultas Especialidad Enero a Diciembre 2017]],4)</f>
        <v>#DIV/0!</v>
      </c>
      <c r="G8" s="7" t="e">
        <f>ROUND(Tabla15910111213141516791314[[#This Row],[Número de Consultas Nuevas Enero a Diciembre 2018]]/Tabla15910111213141516791314[[#This Row],[Total de Consultas Especialidad Enero a Diciembre 2018]],4)</f>
        <v>#DIV/0!</v>
      </c>
      <c r="H8" s="4" t="s">
        <v>131</v>
      </c>
      <c r="I8" s="7" t="e">
        <f>ROUND(Tabla15910111213141516791314[[#This Row],[Porcentaje de Consultas  Nuevas de especialidad Enero a Diciembre 2017]],4)</f>
        <v>#DIV/0!</v>
      </c>
      <c r="J8" s="7" t="e">
        <f>ROUND(Tabla15910111213141516791314[[#This Row],[Porcentaje de Consultas  Nuevas de especialidad  Enero a Diciembre 2018]],4)</f>
        <v>#DIV/0!</v>
      </c>
      <c r="K8" s="7" t="e">
        <f>ROUND((Tabla15910111213141516791314[[#This Row],[Enero a Diciembre 2018]]-Tabla15910111213141516791314[[#This Row],[Enero a Diciembre 2017]])/Tabla15910111213141516791314[[#This Row],[Enero a Diciembre 2017]],4)</f>
        <v>#DIV/0!</v>
      </c>
    </row>
    <row r="9" spans="1:11" x14ac:dyDescent="0.25">
      <c r="A9" s="3" t="s">
        <v>132</v>
      </c>
      <c r="B9" s="3"/>
      <c r="C9" s="3"/>
      <c r="D9" s="3">
        <v>0</v>
      </c>
      <c r="E9" s="3">
        <v>0</v>
      </c>
      <c r="F9" s="6" t="e">
        <f>ROUND(Tabla15910111213141516791314[[#This Row],[Número de Consultas Nuevas Enero a Diciembre 2017]]/Tabla15910111213141516791314[[#This Row],[Total de Consultas Especialidad Enero a Diciembre 2017]],4)</f>
        <v>#DIV/0!</v>
      </c>
      <c r="G9" s="6" t="e">
        <f>ROUND(Tabla15910111213141516791314[[#This Row],[Número de Consultas Nuevas Enero a Diciembre 2018]]/Tabla15910111213141516791314[[#This Row],[Total de Consultas Especialidad Enero a Diciembre 2018]],4)</f>
        <v>#DIV/0!</v>
      </c>
      <c r="H9" s="3" t="s">
        <v>132</v>
      </c>
      <c r="I9" s="6" t="e">
        <f>ROUND(Tabla15910111213141516791314[[#This Row],[Porcentaje de Consultas  Nuevas de especialidad Enero a Diciembre 2017]],4)</f>
        <v>#DIV/0!</v>
      </c>
      <c r="J9" s="6" t="e">
        <f>ROUND(Tabla15910111213141516791314[[#This Row],[Porcentaje de Consultas  Nuevas de especialidad  Enero a Diciembre 2018]],4)</f>
        <v>#DIV/0!</v>
      </c>
      <c r="K9" s="6" t="e">
        <f>ROUND((Tabla15910111213141516791314[[#This Row],[Enero a Diciembre 2018]]-Tabla15910111213141516791314[[#This Row],[Enero a Diciembre 2017]])/Tabla15910111213141516791314[[#This Row],[Enero a Diciembre 2017]],4)</f>
        <v>#DIV/0!</v>
      </c>
    </row>
    <row r="10" spans="1:11" x14ac:dyDescent="0.25">
      <c r="A10" s="4" t="s">
        <v>133</v>
      </c>
      <c r="B10" s="4"/>
      <c r="C10" s="4"/>
      <c r="D10" s="4">
        <v>0</v>
      </c>
      <c r="E10" s="4">
        <v>0</v>
      </c>
      <c r="F10" s="7" t="e">
        <f>ROUND(Tabla15910111213141516791314[[#This Row],[Número de Consultas Nuevas Enero a Diciembre 2017]]/Tabla15910111213141516791314[[#This Row],[Total de Consultas Especialidad Enero a Diciembre 2017]],4)</f>
        <v>#DIV/0!</v>
      </c>
      <c r="G10" s="7" t="e">
        <f>ROUND(Tabla15910111213141516791314[[#This Row],[Número de Consultas Nuevas Enero a Diciembre 2018]]/Tabla15910111213141516791314[[#This Row],[Total de Consultas Especialidad Enero a Diciembre 2018]],4)</f>
        <v>#DIV/0!</v>
      </c>
      <c r="H10" s="4" t="s">
        <v>133</v>
      </c>
      <c r="I10" s="7" t="e">
        <f>ROUND(Tabla15910111213141516791314[[#This Row],[Porcentaje de Consultas  Nuevas de especialidad Enero a Diciembre 2017]],4)</f>
        <v>#DIV/0!</v>
      </c>
      <c r="J10" s="7" t="e">
        <f>ROUND(Tabla15910111213141516791314[[#This Row],[Porcentaje de Consultas  Nuevas de especialidad  Enero a Diciembre 2018]],4)</f>
        <v>#DIV/0!</v>
      </c>
      <c r="K10" s="7" t="e">
        <f>ROUND((Tabla15910111213141516791314[[#This Row],[Enero a Diciembre 2018]]-Tabla15910111213141516791314[[#This Row],[Enero a Diciembre 2017]])/Tabla15910111213141516791314[[#This Row],[Enero a Diciembre 2017]],4)</f>
        <v>#DIV/0!</v>
      </c>
    </row>
    <row r="11" spans="1:11" x14ac:dyDescent="0.25">
      <c r="A11" s="3" t="s">
        <v>134</v>
      </c>
      <c r="B11" s="3">
        <v>1390</v>
      </c>
      <c r="C11" s="3">
        <v>2439</v>
      </c>
      <c r="D11" s="3">
        <v>1180</v>
      </c>
      <c r="E11" s="3">
        <v>3245</v>
      </c>
      <c r="F11" s="6">
        <f>ROUND(Tabla15910111213141516791314[[#This Row],[Número de Consultas Nuevas Enero a Diciembre 2017]]/Tabla15910111213141516791314[[#This Row],[Total de Consultas Especialidad Enero a Diciembre 2017]],4)</f>
        <v>0.56989999999999996</v>
      </c>
      <c r="G11" s="6">
        <f>ROUND(Tabla15910111213141516791314[[#This Row],[Número de Consultas Nuevas Enero a Diciembre 2018]]/Tabla15910111213141516791314[[#This Row],[Total de Consultas Especialidad Enero a Diciembre 2018]],4)</f>
        <v>0.36359999999999998</v>
      </c>
      <c r="H11" s="3" t="s">
        <v>134</v>
      </c>
      <c r="I11" s="6">
        <f>ROUND(Tabla15910111213141516791314[[#This Row],[Porcentaje de Consultas  Nuevas de especialidad Enero a Diciembre 2017]],4)</f>
        <v>0.56989999999999996</v>
      </c>
      <c r="J11" s="6">
        <f>ROUND(Tabla15910111213141516791314[[#This Row],[Porcentaje de Consultas  Nuevas de especialidad  Enero a Diciembre 2018]],4)</f>
        <v>0.36359999999999998</v>
      </c>
      <c r="K11" s="6">
        <f>ROUND((Tabla15910111213141516791314[[#This Row],[Enero a Diciembre 2018]]-Tabla15910111213141516791314[[#This Row],[Enero a Diciembre 2017]])/Tabla15910111213141516791314[[#This Row],[Enero a Diciembre 2017]],4)</f>
        <v>-0.36199999999999999</v>
      </c>
    </row>
    <row r="12" spans="1:11" x14ac:dyDescent="0.25">
      <c r="A12" s="8" t="s">
        <v>7</v>
      </c>
      <c r="B12" s="8">
        <f>SUBTOTAL(109,B3:B11)</f>
        <v>100657</v>
      </c>
      <c r="C12" s="8">
        <f>SUBTOTAL(109,C3:C11)</f>
        <v>343893</v>
      </c>
      <c r="D12" s="8">
        <f>SUBTOTAL(109,D3:D11)</f>
        <v>118518</v>
      </c>
      <c r="E12" s="8">
        <f>SUBTOTAL(109,E3:E11)</f>
        <v>378020</v>
      </c>
      <c r="F12" s="9">
        <f>ROUND(Tabla15910111213141516791314[[#This Row],[Número de Consultas Nuevas Enero a Diciembre 2017]]/Tabla15910111213141516791314[[#This Row],[Total de Consultas Especialidad Enero a Diciembre 2017]],4)</f>
        <v>0.29270000000000002</v>
      </c>
      <c r="G12" s="9">
        <f>ROUND(Tabla15910111213141516791314[[#This Row],[Número de Consultas Nuevas Enero a Diciembre 2018]]/Tabla15910111213141516791314[[#This Row],[Total de Consultas Especialidad Enero a Diciembre 2018]],4)</f>
        <v>0.3135</v>
      </c>
      <c r="H12" s="8" t="s">
        <v>7</v>
      </c>
      <c r="I12" s="9">
        <f>ROUND(Tabla15910111213141516791314[[#This Row],[Porcentaje de Consultas  Nuevas de especialidad Enero a Diciembre 2017]],4)</f>
        <v>0.29270000000000002</v>
      </c>
      <c r="J12" s="9">
        <f>ROUND(Tabla15910111213141516791314[[#This Row],[Porcentaje de Consultas  Nuevas de especialidad  Enero a Diciembre 2018]],4)</f>
        <v>0.3135</v>
      </c>
      <c r="K12" s="9">
        <f>ROUND((Tabla15910111213141516791314[[#This Row],[Enero a Diciembre 2018]]-Tabla15910111213141516791314[[#This Row],[Enero a Diciembre 2017]])/Tabla15910111213141516791314[[#This Row],[Enero a Diciembre 2017]],4)</f>
        <v>7.1099999999999997E-2</v>
      </c>
    </row>
  </sheetData>
  <mergeCells count="1">
    <mergeCell ref="H1:K1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ColWidth="8.85546875" defaultRowHeight="15" outlineLevelCol="1" x14ac:dyDescent="0.25"/>
  <cols>
    <col min="1" max="1" width="20.140625" customWidth="1" outlineLevel="1"/>
    <col min="2" max="2" width="24.28515625" customWidth="1" outlineLevel="1"/>
    <col min="3" max="3" width="15.42578125" customWidth="1" outlineLevel="1"/>
    <col min="4" max="4" width="24" customWidth="1" outlineLevel="1"/>
    <col min="5" max="5" width="18" customWidth="1" outlineLevel="1"/>
    <col min="6" max="6" width="18.85546875" customWidth="1" outlineLevel="1"/>
    <col min="7" max="7" width="18.5703125" customWidth="1" outlineLevel="1"/>
    <col min="8" max="8" width="22.7109375" customWidth="1"/>
    <col min="9" max="9" width="18.7109375" customWidth="1"/>
    <col min="10" max="10" width="19.28515625" customWidth="1"/>
    <col min="11" max="11" width="15.42578125" customWidth="1"/>
    <col min="12" max="12" width="6.7109375" customWidth="1"/>
  </cols>
  <sheetData>
    <row r="1" spans="1:11" ht="27.75" customHeight="1" x14ac:dyDescent="0.25">
      <c r="H1" s="76" t="s">
        <v>38</v>
      </c>
      <c r="I1" s="76"/>
      <c r="J1" s="76"/>
      <c r="K1" s="76"/>
    </row>
    <row r="2" spans="1:11" ht="36" x14ac:dyDescent="0.25">
      <c r="A2" s="43" t="s">
        <v>31</v>
      </c>
      <c r="B2" s="43" t="s">
        <v>97</v>
      </c>
      <c r="C2" s="43" t="s">
        <v>98</v>
      </c>
      <c r="D2" s="43" t="s">
        <v>99</v>
      </c>
      <c r="E2" s="43" t="s">
        <v>100</v>
      </c>
      <c r="F2" s="43" t="s">
        <v>101</v>
      </c>
      <c r="G2" s="43" t="s">
        <v>102</v>
      </c>
      <c r="H2" s="5" t="s">
        <v>30</v>
      </c>
      <c r="I2" s="2" t="s">
        <v>77</v>
      </c>
      <c r="J2" s="2" t="s">
        <v>78</v>
      </c>
      <c r="K2" s="5" t="s">
        <v>6</v>
      </c>
    </row>
    <row r="3" spans="1:11" x14ac:dyDescent="0.25">
      <c r="A3" s="3" t="s">
        <v>126</v>
      </c>
      <c r="B3" s="3">
        <v>3932</v>
      </c>
      <c r="C3" s="3">
        <v>4641</v>
      </c>
      <c r="D3" s="3">
        <v>3455</v>
      </c>
      <c r="E3" s="3">
        <v>4957</v>
      </c>
      <c r="F3" s="6">
        <f>ROUND(Tabla1591011121314151679131415[[#This Row],[Número de pacientes hospitalizados antes de 12 horas, Enero a Diciembre 2017]]/Tabla1591011121314151679131415[[#This Row],[Total de pacientes hospitalizados Enero a Diciembre 2017]],4)</f>
        <v>0.84719999999999995</v>
      </c>
      <c r="G3" s="6">
        <f>ROUND(Tabla1591011121314151679131415[[#This Row],[Número de pacientes hospitalizados antes de 12 horas, Enero a Diciembre 2018]]/Tabla1591011121314151679131415[[#This Row],[Total de pacientes hospitalizados Enero a Diciembre 2018]],4)</f>
        <v>0.69699999999999995</v>
      </c>
      <c r="H3" s="3" t="s">
        <v>126</v>
      </c>
      <c r="I3" s="6">
        <f>ROUND(Tabla1591011121314151679131415[[#This Row],[Porcentaje Oportunidad de Hospitalización Enero a Diciembre 2017]],4)</f>
        <v>0.84719999999999995</v>
      </c>
      <c r="J3" s="6">
        <f>ROUND(Tabla1591011121314151679131415[[#This Row],[Porcentaje Oportunidad de Hospitalización Enero a Diciembre 2018]],4)</f>
        <v>0.69699999999999995</v>
      </c>
      <c r="K3" s="6">
        <f>ROUND((Tabla1591011121314151679131415[[#This Row],[Enero a Diciembre 2018]]-Tabla1591011121314151679131415[[#This Row],[Enero a Diciembre 2017]])/Tabla1591011121314151679131415[[#This Row],[Enero a Diciembre 2017]],4)</f>
        <v>-0.17730000000000001</v>
      </c>
    </row>
    <row r="4" spans="1:11" x14ac:dyDescent="0.25">
      <c r="A4" s="4" t="s">
        <v>127</v>
      </c>
      <c r="B4" s="4">
        <v>3522</v>
      </c>
      <c r="C4" s="4">
        <v>6315</v>
      </c>
      <c r="D4" s="4">
        <v>2124</v>
      </c>
      <c r="E4" s="4">
        <v>4788</v>
      </c>
      <c r="F4" s="7">
        <f>ROUND(Tabla1591011121314151679131415[[#This Row],[Número de pacientes hospitalizados antes de 12 horas, Enero a Diciembre 2017]]/Tabla1591011121314151679131415[[#This Row],[Total de pacientes hospitalizados Enero a Diciembre 2017]],4)</f>
        <v>0.55769999999999997</v>
      </c>
      <c r="G4" s="7">
        <f>ROUND(Tabla1591011121314151679131415[[#This Row],[Número de pacientes hospitalizados antes de 12 horas, Enero a Diciembre 2018]]/Tabla1591011121314151679131415[[#This Row],[Total de pacientes hospitalizados Enero a Diciembre 2018]],4)</f>
        <v>0.44359999999999999</v>
      </c>
      <c r="H4" s="4" t="s">
        <v>127</v>
      </c>
      <c r="I4" s="7">
        <f>ROUND(Tabla1591011121314151679131415[[#This Row],[Porcentaje Oportunidad de Hospitalización Enero a Diciembre 2017]],4)</f>
        <v>0.55769999999999997</v>
      </c>
      <c r="J4" s="7">
        <f>ROUND(Tabla1591011121314151679131415[[#This Row],[Porcentaje Oportunidad de Hospitalización Enero a Diciembre 2018]],4)</f>
        <v>0.44359999999999999</v>
      </c>
      <c r="K4" s="7">
        <f>ROUND((Tabla1591011121314151679131415[[#This Row],[Enero a Diciembre 2018]]-Tabla1591011121314151679131415[[#This Row],[Enero a Diciembre 2017]])/Tabla1591011121314151679131415[[#This Row],[Enero a Diciembre 2017]],4)</f>
        <v>-0.2046</v>
      </c>
    </row>
    <row r="5" spans="1:11" x14ac:dyDescent="0.25">
      <c r="A5" s="3" t="s">
        <v>128</v>
      </c>
      <c r="B5" s="3">
        <v>2542</v>
      </c>
      <c r="C5" s="3">
        <v>3558</v>
      </c>
      <c r="D5" s="3">
        <v>2563</v>
      </c>
      <c r="E5" s="3">
        <v>3408</v>
      </c>
      <c r="F5" s="6">
        <f>ROUND(Tabla1591011121314151679131415[[#This Row],[Número de pacientes hospitalizados antes de 12 horas, Enero a Diciembre 2017]]/Tabla1591011121314151679131415[[#This Row],[Total de pacientes hospitalizados Enero a Diciembre 2017]],4)</f>
        <v>0.71440000000000003</v>
      </c>
      <c r="G5" s="6">
        <f>ROUND(Tabla1591011121314151679131415[[#This Row],[Número de pacientes hospitalizados antes de 12 horas, Enero a Diciembre 2018]]/Tabla1591011121314151679131415[[#This Row],[Total de pacientes hospitalizados Enero a Diciembre 2018]],4)</f>
        <v>0.75209999999999999</v>
      </c>
      <c r="H5" s="3" t="s">
        <v>128</v>
      </c>
      <c r="I5" s="6">
        <f>ROUND(Tabla1591011121314151679131415[[#This Row],[Porcentaje Oportunidad de Hospitalización Enero a Diciembre 2017]],4)</f>
        <v>0.71440000000000003</v>
      </c>
      <c r="J5" s="6">
        <f>ROUND(Tabla1591011121314151679131415[[#This Row],[Porcentaje Oportunidad de Hospitalización Enero a Diciembre 2018]],4)</f>
        <v>0.75209999999999999</v>
      </c>
      <c r="K5" s="6">
        <f>ROUND((Tabla1591011121314151679131415[[#This Row],[Enero a Diciembre 2018]]-Tabla1591011121314151679131415[[#This Row],[Enero a Diciembre 2017]])/Tabla1591011121314151679131415[[#This Row],[Enero a Diciembre 2017]],4)</f>
        <v>5.28E-2</v>
      </c>
    </row>
    <row r="6" spans="1:11" x14ac:dyDescent="0.25">
      <c r="A6" s="4" t="s">
        <v>129</v>
      </c>
      <c r="B6" s="4">
        <v>701</v>
      </c>
      <c r="C6" s="4">
        <v>701</v>
      </c>
      <c r="D6" s="4">
        <v>750</v>
      </c>
      <c r="E6" s="4">
        <v>750</v>
      </c>
      <c r="F6" s="7">
        <f>ROUND(Tabla1591011121314151679131415[[#This Row],[Número de pacientes hospitalizados antes de 12 horas, Enero a Diciembre 2017]]/Tabla1591011121314151679131415[[#This Row],[Total de pacientes hospitalizados Enero a Diciembre 2017]],4)</f>
        <v>1</v>
      </c>
      <c r="G6" s="7">
        <f>ROUND(Tabla1591011121314151679131415[[#This Row],[Número de pacientes hospitalizados antes de 12 horas, Enero a Diciembre 2018]]/Tabla1591011121314151679131415[[#This Row],[Total de pacientes hospitalizados Enero a Diciembre 2018]],4)</f>
        <v>1</v>
      </c>
      <c r="H6" s="4" t="s">
        <v>129</v>
      </c>
      <c r="I6" s="7">
        <f>ROUND(Tabla1591011121314151679131415[[#This Row],[Porcentaje Oportunidad de Hospitalización Enero a Diciembre 2017]],4)</f>
        <v>1</v>
      </c>
      <c r="J6" s="7">
        <f>ROUND(Tabla1591011121314151679131415[[#This Row],[Porcentaje Oportunidad de Hospitalización Enero a Diciembre 2018]],4)</f>
        <v>1</v>
      </c>
      <c r="K6" s="7">
        <f>ROUND((Tabla1591011121314151679131415[[#This Row],[Enero a Diciembre 2018]]-Tabla1591011121314151679131415[[#This Row],[Enero a Diciembre 2017]])/Tabla1591011121314151679131415[[#This Row],[Enero a Diciembre 2017]],4)</f>
        <v>0</v>
      </c>
    </row>
    <row r="7" spans="1:11" x14ac:dyDescent="0.25">
      <c r="A7" s="3" t="s">
        <v>130</v>
      </c>
      <c r="B7" s="3"/>
      <c r="C7" s="3"/>
      <c r="D7" s="3"/>
      <c r="E7" s="3"/>
      <c r="F7" s="6" t="e">
        <f>ROUND(Tabla1591011121314151679131415[[#This Row],[Número de pacientes hospitalizados antes de 12 horas, Enero a Diciembre 2017]]/Tabla1591011121314151679131415[[#This Row],[Total de pacientes hospitalizados Enero a Diciembre 2017]],4)</f>
        <v>#DIV/0!</v>
      </c>
      <c r="G7" s="6" t="e">
        <f>ROUND(Tabla1591011121314151679131415[[#This Row],[Número de pacientes hospitalizados antes de 12 horas, Enero a Diciembre 2018]]/Tabla1591011121314151679131415[[#This Row],[Total de pacientes hospitalizados Enero a Diciembre 2018]],4)</f>
        <v>#DIV/0!</v>
      </c>
      <c r="H7" s="3" t="s">
        <v>130</v>
      </c>
      <c r="I7" s="6" t="e">
        <f>ROUND(Tabla1591011121314151679131415[[#This Row],[Porcentaje Oportunidad de Hospitalización Enero a Diciembre 2017]],4)</f>
        <v>#DIV/0!</v>
      </c>
      <c r="J7" s="6" t="e">
        <f>ROUND(Tabla1591011121314151679131415[[#This Row],[Porcentaje Oportunidad de Hospitalización Enero a Diciembre 2018]],4)</f>
        <v>#DIV/0!</v>
      </c>
      <c r="K7" s="6" t="e">
        <f>ROUND((Tabla1591011121314151679131415[[#This Row],[Enero a Diciembre 2018]]-Tabla1591011121314151679131415[[#This Row],[Enero a Diciembre 2017]])/Tabla1591011121314151679131415[[#This Row],[Enero a Diciembre 2017]],4)</f>
        <v>#DIV/0!</v>
      </c>
    </row>
    <row r="8" spans="1:11" x14ac:dyDescent="0.25">
      <c r="A8" s="4" t="s">
        <v>131</v>
      </c>
      <c r="B8" s="4"/>
      <c r="C8" s="4"/>
      <c r="D8" s="4"/>
      <c r="E8" s="4"/>
      <c r="F8" s="7" t="e">
        <f>ROUND(Tabla1591011121314151679131415[[#This Row],[Número de pacientes hospitalizados antes de 12 horas, Enero a Diciembre 2017]]/Tabla1591011121314151679131415[[#This Row],[Total de pacientes hospitalizados Enero a Diciembre 2017]],4)</f>
        <v>#DIV/0!</v>
      </c>
      <c r="G8" s="7" t="e">
        <f>ROUND(Tabla1591011121314151679131415[[#This Row],[Número de pacientes hospitalizados antes de 12 horas, Enero a Diciembre 2018]]/Tabla1591011121314151679131415[[#This Row],[Total de pacientes hospitalizados Enero a Diciembre 2018]],4)</f>
        <v>#DIV/0!</v>
      </c>
      <c r="H8" s="4" t="s">
        <v>131</v>
      </c>
      <c r="I8" s="7" t="e">
        <f>ROUND(Tabla1591011121314151679131415[[#This Row],[Porcentaje Oportunidad de Hospitalización Enero a Diciembre 2017]],4)</f>
        <v>#DIV/0!</v>
      </c>
      <c r="J8" s="7" t="e">
        <f>ROUND(Tabla1591011121314151679131415[[#This Row],[Porcentaje Oportunidad de Hospitalización Enero a Diciembre 2018]],4)</f>
        <v>#DIV/0!</v>
      </c>
      <c r="K8" s="7" t="e">
        <f>ROUND((Tabla1591011121314151679131415[[#This Row],[Enero a Diciembre 2018]]-Tabla1591011121314151679131415[[#This Row],[Enero a Diciembre 2017]])/Tabla1591011121314151679131415[[#This Row],[Enero a Diciembre 2017]],4)</f>
        <v>#DIV/0!</v>
      </c>
    </row>
    <row r="9" spans="1:11" x14ac:dyDescent="0.25">
      <c r="A9" s="3" t="s">
        <v>132</v>
      </c>
      <c r="B9" s="3"/>
      <c r="C9" s="3"/>
      <c r="D9" s="3"/>
      <c r="E9" s="3"/>
      <c r="F9" s="6" t="e">
        <f>ROUND(Tabla1591011121314151679131415[[#This Row],[Número de pacientes hospitalizados antes de 12 horas, Enero a Diciembre 2017]]/Tabla1591011121314151679131415[[#This Row],[Total de pacientes hospitalizados Enero a Diciembre 2017]],4)</f>
        <v>#DIV/0!</v>
      </c>
      <c r="G9" s="6" t="e">
        <f>ROUND(Tabla1591011121314151679131415[[#This Row],[Número de pacientes hospitalizados antes de 12 horas, Enero a Diciembre 2018]]/Tabla1591011121314151679131415[[#This Row],[Total de pacientes hospitalizados Enero a Diciembre 2018]],4)</f>
        <v>#DIV/0!</v>
      </c>
      <c r="H9" s="3" t="s">
        <v>132</v>
      </c>
      <c r="I9" s="6" t="e">
        <f>ROUND(Tabla1591011121314151679131415[[#This Row],[Porcentaje Oportunidad de Hospitalización Enero a Diciembre 2017]],4)</f>
        <v>#DIV/0!</v>
      </c>
      <c r="J9" s="6" t="e">
        <f>ROUND(Tabla1591011121314151679131415[[#This Row],[Porcentaje Oportunidad de Hospitalización Enero a Diciembre 2018]],4)</f>
        <v>#DIV/0!</v>
      </c>
      <c r="K9" s="6" t="e">
        <f>ROUND((Tabla1591011121314151679131415[[#This Row],[Enero a Diciembre 2018]]-Tabla1591011121314151679131415[[#This Row],[Enero a Diciembre 2017]])/Tabla1591011121314151679131415[[#This Row],[Enero a Diciembre 2017]],4)</f>
        <v>#DIV/0!</v>
      </c>
    </row>
    <row r="10" spans="1:11" x14ac:dyDescent="0.25">
      <c r="A10" s="4" t="s">
        <v>133</v>
      </c>
      <c r="B10" s="4"/>
      <c r="C10" s="4"/>
      <c r="D10" s="4"/>
      <c r="E10" s="4"/>
      <c r="F10" s="7" t="e">
        <f>ROUND(Tabla1591011121314151679131415[[#This Row],[Número de pacientes hospitalizados antes de 12 horas, Enero a Diciembre 2017]]/Tabla1591011121314151679131415[[#This Row],[Total de pacientes hospitalizados Enero a Diciembre 2017]],4)</f>
        <v>#DIV/0!</v>
      </c>
      <c r="G10" s="7" t="e">
        <f>ROUND(Tabla1591011121314151679131415[[#This Row],[Número de pacientes hospitalizados antes de 12 horas, Enero a Diciembre 2018]]/Tabla1591011121314151679131415[[#This Row],[Total de pacientes hospitalizados Enero a Diciembre 2018]],4)</f>
        <v>#DIV/0!</v>
      </c>
      <c r="H10" s="4" t="s">
        <v>133</v>
      </c>
      <c r="I10" s="7" t="e">
        <f>ROUND(Tabla1591011121314151679131415[[#This Row],[Porcentaje Oportunidad de Hospitalización Enero a Diciembre 2017]],4)</f>
        <v>#DIV/0!</v>
      </c>
      <c r="J10" s="7" t="e">
        <f>ROUND(Tabla1591011121314151679131415[[#This Row],[Porcentaje Oportunidad de Hospitalización Enero a Diciembre 2018]],4)</f>
        <v>#DIV/0!</v>
      </c>
      <c r="K10" s="7" t="e">
        <f>ROUND((Tabla1591011121314151679131415[[#This Row],[Enero a Diciembre 2018]]-Tabla1591011121314151679131415[[#This Row],[Enero a Diciembre 2017]])/Tabla1591011121314151679131415[[#This Row],[Enero a Diciembre 2017]],4)</f>
        <v>#DIV/0!</v>
      </c>
    </row>
    <row r="11" spans="1:11" x14ac:dyDescent="0.25">
      <c r="A11" s="3" t="s">
        <v>134</v>
      </c>
      <c r="B11" s="3"/>
      <c r="C11" s="3"/>
      <c r="D11" s="3">
        <v>508</v>
      </c>
      <c r="E11" s="3">
        <v>508</v>
      </c>
      <c r="F11" s="6" t="e">
        <f>ROUND(Tabla1591011121314151679131415[[#This Row],[Número de pacientes hospitalizados antes de 12 horas, Enero a Diciembre 2017]]/Tabla1591011121314151679131415[[#This Row],[Total de pacientes hospitalizados Enero a Diciembre 2017]],4)</f>
        <v>#DIV/0!</v>
      </c>
      <c r="G11" s="6">
        <f>ROUND(Tabla1591011121314151679131415[[#This Row],[Número de pacientes hospitalizados antes de 12 horas, Enero a Diciembre 2018]]/Tabla1591011121314151679131415[[#This Row],[Total de pacientes hospitalizados Enero a Diciembre 2018]],4)</f>
        <v>1</v>
      </c>
      <c r="H11" s="3" t="s">
        <v>134</v>
      </c>
      <c r="I11" s="6" t="e">
        <f>ROUND(Tabla1591011121314151679131415[[#This Row],[Porcentaje Oportunidad de Hospitalización Enero a Diciembre 2017]],4)</f>
        <v>#DIV/0!</v>
      </c>
      <c r="J11" s="6">
        <f>ROUND(Tabla1591011121314151679131415[[#This Row],[Porcentaje Oportunidad de Hospitalización Enero a Diciembre 2018]],4)</f>
        <v>1</v>
      </c>
      <c r="K11" s="6" t="e">
        <f>ROUND((Tabla1591011121314151679131415[[#This Row],[Enero a Diciembre 2018]]-Tabla1591011121314151679131415[[#This Row],[Enero a Diciembre 2017]])/Tabla1591011121314151679131415[[#This Row],[Enero a Diciembre 2017]],4)</f>
        <v>#DIV/0!</v>
      </c>
    </row>
    <row r="12" spans="1:11" x14ac:dyDescent="0.25">
      <c r="A12" s="8" t="s">
        <v>7</v>
      </c>
      <c r="B12" s="8">
        <f>SUBTOTAL(109,B3:B11)</f>
        <v>10697</v>
      </c>
      <c r="C12" s="8">
        <f>SUBTOTAL(109,C3:C11)</f>
        <v>15215</v>
      </c>
      <c r="D12" s="8">
        <f>SUBTOTAL(109,D3:D11)</f>
        <v>9400</v>
      </c>
      <c r="E12" s="8">
        <f>SUBTOTAL(109,E3:E11)</f>
        <v>14411</v>
      </c>
      <c r="F12" s="9">
        <f>ROUND(Tabla1591011121314151679131415[[#This Row],[Número de pacientes hospitalizados antes de 12 horas, Enero a Diciembre 2017]]/Tabla1591011121314151679131415[[#This Row],[Total de pacientes hospitalizados Enero a Diciembre 2017]],4)</f>
        <v>0.70309999999999995</v>
      </c>
      <c r="G12" s="9">
        <f>ROUND(Tabla1591011121314151679131415[[#This Row],[Número de pacientes hospitalizados antes de 12 horas, Enero a Diciembre 2018]]/Tabla1591011121314151679131415[[#This Row],[Total de pacientes hospitalizados Enero a Diciembre 2018]],4)</f>
        <v>0.65229999999999999</v>
      </c>
      <c r="H12" s="8" t="s">
        <v>7</v>
      </c>
      <c r="I12" s="9">
        <f>ROUND(Tabla1591011121314151679131415[[#This Row],[Porcentaje Oportunidad de Hospitalización Enero a Diciembre 2017]],4)</f>
        <v>0.70309999999999995</v>
      </c>
      <c r="J12" s="9">
        <f>ROUND(Tabla1591011121314151679131415[[#This Row],[Porcentaje Oportunidad de Hospitalización Enero a Diciembre 2018]],4)</f>
        <v>0.65229999999999999</v>
      </c>
      <c r="K12" s="9">
        <f>ROUND((Tabla1591011121314151679131415[[#This Row],[Enero a Diciembre 2018]]-Tabla1591011121314151679131415[[#This Row],[Enero a Diciembre 2017]])/Tabla1591011121314151679131415[[#This Row],[Enero a Diciembre 2017]],4)</f>
        <v>-7.2300000000000003E-2</v>
      </c>
    </row>
  </sheetData>
  <mergeCells count="1">
    <mergeCell ref="H1:K1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ColWidth="8.85546875" defaultRowHeight="15" outlineLevelCol="1" x14ac:dyDescent="0.25"/>
  <cols>
    <col min="1" max="1" width="20.140625" customWidth="1" outlineLevel="1"/>
    <col min="2" max="2" width="22.28515625" customWidth="1" outlineLevel="1"/>
    <col min="3" max="5" width="19.28515625" customWidth="1" outlineLevel="1"/>
    <col min="6" max="6" width="20.5703125" customWidth="1" outlineLevel="1"/>
    <col min="7" max="7" width="21" customWidth="1" outlineLevel="1"/>
    <col min="8" max="8" width="22.7109375" customWidth="1"/>
    <col min="9" max="9" width="18.7109375" customWidth="1"/>
    <col min="10" max="10" width="19.28515625" customWidth="1"/>
    <col min="11" max="11" width="15.42578125" customWidth="1"/>
    <col min="12" max="12" width="6.7109375" customWidth="1"/>
  </cols>
  <sheetData>
    <row r="1" spans="1:11" ht="27.75" customHeight="1" x14ac:dyDescent="0.25">
      <c r="H1" s="76" t="s">
        <v>39</v>
      </c>
      <c r="I1" s="76"/>
      <c r="J1" s="76"/>
      <c r="K1" s="76"/>
    </row>
    <row r="2" spans="1:11" ht="41.25" customHeight="1" x14ac:dyDescent="0.25">
      <c r="A2" s="43" t="s">
        <v>31</v>
      </c>
      <c r="B2" s="43" t="s">
        <v>103</v>
      </c>
      <c r="C2" s="43" t="s">
        <v>104</v>
      </c>
      <c r="D2" s="43" t="s">
        <v>105</v>
      </c>
      <c r="E2" s="43" t="s">
        <v>106</v>
      </c>
      <c r="F2" s="43" t="s">
        <v>107</v>
      </c>
      <c r="G2" s="43" t="s">
        <v>108</v>
      </c>
      <c r="H2" s="5" t="s">
        <v>30</v>
      </c>
      <c r="I2" s="2" t="s">
        <v>77</v>
      </c>
      <c r="J2" s="2" t="s">
        <v>78</v>
      </c>
      <c r="K2" s="5" t="s">
        <v>6</v>
      </c>
    </row>
    <row r="3" spans="1:11" x14ac:dyDescent="0.25">
      <c r="A3" s="3" t="s">
        <v>126</v>
      </c>
      <c r="B3" s="3">
        <v>82226</v>
      </c>
      <c r="C3" s="3">
        <v>13127</v>
      </c>
      <c r="D3" s="3">
        <v>85952</v>
      </c>
      <c r="E3" s="3">
        <v>12497</v>
      </c>
      <c r="F3" s="44">
        <f>Tabla159101112131415167913141516[[#This Row],[Total de Días de Estada Enero a Diciembre 2017]]/Tabla159101112131415167913141516[[#This Row],[Total de Egresos Enero a Diciembre 2017]]</f>
        <v>6.2638835986897234</v>
      </c>
      <c r="G3" s="44">
        <f>Tabla159101112131415167913141516[[#This Row],[Total de Días de Estada Enero a Diciembre 2018]]/Tabla159101112131415167913141516[[#This Row],[Total de Egresos Enero a Diciembre 2018]]</f>
        <v>6.8778106745618945</v>
      </c>
      <c r="H3" s="3" t="s">
        <v>126</v>
      </c>
      <c r="I3" s="44">
        <f>ROUND(Tabla159101112131415167913141516[[#This Row],[Promedio de Días de Estada Enero a Diciembre 2017]],2)</f>
        <v>6.26</v>
      </c>
      <c r="J3" s="44">
        <f>ROUND(Tabla159101112131415167913141516[[#This Row],[Promedio de Días de Estada Enero a Diciembre 2018]],2)</f>
        <v>6.88</v>
      </c>
      <c r="K3" s="6">
        <f>ROUND((Tabla159101112131415167913141516[[#This Row],[Enero a Diciembre 2018]]-Tabla159101112131415167913141516[[#This Row],[Enero a Diciembre 2017]])/Tabla159101112131415167913141516[[#This Row],[Enero a Diciembre 2017]],4)</f>
        <v>9.9000000000000005E-2</v>
      </c>
    </row>
    <row r="4" spans="1:11" x14ac:dyDescent="0.25">
      <c r="A4" s="4" t="s">
        <v>127</v>
      </c>
      <c r="B4" s="4">
        <v>89086</v>
      </c>
      <c r="C4" s="4">
        <v>13378</v>
      </c>
      <c r="D4" s="4">
        <v>92813</v>
      </c>
      <c r="E4" s="4">
        <v>13511</v>
      </c>
      <c r="F4" s="45">
        <f>Tabla159101112131415167913141516[[#This Row],[Total de Días de Estada Enero a Diciembre 2017]]/Tabla159101112131415167913141516[[#This Row],[Total de Egresos Enero a Diciembre 2017]]</f>
        <v>6.6591418747196887</v>
      </c>
      <c r="G4" s="45">
        <f>Tabla159101112131415167913141516[[#This Row],[Total de Días de Estada Enero a Diciembre 2018]]/Tabla159101112131415167913141516[[#This Row],[Total de Egresos Enero a Diciembre 2018]]</f>
        <v>6.8694397157871361</v>
      </c>
      <c r="H4" s="4" t="s">
        <v>127</v>
      </c>
      <c r="I4" s="45">
        <f>ROUND(Tabla159101112131415167913141516[[#This Row],[Promedio de Días de Estada Enero a Diciembre 2017]],2)</f>
        <v>6.66</v>
      </c>
      <c r="J4" s="45">
        <f>ROUND(Tabla159101112131415167913141516[[#This Row],[Promedio de Días de Estada Enero a Diciembre 2018]],2)</f>
        <v>6.87</v>
      </c>
      <c r="K4" s="7">
        <f>ROUND((Tabla159101112131415167913141516[[#This Row],[Enero a Diciembre 2018]]-Tabla159101112131415167913141516[[#This Row],[Enero a Diciembre 2017]])/Tabla159101112131415167913141516[[#This Row],[Enero a Diciembre 2017]],4)</f>
        <v>3.15E-2</v>
      </c>
    </row>
    <row r="5" spans="1:11" x14ac:dyDescent="0.25">
      <c r="A5" s="3" t="s">
        <v>128</v>
      </c>
      <c r="B5" s="3">
        <v>51845</v>
      </c>
      <c r="C5" s="3">
        <v>8960</v>
      </c>
      <c r="D5" s="3">
        <v>51393</v>
      </c>
      <c r="E5" s="3">
        <v>8892</v>
      </c>
      <c r="F5" s="44">
        <f>Tabla159101112131415167913141516[[#This Row],[Total de Días de Estada Enero a Diciembre 2017]]/Tabla159101112131415167913141516[[#This Row],[Total de Egresos Enero a Diciembre 2017]]</f>
        <v>5.7862723214285712</v>
      </c>
      <c r="G5" s="44">
        <f>Tabla159101112131415167913141516[[#This Row],[Total de Días de Estada Enero a Diciembre 2018]]/Tabla159101112131415167913141516[[#This Row],[Total de Egresos Enero a Diciembre 2018]]</f>
        <v>5.7796896086369767</v>
      </c>
      <c r="H5" s="3" t="s">
        <v>128</v>
      </c>
      <c r="I5" s="44">
        <f>ROUND(Tabla159101112131415167913141516[[#This Row],[Promedio de Días de Estada Enero a Diciembre 2017]],2)</f>
        <v>5.79</v>
      </c>
      <c r="J5" s="44">
        <f>ROUND(Tabla159101112131415167913141516[[#This Row],[Promedio de Días de Estada Enero a Diciembre 2018]],2)</f>
        <v>5.78</v>
      </c>
      <c r="K5" s="6">
        <f>ROUND((Tabla159101112131415167913141516[[#This Row],[Enero a Diciembre 2018]]-Tabla159101112131415167913141516[[#This Row],[Enero a Diciembre 2017]])/Tabla159101112131415167913141516[[#This Row],[Enero a Diciembre 2017]],4)</f>
        <v>-1.6999999999999999E-3</v>
      </c>
    </row>
    <row r="6" spans="1:11" x14ac:dyDescent="0.25">
      <c r="A6" s="4" t="s">
        <v>129</v>
      </c>
      <c r="B6" s="4">
        <v>8389</v>
      </c>
      <c r="C6" s="4">
        <v>2599</v>
      </c>
      <c r="D6" s="4">
        <v>9162</v>
      </c>
      <c r="E6" s="4">
        <v>2888</v>
      </c>
      <c r="F6" s="45">
        <f>Tabla159101112131415167913141516[[#This Row],[Total de Días de Estada Enero a Diciembre 2017]]/Tabla159101112131415167913141516[[#This Row],[Total de Egresos Enero a Diciembre 2017]]</f>
        <v>3.2277799153520585</v>
      </c>
      <c r="G6" s="45">
        <f>Tabla159101112131415167913141516[[#This Row],[Total de Días de Estada Enero a Diciembre 2018]]/Tabla159101112131415167913141516[[#This Row],[Total de Egresos Enero a Diciembre 2018]]</f>
        <v>3.1724376731301938</v>
      </c>
      <c r="H6" s="4" t="s">
        <v>129</v>
      </c>
      <c r="I6" s="45">
        <f>ROUND(Tabla159101112131415167913141516[[#This Row],[Promedio de Días de Estada Enero a Diciembre 2017]],2)</f>
        <v>3.23</v>
      </c>
      <c r="J6" s="45">
        <f>ROUND(Tabla159101112131415167913141516[[#This Row],[Promedio de Días de Estada Enero a Diciembre 2018]],2)</f>
        <v>3.17</v>
      </c>
      <c r="K6" s="7">
        <f>ROUND((Tabla159101112131415167913141516[[#This Row],[Enero a Diciembre 2018]]-Tabla159101112131415167913141516[[#This Row],[Enero a Diciembre 2017]])/Tabla159101112131415167913141516[[#This Row],[Enero a Diciembre 2017]],4)</f>
        <v>-1.8599999999999998E-2</v>
      </c>
    </row>
    <row r="7" spans="1:11" x14ac:dyDescent="0.25">
      <c r="A7" s="3" t="s">
        <v>130</v>
      </c>
      <c r="B7" s="3">
        <v>5266</v>
      </c>
      <c r="C7" s="3">
        <v>869</v>
      </c>
      <c r="D7" s="3">
        <v>3732</v>
      </c>
      <c r="E7" s="3">
        <v>794</v>
      </c>
      <c r="F7" s="44">
        <f>Tabla159101112131415167913141516[[#This Row],[Total de Días de Estada Enero a Diciembre 2017]]/Tabla159101112131415167913141516[[#This Row],[Total de Egresos Enero a Diciembre 2017]]</f>
        <v>6.0598388952819331</v>
      </c>
      <c r="G7" s="44">
        <f>Tabla159101112131415167913141516[[#This Row],[Total de Días de Estada Enero a Diciembre 2018]]/Tabla159101112131415167913141516[[#This Row],[Total de Egresos Enero a Diciembre 2018]]</f>
        <v>4.7002518891687659</v>
      </c>
      <c r="H7" s="3" t="s">
        <v>130</v>
      </c>
      <c r="I7" s="44">
        <f>ROUND(Tabla159101112131415167913141516[[#This Row],[Promedio de Días de Estada Enero a Diciembre 2017]],2)</f>
        <v>6.06</v>
      </c>
      <c r="J7" s="44">
        <f>ROUND(Tabla159101112131415167913141516[[#This Row],[Promedio de Días de Estada Enero a Diciembre 2018]],2)</f>
        <v>4.7</v>
      </c>
      <c r="K7" s="6">
        <f>ROUND((Tabla159101112131415167913141516[[#This Row],[Enero a Diciembre 2018]]-Tabla159101112131415167913141516[[#This Row],[Enero a Diciembre 2017]])/Tabla159101112131415167913141516[[#This Row],[Enero a Diciembre 2017]],4)</f>
        <v>-0.22439999999999999</v>
      </c>
    </row>
    <row r="8" spans="1:11" x14ac:dyDescent="0.25">
      <c r="A8" s="4" t="s">
        <v>131</v>
      </c>
      <c r="B8" s="4">
        <v>2304</v>
      </c>
      <c r="C8" s="4">
        <v>390</v>
      </c>
      <c r="D8" s="4">
        <v>3325</v>
      </c>
      <c r="E8" s="4">
        <v>343</v>
      </c>
      <c r="F8" s="45">
        <f>Tabla159101112131415167913141516[[#This Row],[Total de Días de Estada Enero a Diciembre 2017]]/Tabla159101112131415167913141516[[#This Row],[Total de Egresos Enero a Diciembre 2017]]</f>
        <v>5.907692307692308</v>
      </c>
      <c r="G8" s="45">
        <f>Tabla159101112131415167913141516[[#This Row],[Total de Días de Estada Enero a Diciembre 2018]]/Tabla159101112131415167913141516[[#This Row],[Total de Egresos Enero a Diciembre 2018]]</f>
        <v>9.6938775510204085</v>
      </c>
      <c r="H8" s="4" t="s">
        <v>131</v>
      </c>
      <c r="I8" s="45">
        <f>ROUND(Tabla159101112131415167913141516[[#This Row],[Promedio de Días de Estada Enero a Diciembre 2017]],2)</f>
        <v>5.91</v>
      </c>
      <c r="J8" s="45">
        <f>ROUND(Tabla159101112131415167913141516[[#This Row],[Promedio de Días de Estada Enero a Diciembre 2018]],2)</f>
        <v>9.69</v>
      </c>
      <c r="K8" s="7">
        <f>ROUND((Tabla159101112131415167913141516[[#This Row],[Enero a Diciembre 2018]]-Tabla159101112131415167913141516[[#This Row],[Enero a Diciembre 2017]])/Tabla159101112131415167913141516[[#This Row],[Enero a Diciembre 2017]],4)</f>
        <v>0.63959999999999995</v>
      </c>
    </row>
    <row r="9" spans="1:11" x14ac:dyDescent="0.25">
      <c r="A9" s="3" t="s">
        <v>132</v>
      </c>
      <c r="B9" s="3">
        <v>2621</v>
      </c>
      <c r="C9" s="3">
        <v>338</v>
      </c>
      <c r="D9" s="3">
        <v>2680</v>
      </c>
      <c r="E9" s="3">
        <v>297</v>
      </c>
      <c r="F9" s="44">
        <f>Tabla159101112131415167913141516[[#This Row],[Total de Días de Estada Enero a Diciembre 2017]]/Tabla159101112131415167913141516[[#This Row],[Total de Egresos Enero a Diciembre 2017]]</f>
        <v>7.7544378698224854</v>
      </c>
      <c r="G9" s="44">
        <f>Tabla159101112131415167913141516[[#This Row],[Total de Días de Estada Enero a Diciembre 2018]]/Tabla159101112131415167913141516[[#This Row],[Total de Egresos Enero a Diciembre 2018]]</f>
        <v>9.0235690235690242</v>
      </c>
      <c r="H9" s="3" t="s">
        <v>132</v>
      </c>
      <c r="I9" s="44">
        <f>ROUND(Tabla159101112131415167913141516[[#This Row],[Promedio de Días de Estada Enero a Diciembre 2017]],2)</f>
        <v>7.75</v>
      </c>
      <c r="J9" s="44">
        <f>ROUND(Tabla159101112131415167913141516[[#This Row],[Promedio de Días de Estada Enero a Diciembre 2018]],2)</f>
        <v>9.02</v>
      </c>
      <c r="K9" s="6">
        <f>ROUND((Tabla159101112131415167913141516[[#This Row],[Enero a Diciembre 2018]]-Tabla159101112131415167913141516[[#This Row],[Enero a Diciembre 2017]])/Tabla159101112131415167913141516[[#This Row],[Enero a Diciembre 2017]],4)</f>
        <v>0.16389999999999999</v>
      </c>
    </row>
    <row r="10" spans="1:11" x14ac:dyDescent="0.25">
      <c r="A10" s="4" t="s">
        <v>133</v>
      </c>
      <c r="B10" s="4">
        <v>5163</v>
      </c>
      <c r="C10" s="4">
        <v>1068</v>
      </c>
      <c r="D10" s="4">
        <v>4617</v>
      </c>
      <c r="E10" s="4">
        <v>903</v>
      </c>
      <c r="F10" s="45">
        <f>Tabla159101112131415167913141516[[#This Row],[Total de Días de Estada Enero a Diciembre 2017]]/Tabla159101112131415167913141516[[#This Row],[Total de Egresos Enero a Diciembre 2017]]</f>
        <v>4.834269662921348</v>
      </c>
      <c r="G10" s="45">
        <f>Tabla159101112131415167913141516[[#This Row],[Total de Días de Estada Enero a Diciembre 2018]]/Tabla159101112131415167913141516[[#This Row],[Total de Egresos Enero a Diciembre 2018]]</f>
        <v>5.1129568106312293</v>
      </c>
      <c r="H10" s="4" t="s">
        <v>133</v>
      </c>
      <c r="I10" s="45">
        <f>ROUND(Tabla159101112131415167913141516[[#This Row],[Promedio de Días de Estada Enero a Diciembre 2017]],2)</f>
        <v>4.83</v>
      </c>
      <c r="J10" s="45">
        <f>ROUND(Tabla159101112131415167913141516[[#This Row],[Promedio de Días de Estada Enero a Diciembre 2018]],2)</f>
        <v>5.1100000000000003</v>
      </c>
      <c r="K10" s="7">
        <f>ROUND((Tabla159101112131415167913141516[[#This Row],[Enero a Diciembre 2018]]-Tabla159101112131415167913141516[[#This Row],[Enero a Diciembre 2017]])/Tabla159101112131415167913141516[[#This Row],[Enero a Diciembre 2017]],4)</f>
        <v>5.8000000000000003E-2</v>
      </c>
    </row>
    <row r="11" spans="1:11" x14ac:dyDescent="0.25">
      <c r="A11" s="3" t="s">
        <v>134</v>
      </c>
      <c r="B11" s="3">
        <v>5080</v>
      </c>
      <c r="C11" s="3">
        <v>1230</v>
      </c>
      <c r="D11" s="3">
        <v>4702</v>
      </c>
      <c r="E11" s="3">
        <v>829</v>
      </c>
      <c r="F11" s="44">
        <f>Tabla159101112131415167913141516[[#This Row],[Total de Días de Estada Enero a Diciembre 2017]]/Tabla159101112131415167913141516[[#This Row],[Total de Egresos Enero a Diciembre 2017]]</f>
        <v>4.1300813008130079</v>
      </c>
      <c r="G11" s="44">
        <f>Tabla159101112131415167913141516[[#This Row],[Total de Días de Estada Enero a Diciembre 2018]]/Tabla159101112131415167913141516[[#This Row],[Total de Egresos Enero a Diciembre 2018]]</f>
        <v>5.6718938480096499</v>
      </c>
      <c r="H11" s="3" t="s">
        <v>134</v>
      </c>
      <c r="I11" s="44">
        <f>ROUND(Tabla159101112131415167913141516[[#This Row],[Promedio de Días de Estada Enero a Diciembre 2017]],2)</f>
        <v>4.13</v>
      </c>
      <c r="J11" s="44">
        <f>ROUND(Tabla159101112131415167913141516[[#This Row],[Promedio de Días de Estada Enero a Diciembre 2018]],2)</f>
        <v>5.67</v>
      </c>
      <c r="K11" s="6">
        <f>ROUND((Tabla159101112131415167913141516[[#This Row],[Enero a Diciembre 2018]]-Tabla159101112131415167913141516[[#This Row],[Enero a Diciembre 2017]])/Tabla159101112131415167913141516[[#This Row],[Enero a Diciembre 2017]],4)</f>
        <v>0.37290000000000001</v>
      </c>
    </row>
    <row r="12" spans="1:11" x14ac:dyDescent="0.25">
      <c r="A12" s="8" t="s">
        <v>7</v>
      </c>
      <c r="B12" s="8">
        <f>SUBTOTAL(109,B3:B11)</f>
        <v>251980</v>
      </c>
      <c r="C12" s="8">
        <f>SUBTOTAL(109,C3:C11)</f>
        <v>41959</v>
      </c>
      <c r="D12" s="8">
        <f>SUBTOTAL(109,D3:D11)</f>
        <v>258376</v>
      </c>
      <c r="E12" s="8">
        <f>SUBTOTAL(109,E3:E11)</f>
        <v>40954</v>
      </c>
      <c r="F12" s="46">
        <f>Tabla159101112131415167913141516[[#This Row],[Total de Días de Estada Enero a Diciembre 2017]]/Tabla159101112131415167913141516[[#This Row],[Total de Egresos Enero a Diciembre 2017]]</f>
        <v>6.0053862103481972</v>
      </c>
      <c r="G12" s="46">
        <f>Tabla159101112131415167913141516[[#This Row],[Total de Días de Estada Enero a Diciembre 2018]]/Tabla159101112131415167913141516[[#This Row],[Total de Egresos Enero a Diciembre 2018]]</f>
        <v>6.3089319724569028</v>
      </c>
      <c r="H12" s="8" t="s">
        <v>7</v>
      </c>
      <c r="I12" s="46">
        <f>ROUND(Tabla159101112131415167913141516[[#This Row],[Promedio de Días de Estada Enero a Diciembre 2017]],2)</f>
        <v>6.01</v>
      </c>
      <c r="J12" s="46">
        <f>ROUND(Tabla159101112131415167913141516[[#This Row],[Promedio de Días de Estada Enero a Diciembre 2018]],2)</f>
        <v>6.31</v>
      </c>
      <c r="K12" s="9">
        <f>ROUND((Tabla159101112131415167913141516[[#This Row],[Enero a Diciembre 2018]]-Tabla159101112131415167913141516[[#This Row],[Enero a Diciembre 2017]])/Tabla159101112131415167913141516[[#This Row],[Enero a Diciembre 2017]],4)</f>
        <v>4.99E-2</v>
      </c>
    </row>
  </sheetData>
  <mergeCells count="1">
    <mergeCell ref="H1:K1"/>
  </mergeCell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/>
  </sheetViews>
  <sheetFormatPr baseColWidth="10" defaultRowHeight="15" x14ac:dyDescent="0.25"/>
  <cols>
    <col min="1" max="1" width="35.7109375" customWidth="1"/>
    <col min="2" max="2" width="17.85546875" customWidth="1"/>
    <col min="3" max="3" width="17" customWidth="1"/>
    <col min="4" max="6" width="16.5703125" customWidth="1"/>
    <col min="7" max="7" width="13.140625" customWidth="1"/>
  </cols>
  <sheetData>
    <row r="1" spans="1:11" ht="42" customHeight="1" x14ac:dyDescent="0.25">
      <c r="A1" s="65" t="s">
        <v>50</v>
      </c>
      <c r="B1" s="77" t="s">
        <v>66</v>
      </c>
      <c r="C1" s="77"/>
      <c r="D1" s="65" t="s">
        <v>51</v>
      </c>
      <c r="E1" s="65" t="s">
        <v>52</v>
      </c>
      <c r="F1" s="65" t="s">
        <v>53</v>
      </c>
      <c r="G1" s="19"/>
      <c r="H1" s="19"/>
    </row>
    <row r="2" spans="1:11" ht="33.6" customHeight="1" x14ac:dyDescent="0.25">
      <c r="A2" s="53" t="s">
        <v>18</v>
      </c>
      <c r="B2" s="78">
        <f>'T12'!B12</f>
        <v>101368</v>
      </c>
      <c r="C2" s="78"/>
      <c r="D2" s="58">
        <f>'T12'!C12</f>
        <v>47612</v>
      </c>
      <c r="E2" s="58">
        <f>'T12'!D12</f>
        <v>40303</v>
      </c>
      <c r="F2" s="58">
        <f>'T12'!E12</f>
        <v>7309</v>
      </c>
      <c r="G2" s="19"/>
      <c r="H2" s="19"/>
      <c r="K2" s="57"/>
    </row>
    <row r="3" spans="1:11" ht="13.15" customHeight="1" x14ac:dyDescent="0.25">
      <c r="A3" s="19"/>
      <c r="B3" s="19"/>
      <c r="C3" s="19"/>
      <c r="D3" s="19"/>
      <c r="E3" s="19"/>
      <c r="F3" s="19"/>
      <c r="G3" s="19"/>
      <c r="H3" s="19"/>
    </row>
    <row r="4" spans="1:11" ht="25.5" x14ac:dyDescent="0.25">
      <c r="A4" s="1" t="s">
        <v>54</v>
      </c>
      <c r="B4" s="2" t="s">
        <v>59</v>
      </c>
      <c r="C4" s="2" t="s">
        <v>58</v>
      </c>
      <c r="D4" s="2" t="s">
        <v>67</v>
      </c>
      <c r="E4" s="2" t="s">
        <v>69</v>
      </c>
      <c r="F4" s="2" t="s">
        <v>121</v>
      </c>
      <c r="G4" s="16" t="s">
        <v>60</v>
      </c>
      <c r="H4" s="19"/>
    </row>
    <row r="5" spans="1:11" x14ac:dyDescent="0.25">
      <c r="A5" s="14" t="s">
        <v>0</v>
      </c>
      <c r="B5" s="14">
        <f>'T13'!B2+'T14'!B2+'T15'!B2+'T16'!B2+'T17'!B2+'17.1'!B2+'17.2'!B2+'17.3'!B2+'17.4'!B2+'17.5'!B2</f>
        <v>120000</v>
      </c>
      <c r="C5" s="14">
        <f>'T13'!C2+'T14'!C2+'T15'!C2+'T16'!C2+'T17'!C2+'17.1'!C2+'17.2'!C2+'17.3'!C2+'17.4'!C2+'17.5'!C2</f>
        <v>20000</v>
      </c>
      <c r="D5" s="14">
        <f>'T13'!D2+'T14'!D2+'T15'!D2+'T16'!D2+'T17'!D2+'17.1'!D2+'17.2'!D2+'17.3'!D2+'17.4'!D2+'17.5'!D2</f>
        <v>20000</v>
      </c>
      <c r="E5" s="14">
        <f>'T13'!E2+'T14'!E2+'T15'!E2+'T16'!E2+'T17'!E2+'17.1'!E2+'17.2'!E2+'17.3'!E2+'17.4'!E2+'17.5'!E2</f>
        <v>21000</v>
      </c>
      <c r="F5" s="14">
        <f>SUM('T13'!F2:H2,'T14'!F2:H2,'T15'!F2:H2,'T16'!F2:H2,'T17'!F2:H2,'17.1'!F2:H2,'17.2'!F2:H2,'17.3'!F2:H2,'17.4'!F2:H2,'17.5'!F2:H2)</f>
        <v>41000</v>
      </c>
      <c r="G5" s="70">
        <f>+'T13'!I2+'T14'!I2+'T15'!I2+'T16'!I2+'T17'!I2+'17.1'!I2+'17.2'!I2+'17.3'!I2+'17.4'!I2+'17.5'!I2</f>
        <v>102000</v>
      </c>
      <c r="H5" s="19"/>
    </row>
    <row r="6" spans="1:11" ht="25.5" x14ac:dyDescent="0.25">
      <c r="A6" s="14" t="s">
        <v>1</v>
      </c>
      <c r="B6" s="14">
        <f>'T13'!B3+'T14'!B3+'T15'!B3+'T16'!B3+'T17'!B3+'17.1'!B3+'17.2'!B3+'17.3'!B3+'17.4'!B3+'17.5'!B3</f>
        <v>120000</v>
      </c>
      <c r="C6" s="14">
        <f>'T13'!C3+'T14'!C3+'T15'!C3+'T16'!C3+'T17'!C3</f>
        <v>10000</v>
      </c>
      <c r="D6" s="14">
        <f>'T13'!D3+'T14'!D3+'T15'!D3+'T16'!D3+'T17'!D3</f>
        <v>10000</v>
      </c>
      <c r="E6" s="14">
        <f>'T13'!E3+'T14'!E3+'T15'!E3+'T16'!E3+'T17'!E3</f>
        <v>10500</v>
      </c>
      <c r="F6" s="14">
        <f>SUM('T13'!F3:H3,'T14'!F3:H3,'T15'!F3:H3,'T16'!F3:H3,'T17'!F3:H3,'17.1'!F3:H3,'17.2'!F3:H3,'17.3'!F3:H3,'17.4'!F3:H3,'17.5'!F3:H3)</f>
        <v>41000</v>
      </c>
      <c r="G6" s="71">
        <f>+'T13'!I3+'T14'!I3+'T15'!I3+'T16'!I3+'T17'!I3+'17.1'!I3+'17.2'!I3+'17.3'!I3+'17.4'!I3+'17.5'!I3</f>
        <v>102000</v>
      </c>
      <c r="H6" s="19"/>
    </row>
    <row r="7" spans="1:11" ht="38.25" x14ac:dyDescent="0.25">
      <c r="A7" s="14" t="s">
        <v>2</v>
      </c>
      <c r="B7" s="14">
        <f>'T13'!B4+'T14'!B4+'T15'!B4+'T16'!B4+'T17'!B4+'17.1'!B4+'17.2'!B4+'17.3'!B4+'17.4'!B4+'17.5'!B4</f>
        <v>120000</v>
      </c>
      <c r="C7" s="14">
        <f>'T13'!C4+'T14'!C4+'T15'!C4+'T16'!C4+'T17'!C4</f>
        <v>10000</v>
      </c>
      <c r="D7" s="14">
        <f>'T13'!D4+'T14'!D4+'T15'!D4+'T16'!D4+'T17'!D4</f>
        <v>10000</v>
      </c>
      <c r="E7" s="14">
        <f>'T13'!E4+'T14'!E4+'T15'!E4+'T16'!E4+'T17'!E4</f>
        <v>10500</v>
      </c>
      <c r="F7" s="14">
        <f>SUM('T13'!F4:H4,'T14'!F4:H4,'T15'!F4:H4,'T16'!F4:H4,'T17'!F4:H4,'17.1'!F4:H4,'17.2'!F4:H4,'17.3'!F4:H4,'17.4'!F4:H4,'17.5'!F4:H4)</f>
        <v>41000</v>
      </c>
      <c r="G7" s="71">
        <f>+'T13'!I4+'T14'!I4+'T15'!I4+'T16'!I4+'T17'!I4+'17.1'!I4+'17.2'!I4+'17.3'!I4+'17.4'!I4+'17.5'!I4</f>
        <v>102000</v>
      </c>
      <c r="H7" s="19"/>
    </row>
    <row r="8" spans="1:11" ht="25.5" x14ac:dyDescent="0.25">
      <c r="A8" s="14" t="s">
        <v>3</v>
      </c>
      <c r="B8" s="14">
        <f>'T13'!B5+'T14'!B5+'T15'!B5+'T16'!B5+'T17'!B5+'17.1'!B5+'17.2'!B5+'17.3'!B5+'17.4'!B5+'17.5'!B5</f>
        <v>120000</v>
      </c>
      <c r="C8" s="14">
        <f>'T13'!C5+'T14'!C5+'T15'!C5+'T16'!C5+'T17'!C5</f>
        <v>10000</v>
      </c>
      <c r="D8" s="14">
        <f>'T13'!D5+'T14'!D5+'T15'!D5+'T16'!D5+'T17'!D5</f>
        <v>10000</v>
      </c>
      <c r="E8" s="14">
        <f>'T13'!E5+'T14'!E5+'T15'!E5+'T16'!E5+'T17'!E5</f>
        <v>10500</v>
      </c>
      <c r="F8" s="14">
        <f>SUM('T13'!F5:H5,'T14'!F5:H5,'T15'!F5:H5,'T16'!F5:H5,'T17'!F5:H5,'17.1'!F5:H5,'17.2'!F5:H5,'17.3'!F5:H5,'17.4'!F5:H5,'17.5'!F5:H5)</f>
        <v>41000</v>
      </c>
      <c r="G8" s="71">
        <f>+'T13'!I5+'T14'!I5+'T15'!I5+'T16'!I5+'T17'!I5+'17.1'!I5+'17.2'!I5+'17.3'!I5+'17.4'!I5+'17.5'!I5</f>
        <v>102000</v>
      </c>
      <c r="H8" s="19"/>
    </row>
    <row r="9" spans="1:11" x14ac:dyDescent="0.25">
      <c r="A9" s="14" t="s">
        <v>4</v>
      </c>
      <c r="B9" s="14">
        <f>'T13'!B6+'T14'!B6+'T15'!B6+'T16'!B6+'T17'!B6+'17.1'!B6+'17.2'!B6+'17.3'!B6+'17.4'!B6+'17.5'!B6</f>
        <v>120000</v>
      </c>
      <c r="C9" s="14">
        <f>'T13'!C6+'T14'!C6+'T15'!C6+'T16'!C6+'T17'!C6</f>
        <v>10000</v>
      </c>
      <c r="D9" s="14">
        <f>'T13'!D6+'T14'!D6+'T15'!D6+'T16'!D6+'T17'!D6</f>
        <v>10000</v>
      </c>
      <c r="E9" s="14">
        <f>'T13'!E6+'T14'!E6+'T15'!E6+'T16'!E6+'T17'!E6</f>
        <v>10500</v>
      </c>
      <c r="F9" s="14">
        <f>SUM('T13'!F6:H6,'T14'!F6:H6,'T15'!F6:H6,'T16'!F6:H6,'T17'!F6:H6,'17.1'!F6:H6,'17.2'!F6:H6,'17.3'!F6:H6,'17.4'!F6:H6,'17.5'!F6:H6)</f>
        <v>3300</v>
      </c>
      <c r="G9" s="71">
        <f>+'T13'!I6+'T14'!I6+'T15'!I6+'T16'!I6+'T17'!I6+'17.1'!I6+'17.2'!I6+'17.3'!I6+'17.4'!I6+'17.5'!I6</f>
        <v>64300</v>
      </c>
      <c r="H9" s="19"/>
    </row>
    <row r="10" spans="1:11" x14ac:dyDescent="0.25">
      <c r="A10" s="14" t="s">
        <v>10</v>
      </c>
      <c r="B10" s="14">
        <f>'T13'!B7+'T14'!B7+'T15'!B7+'T16'!B7+'T17'!B7+'17.1'!B7+'17.2'!B7+'17.3'!B7+'17.4'!B7+'17.5'!B7</f>
        <v>120000</v>
      </c>
      <c r="C10" s="14">
        <f>'T13'!C7+'T14'!C7+'T15'!C7+'T16'!C7+'T17'!C7</f>
        <v>10000</v>
      </c>
      <c r="D10" s="14">
        <f>'T13'!D7+'T14'!D7+'T15'!D7+'T16'!D7+'T17'!D7</f>
        <v>10000</v>
      </c>
      <c r="E10" s="14">
        <f>'T13'!E7+'T14'!E7+'T15'!E7+'T16'!E7+'T17'!E7</f>
        <v>10500</v>
      </c>
      <c r="F10" s="14">
        <f>SUM('T13'!F7:H7,'T14'!F7:H7,'T15'!F7:H7,'T16'!F7:H7,'T17'!F7:H7,'17.1'!F7:H7,'17.2'!F7:H7,'17.3'!F7:H7,'17.4'!F7:H7,'17.5'!F7:H7)</f>
        <v>1530</v>
      </c>
      <c r="G10" s="71">
        <f>+'T13'!I7+'T14'!I7+'T15'!I7+'T16'!I7+'T17'!I7+'17.1'!I7+'17.2'!I7+'17.3'!I7+'17.4'!I7+'17.5'!I7</f>
        <v>62530</v>
      </c>
      <c r="H10" s="19"/>
    </row>
    <row r="11" spans="1:11" ht="25.5" x14ac:dyDescent="0.25">
      <c r="A11" s="14" t="s">
        <v>49</v>
      </c>
      <c r="B11" s="14">
        <f>'T13'!B8+'T14'!B8+'T15'!B8+'T16'!B8+'T17'!B8+'17.1'!B8+'17.2'!B8+'17.3'!B8+'17.4'!B8+'17.5'!B8</f>
        <v>120000</v>
      </c>
      <c r="C11" s="14">
        <f>'T13'!C8+'T14'!C8+'T15'!C8+'T16'!C8+'T17'!C8</f>
        <v>10000</v>
      </c>
      <c r="D11" s="14">
        <f>'T13'!D8+'T14'!D8+'T15'!D8+'T16'!D8+'T17'!D8</f>
        <v>10000</v>
      </c>
      <c r="E11" s="14">
        <f>'T13'!E8+'T14'!E8+'T15'!E8+'T16'!E8+'T17'!E8</f>
        <v>10500</v>
      </c>
      <c r="F11" s="14">
        <f>SUM('T13'!F8:H8,'T14'!F8:H8,'T15'!F8:H8,'T16'!F8:H8,'T17'!F8:H8,'17.1'!F8:H8,'17.2'!F8:H8,'17.3'!F8:H8,'17.4'!F8:H8,'17.5'!F8:H8)</f>
        <v>41000</v>
      </c>
      <c r="G11" s="71">
        <f>+'T13'!I8+'T14'!I8+'T15'!I8+'T16'!I8+'T17'!I8+'17.1'!I8+'17.2'!I8+'17.3'!I8+'17.4'!I8+'17.5'!I8</f>
        <v>102000</v>
      </c>
      <c r="H11" s="19"/>
    </row>
    <row r="12" spans="1:11" ht="25.5" x14ac:dyDescent="0.25">
      <c r="A12" s="14" t="s">
        <v>8</v>
      </c>
      <c r="B12" s="14">
        <f>'T13'!B9+'T14'!B9+'T15'!B9+'T16'!B9+'T17'!B9+'17.1'!B9+'17.2'!B9+'17.3'!B9+'17.4'!B9+'17.5'!B9</f>
        <v>120000</v>
      </c>
      <c r="C12" s="14">
        <f>'T13'!C9+'T14'!C9+'T15'!C9+'T16'!C9+'T17'!C9</f>
        <v>10000</v>
      </c>
      <c r="D12" s="14">
        <f>'T13'!D9+'T14'!D9+'T15'!D9+'T16'!D9+'T17'!D9</f>
        <v>10000</v>
      </c>
      <c r="E12" s="14">
        <f>'T13'!E9+'T14'!E9+'T15'!E9+'T16'!E9+'T17'!E9</f>
        <v>10500</v>
      </c>
      <c r="F12" s="14">
        <f>SUM('T13'!F9:H9,'T14'!F9:H9,'T15'!F9:H9,'T16'!F9:H9,'T17'!F9:H9,'17.1'!F9:H9,'17.2'!F9:H9,'17.3'!F9:H9,'17.4'!F9:H9,'17.5'!F9:H9)</f>
        <v>41000</v>
      </c>
      <c r="G12" s="71">
        <f>+'T13'!I9+'T14'!I9+'T15'!I9+'T16'!I9+'T17'!I9+'17.1'!I9+'17.2'!I9+'17.3'!I9+'17.4'!I9+'17.5'!I9</f>
        <v>102000</v>
      </c>
      <c r="H12" s="19"/>
    </row>
    <row r="13" spans="1:11" ht="25.5" x14ac:dyDescent="0.25">
      <c r="A13" s="14" t="s">
        <v>9</v>
      </c>
      <c r="B13" s="14">
        <f>'T13'!B10+'T14'!B10+'T15'!B10+'T16'!B10+'T17'!B10+'17.1'!B10+'17.2'!B10+'17.3'!B10+'17.4'!B10+'17.5'!B10</f>
        <v>120000</v>
      </c>
      <c r="C13" s="14">
        <f>'T13'!C10+'T14'!C10+'T15'!C10+'T16'!C10+'T17'!C10</f>
        <v>10000</v>
      </c>
      <c r="D13" s="14">
        <f>'T13'!D10+'T14'!D10+'T15'!D10+'T16'!D10+'T17'!D10</f>
        <v>10000</v>
      </c>
      <c r="E13" s="14">
        <f>'T13'!E10+'T14'!E10+'T15'!E10+'T16'!E10+'T17'!E10</f>
        <v>10500</v>
      </c>
      <c r="F13" s="14">
        <f>SUM('T13'!F10:H10,'T14'!F10:H10,'T15'!F10:H10,'T16'!F10:H10,'T17'!F10:H10,'17.1'!F10:H10,'17.2'!F10:H10,'17.3'!F10:H10,'17.4'!F10:H10,'17.5'!F10:H10)</f>
        <v>41000</v>
      </c>
      <c r="G13" s="71">
        <f>+'T13'!I10+'T14'!I10+'T15'!I10+'T16'!I10+'T17'!I10+'17.1'!I10+'17.2'!I10+'17.3'!I10+'17.4'!I10+'17.5'!I10</f>
        <v>102000</v>
      </c>
      <c r="H13" s="19"/>
    </row>
    <row r="14" spans="1:11" x14ac:dyDescent="0.25">
      <c r="A14" s="14" t="s">
        <v>23</v>
      </c>
      <c r="B14" s="14">
        <f>'T13'!B11+'T14'!B11+'T15'!B11+'T16'!B11+'T17'!B11+'17.1'!B11+'17.2'!B11+'17.3'!B11+'17.4'!B11+'17.5'!B11</f>
        <v>60000</v>
      </c>
      <c r="C14" s="14">
        <f>'T13'!C11+'T14'!C11+'T15'!C11+'T16'!C11+'T17'!C11</f>
        <v>10000</v>
      </c>
      <c r="D14" s="14">
        <f>'T13'!D11+'T14'!D11+'T15'!D11+'T16'!D11+'T17'!D11</f>
        <v>10000</v>
      </c>
      <c r="E14" s="14">
        <f>'T13'!E11+'T14'!E11+'T15'!E11+'T16'!E11+'T17'!E11</f>
        <v>10500</v>
      </c>
      <c r="F14" s="14">
        <f>SUM('T13'!F11:H11,'T14'!F11:H11,'T15'!F11:H11,'T16'!F11:H11,'T17'!F11:H11,'17.1'!F11:H11,'17.2'!F11:H11,'17.3'!F11:H11,'17.4'!F11:H11,'17.5'!F11:H11)</f>
        <v>330</v>
      </c>
      <c r="G14" s="71">
        <f>+'T13'!I11+'T14'!I11+'T15'!I11+'T16'!I11+'T17'!I11+'17.1'!I11+'17.2'!I11+'17.3'!I11+'17.4'!I11+'17.5'!I11</f>
        <v>61330</v>
      </c>
      <c r="H14" s="19"/>
    </row>
    <row r="15" spans="1:11" x14ac:dyDescent="0.25">
      <c r="A15" s="20"/>
      <c r="B15" s="19"/>
      <c r="C15" s="19"/>
      <c r="D15" s="19"/>
      <c r="E15" s="19"/>
      <c r="F15" s="19"/>
      <c r="G15" s="19"/>
      <c r="H15" s="19"/>
    </row>
    <row r="16" spans="1:11" ht="36.6" customHeight="1" x14ac:dyDescent="0.25">
      <c r="A16" s="65" t="s">
        <v>22</v>
      </c>
      <c r="B16" s="65" t="s">
        <v>77</v>
      </c>
      <c r="C16" s="65" t="s">
        <v>78</v>
      </c>
      <c r="D16" s="65" t="s">
        <v>6</v>
      </c>
    </row>
    <row r="17" spans="1:8" ht="33.6" customHeight="1" x14ac:dyDescent="0.25">
      <c r="A17" s="54" t="s">
        <v>12</v>
      </c>
      <c r="B17" s="63">
        <f>T18_!B12</f>
        <v>0.63370000000000004</v>
      </c>
      <c r="C17" s="63">
        <f>T18_!C12</f>
        <v>0.57210000000000005</v>
      </c>
      <c r="D17" s="67">
        <f>T18_!D12</f>
        <v>-9.7199999999999995E-2</v>
      </c>
    </row>
    <row r="18" spans="1:8" ht="37.5" customHeight="1" x14ac:dyDescent="0.25">
      <c r="A18" s="53" t="s">
        <v>11</v>
      </c>
      <c r="B18" s="62">
        <f>T19_!B12</f>
        <v>0.16919999999999999</v>
      </c>
      <c r="C18" s="62">
        <f>T19_!C12</f>
        <v>0.1681</v>
      </c>
      <c r="D18" s="66">
        <f>T19_!D12</f>
        <v>-6.4999999999999997E-3</v>
      </c>
    </row>
    <row r="19" spans="1:8" ht="36" customHeight="1" x14ac:dyDescent="0.25">
      <c r="A19" s="54" t="s">
        <v>57</v>
      </c>
      <c r="B19" s="64">
        <f>'T20'!B12</f>
        <v>14904.754999999997</v>
      </c>
      <c r="C19" s="64">
        <f>'T20'!C12</f>
        <v>16095.236000000001</v>
      </c>
      <c r="D19" s="67">
        <f>'T20'!D12</f>
        <v>7.9899999999999999E-2</v>
      </c>
    </row>
    <row r="20" spans="1:8" x14ac:dyDescent="0.25">
      <c r="A20" s="19"/>
      <c r="B20" s="19"/>
      <c r="C20" s="19"/>
      <c r="D20" s="19"/>
      <c r="E20" s="19"/>
      <c r="F20" s="19"/>
      <c r="G20" s="19"/>
      <c r="H20" s="19"/>
    </row>
  </sheetData>
  <mergeCells count="2">
    <mergeCell ref="B1:C1"/>
    <mergeCell ref="B2:C2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/>
  </sheetViews>
  <sheetFormatPr baseColWidth="10" defaultRowHeight="15" x14ac:dyDescent="0.25"/>
  <cols>
    <col min="1" max="1" width="28.28515625" bestFit="1" customWidth="1"/>
    <col min="2" max="2" width="17" customWidth="1"/>
    <col min="3" max="3" width="16.28515625" customWidth="1"/>
    <col min="4" max="4" width="14.28515625" customWidth="1"/>
  </cols>
  <sheetData>
    <row r="1" spans="1:5" ht="39" thickBot="1" x14ac:dyDescent="0.3">
      <c r="A1" s="15" t="s">
        <v>20</v>
      </c>
      <c r="B1" s="5" t="s">
        <v>61</v>
      </c>
      <c r="C1" s="5" t="s">
        <v>13</v>
      </c>
      <c r="D1" s="5" t="s">
        <v>19</v>
      </c>
      <c r="E1" s="21" t="s">
        <v>14</v>
      </c>
    </row>
    <row r="2" spans="1:5" x14ac:dyDescent="0.25">
      <c r="A2" s="3" t="s">
        <v>21</v>
      </c>
      <c r="B2" s="11">
        <v>8653</v>
      </c>
      <c r="C2" s="11">
        <v>4120</v>
      </c>
      <c r="D2" s="11">
        <v>2905</v>
      </c>
      <c r="E2" s="11">
        <f>Tabla159101112131415161710[[#This Row],[Devengado  (M$)]]-Tabla159101112131415161710[[#This Row],[Pagado (M$)]]</f>
        <v>1215</v>
      </c>
    </row>
    <row r="3" spans="1:5" x14ac:dyDescent="0.25">
      <c r="A3" s="4" t="s">
        <v>126</v>
      </c>
      <c r="B3" s="12">
        <v>7911</v>
      </c>
      <c r="C3" s="12">
        <v>3767</v>
      </c>
      <c r="D3" s="12">
        <v>2650</v>
      </c>
      <c r="E3" s="12">
        <f>Tabla159101112131415161710[[#This Row],[Devengado  (M$)]]-Tabla159101112131415161710[[#This Row],[Pagado (M$)]]</f>
        <v>1117</v>
      </c>
    </row>
    <row r="4" spans="1:5" x14ac:dyDescent="0.25">
      <c r="A4" s="3" t="s">
        <v>127</v>
      </c>
      <c r="B4" s="11">
        <v>7152</v>
      </c>
      <c r="C4" s="11">
        <v>3406</v>
      </c>
      <c r="D4" s="11">
        <v>3301</v>
      </c>
      <c r="E4" s="11">
        <f>Tabla159101112131415161710[[#This Row],[Devengado  (M$)]]-Tabla159101112131415161710[[#This Row],[Pagado (M$)]]</f>
        <v>105</v>
      </c>
    </row>
    <row r="5" spans="1:5" x14ac:dyDescent="0.25">
      <c r="A5" s="4" t="s">
        <v>128</v>
      </c>
      <c r="B5" s="12">
        <v>5362</v>
      </c>
      <c r="C5" s="12">
        <v>2553</v>
      </c>
      <c r="D5" s="12">
        <v>2500</v>
      </c>
      <c r="E5" s="12">
        <f>Tabla159101112131415161710[[#This Row],[Devengado  (M$)]]-Tabla159101112131415161710[[#This Row],[Pagado (M$)]]</f>
        <v>53</v>
      </c>
    </row>
    <row r="6" spans="1:5" x14ac:dyDescent="0.25">
      <c r="A6" s="3" t="s">
        <v>129</v>
      </c>
      <c r="B6" s="11">
        <v>3210</v>
      </c>
      <c r="C6" s="11">
        <v>1529</v>
      </c>
      <c r="D6" s="11">
        <v>1325</v>
      </c>
      <c r="E6" s="11">
        <f>Tabla159101112131415161710[[#This Row],[Devengado  (M$)]]-Tabla159101112131415161710[[#This Row],[Pagado (M$)]]</f>
        <v>204</v>
      </c>
    </row>
    <row r="7" spans="1:5" x14ac:dyDescent="0.25">
      <c r="A7" s="4" t="s">
        <v>130</v>
      </c>
      <c r="B7" s="12">
        <v>3000</v>
      </c>
      <c r="C7" s="12">
        <v>1429</v>
      </c>
      <c r="D7" s="12">
        <v>1101</v>
      </c>
      <c r="E7" s="12">
        <f>Tabla159101112131415161710[[#This Row],[Devengado  (M$)]]-Tabla159101112131415161710[[#This Row],[Pagado (M$)]]</f>
        <v>328</v>
      </c>
    </row>
    <row r="8" spans="1:5" x14ac:dyDescent="0.25">
      <c r="A8" s="3" t="s">
        <v>131</v>
      </c>
      <c r="B8" s="11">
        <v>15000</v>
      </c>
      <c r="C8" s="11">
        <v>7143</v>
      </c>
      <c r="D8" s="11">
        <v>5936</v>
      </c>
      <c r="E8" s="11">
        <f>Tabla159101112131415161710[[#This Row],[Devengado  (M$)]]-Tabla159101112131415161710[[#This Row],[Pagado (M$)]]</f>
        <v>1207</v>
      </c>
    </row>
    <row r="9" spans="1:5" x14ac:dyDescent="0.25">
      <c r="A9" s="4" t="s">
        <v>132</v>
      </c>
      <c r="B9" s="12">
        <v>25000</v>
      </c>
      <c r="C9" s="12">
        <v>11905</v>
      </c>
      <c r="D9" s="12">
        <v>10525</v>
      </c>
      <c r="E9" s="12">
        <f>Tabla159101112131415161710[[#This Row],[Devengado  (M$)]]-Tabla159101112131415161710[[#This Row],[Pagado (M$)]]</f>
        <v>1380</v>
      </c>
    </row>
    <row r="10" spans="1:5" x14ac:dyDescent="0.25">
      <c r="A10" s="3" t="s">
        <v>133</v>
      </c>
      <c r="B10" s="11">
        <v>23555</v>
      </c>
      <c r="C10" s="11">
        <v>10500</v>
      </c>
      <c r="D10" s="11">
        <v>9200</v>
      </c>
      <c r="E10" s="11">
        <f>Tabla159101112131415161710[[#This Row],[Devengado  (M$)]]-Tabla159101112131415161710[[#This Row],[Pagado (M$)]]</f>
        <v>1300</v>
      </c>
    </row>
    <row r="11" spans="1:5" x14ac:dyDescent="0.25">
      <c r="A11" s="4" t="s">
        <v>134</v>
      </c>
      <c r="B11" s="12">
        <v>2525</v>
      </c>
      <c r="C11" s="12">
        <v>1260</v>
      </c>
      <c r="D11" s="12">
        <v>860</v>
      </c>
      <c r="E11" s="12">
        <f>Tabla159101112131415161710[[#This Row],[Devengado  (M$)]]-Tabla159101112131415161710[[#This Row],[Pagado (M$)]]</f>
        <v>400</v>
      </c>
    </row>
    <row r="12" spans="1:5" x14ac:dyDescent="0.25">
      <c r="A12" s="8" t="s">
        <v>7</v>
      </c>
      <c r="B12" s="13">
        <f>SUBTOTAL(109,B2:B11)</f>
        <v>101368</v>
      </c>
      <c r="C12" s="13">
        <f t="shared" ref="C12:E12" si="0">SUBTOTAL(109,C2:C11)</f>
        <v>47612</v>
      </c>
      <c r="D12" s="13">
        <f t="shared" si="0"/>
        <v>40303</v>
      </c>
      <c r="E12" s="13">
        <f t="shared" si="0"/>
        <v>7309</v>
      </c>
    </row>
  </sheetData>
  <pageMargins left="0.7" right="0.7" top="0.75" bottom="0.75" header="0.3" footer="0.3"/>
  <ignoredErrors>
    <ignoredError sqref="D12 D2:D9 D10:D11" calculatedColumn="1"/>
  </ignoredErrors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="115" zoomScaleNormal="115" workbookViewId="0"/>
  </sheetViews>
  <sheetFormatPr baseColWidth="10" defaultRowHeight="15" x14ac:dyDescent="0.25"/>
  <cols>
    <col min="1" max="1" width="24.140625" customWidth="1"/>
    <col min="2" max="2" width="12.5703125" customWidth="1"/>
    <col min="3" max="5" width="11.85546875" customWidth="1"/>
    <col min="6" max="6" width="8.42578125" style="22" customWidth="1"/>
    <col min="7" max="8" width="10.28515625" style="22" customWidth="1"/>
    <col min="9" max="9" width="11.140625" style="22" customWidth="1"/>
  </cols>
  <sheetData>
    <row r="1" spans="1:9" ht="28.9" customHeight="1" x14ac:dyDescent="0.25">
      <c r="A1" s="24" t="s">
        <v>25</v>
      </c>
      <c r="B1" s="23" t="s">
        <v>62</v>
      </c>
      <c r="C1" s="23" t="s">
        <v>58</v>
      </c>
      <c r="D1" s="23" t="s">
        <v>70</v>
      </c>
      <c r="E1" s="23" t="s">
        <v>122</v>
      </c>
      <c r="F1" s="23" t="s">
        <v>123</v>
      </c>
      <c r="G1" s="23" t="s">
        <v>124</v>
      </c>
      <c r="H1" s="23" t="s">
        <v>125</v>
      </c>
      <c r="I1" s="23" t="s">
        <v>63</v>
      </c>
    </row>
    <row r="2" spans="1:9" ht="22.9" customHeight="1" x14ac:dyDescent="0.25">
      <c r="A2" s="25" t="s">
        <v>0</v>
      </c>
      <c r="B2" s="29">
        <v>12000</v>
      </c>
      <c r="C2" s="29">
        <v>2000</v>
      </c>
      <c r="D2" s="29">
        <v>2000</v>
      </c>
      <c r="E2" s="29">
        <v>2100</v>
      </c>
      <c r="F2" s="29">
        <v>1100</v>
      </c>
      <c r="G2" s="29">
        <v>1000</v>
      </c>
      <c r="H2" s="29">
        <v>2000</v>
      </c>
      <c r="I2" s="69">
        <f>SUM(C2:H2)</f>
        <v>10200</v>
      </c>
    </row>
    <row r="3" spans="1:9" ht="36" x14ac:dyDescent="0.25">
      <c r="A3" s="26" t="s">
        <v>1</v>
      </c>
      <c r="B3" s="30">
        <v>12000</v>
      </c>
      <c r="C3" s="30">
        <v>2000</v>
      </c>
      <c r="D3" s="30">
        <v>2000</v>
      </c>
      <c r="E3" s="30">
        <v>2100</v>
      </c>
      <c r="F3" s="30">
        <v>1100</v>
      </c>
      <c r="G3" s="30">
        <v>1000</v>
      </c>
      <c r="H3" s="30">
        <v>2000</v>
      </c>
      <c r="I3" s="31">
        <f t="shared" ref="I3:I11" si="0">SUM(C3:H3)</f>
        <v>10200</v>
      </c>
    </row>
    <row r="4" spans="1:9" ht="48" x14ac:dyDescent="0.25">
      <c r="A4" s="27" t="s">
        <v>2</v>
      </c>
      <c r="B4" s="32">
        <v>12000</v>
      </c>
      <c r="C4" s="32">
        <v>2000</v>
      </c>
      <c r="D4" s="32">
        <v>2000</v>
      </c>
      <c r="E4" s="32">
        <v>2100</v>
      </c>
      <c r="F4" s="32">
        <v>1100</v>
      </c>
      <c r="G4" s="32">
        <v>1000</v>
      </c>
      <c r="H4" s="32">
        <v>2000</v>
      </c>
      <c r="I4" s="33">
        <f t="shared" si="0"/>
        <v>10200</v>
      </c>
    </row>
    <row r="5" spans="1:9" ht="30" customHeight="1" x14ac:dyDescent="0.25">
      <c r="A5" s="26" t="s">
        <v>3</v>
      </c>
      <c r="B5" s="30">
        <v>12000</v>
      </c>
      <c r="C5" s="30">
        <v>2000</v>
      </c>
      <c r="D5" s="30">
        <v>2000</v>
      </c>
      <c r="E5" s="30">
        <v>2100</v>
      </c>
      <c r="F5" s="30">
        <v>1100</v>
      </c>
      <c r="G5" s="30">
        <v>1000</v>
      </c>
      <c r="H5" s="30">
        <v>2000</v>
      </c>
      <c r="I5" s="31">
        <f t="shared" si="0"/>
        <v>10200</v>
      </c>
    </row>
    <row r="6" spans="1:9" ht="24" customHeight="1" x14ac:dyDescent="0.25">
      <c r="A6" s="27" t="s">
        <v>4</v>
      </c>
      <c r="B6" s="32">
        <v>12000</v>
      </c>
      <c r="C6" s="32">
        <v>2000</v>
      </c>
      <c r="D6" s="32">
        <v>2000</v>
      </c>
      <c r="E6" s="32">
        <v>2100</v>
      </c>
      <c r="F6" s="32">
        <v>110</v>
      </c>
      <c r="G6" s="32">
        <v>110</v>
      </c>
      <c r="H6" s="32">
        <v>110</v>
      </c>
      <c r="I6" s="33">
        <f t="shared" si="0"/>
        <v>6430</v>
      </c>
    </row>
    <row r="7" spans="1:9" ht="24" customHeight="1" x14ac:dyDescent="0.25">
      <c r="A7" s="26" t="s">
        <v>10</v>
      </c>
      <c r="B7" s="30">
        <v>12000</v>
      </c>
      <c r="C7" s="30">
        <v>2000</v>
      </c>
      <c r="D7" s="30">
        <v>2000</v>
      </c>
      <c r="E7" s="30">
        <v>2100</v>
      </c>
      <c r="F7" s="30">
        <v>51</v>
      </c>
      <c r="G7" s="30">
        <v>51</v>
      </c>
      <c r="H7" s="30">
        <v>51</v>
      </c>
      <c r="I7" s="31">
        <f t="shared" si="0"/>
        <v>6253</v>
      </c>
    </row>
    <row r="8" spans="1:9" ht="36" x14ac:dyDescent="0.25">
      <c r="A8" s="27" t="s">
        <v>5</v>
      </c>
      <c r="B8" s="32">
        <v>12000</v>
      </c>
      <c r="C8" s="32">
        <v>2000</v>
      </c>
      <c r="D8" s="32">
        <v>2000</v>
      </c>
      <c r="E8" s="32">
        <v>2100</v>
      </c>
      <c r="F8" s="32">
        <v>1100</v>
      </c>
      <c r="G8" s="32">
        <v>1000</v>
      </c>
      <c r="H8" s="32">
        <v>2000</v>
      </c>
      <c r="I8" s="33">
        <f t="shared" si="0"/>
        <v>10200</v>
      </c>
    </row>
    <row r="9" spans="1:9" ht="30" customHeight="1" x14ac:dyDescent="0.25">
      <c r="A9" s="26" t="s">
        <v>8</v>
      </c>
      <c r="B9" s="30">
        <v>12000</v>
      </c>
      <c r="C9" s="30">
        <v>2000</v>
      </c>
      <c r="D9" s="30">
        <v>2000</v>
      </c>
      <c r="E9" s="30">
        <v>2100</v>
      </c>
      <c r="F9" s="30">
        <v>1100</v>
      </c>
      <c r="G9" s="30">
        <v>1000</v>
      </c>
      <c r="H9" s="30">
        <v>2000</v>
      </c>
      <c r="I9" s="31">
        <f t="shared" si="0"/>
        <v>10200</v>
      </c>
    </row>
    <row r="10" spans="1:9" ht="30" customHeight="1" x14ac:dyDescent="0.25">
      <c r="A10" s="27" t="s">
        <v>9</v>
      </c>
      <c r="B10" s="32">
        <v>12000</v>
      </c>
      <c r="C10" s="32">
        <v>2000</v>
      </c>
      <c r="D10" s="32">
        <v>2000</v>
      </c>
      <c r="E10" s="32">
        <v>2100</v>
      </c>
      <c r="F10" s="32">
        <v>1100</v>
      </c>
      <c r="G10" s="32">
        <v>1000</v>
      </c>
      <c r="H10" s="32">
        <v>2000</v>
      </c>
      <c r="I10" s="33">
        <f t="shared" si="0"/>
        <v>10200</v>
      </c>
    </row>
    <row r="11" spans="1:9" ht="24" customHeight="1" x14ac:dyDescent="0.25">
      <c r="A11" s="26" t="s">
        <v>23</v>
      </c>
      <c r="B11" s="30">
        <v>6000</v>
      </c>
      <c r="C11" s="30">
        <v>2000</v>
      </c>
      <c r="D11" s="30">
        <v>2000</v>
      </c>
      <c r="E11" s="30">
        <v>2100</v>
      </c>
      <c r="F11" s="30">
        <v>11</v>
      </c>
      <c r="G11" s="30">
        <v>11</v>
      </c>
      <c r="H11" s="30">
        <v>11</v>
      </c>
      <c r="I11" s="31">
        <f t="shared" si="0"/>
        <v>6133</v>
      </c>
    </row>
    <row r="12" spans="1:9" ht="22.9" customHeight="1" x14ac:dyDescent="0.25">
      <c r="A12" s="28" t="s">
        <v>24</v>
      </c>
      <c r="B12" s="33">
        <f>SUM(B2:B11)</f>
        <v>114000</v>
      </c>
      <c r="C12" s="33">
        <f t="shared" ref="C12:H12" si="1">SUM(C2:C11)</f>
        <v>20000</v>
      </c>
      <c r="D12" s="33">
        <f>SUM(D2:D11)</f>
        <v>20000</v>
      </c>
      <c r="E12" s="33">
        <f>SUM(E2:E11)</f>
        <v>21000</v>
      </c>
      <c r="F12" s="33">
        <f t="shared" si="1"/>
        <v>7872</v>
      </c>
      <c r="G12" s="33">
        <f t="shared" si="1"/>
        <v>7172</v>
      </c>
      <c r="H12" s="33">
        <f t="shared" si="1"/>
        <v>14172</v>
      </c>
      <c r="I12" s="33">
        <f>SUM(I2:I11)</f>
        <v>90216</v>
      </c>
    </row>
    <row r="14" spans="1:9" x14ac:dyDescent="0.25">
      <c r="A14" t="s">
        <v>135</v>
      </c>
    </row>
  </sheetData>
  <pageMargins left="0.7" right="0.7" top="0.75" bottom="0.75" header="0.3" footer="0.3"/>
  <ignoredErrors>
    <ignoredError sqref="I3:I11" formulaRange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="115" zoomScaleNormal="115" workbookViewId="0"/>
  </sheetViews>
  <sheetFormatPr baseColWidth="10" defaultRowHeight="15" x14ac:dyDescent="0.25"/>
  <cols>
    <col min="1" max="1" width="24.140625" customWidth="1"/>
    <col min="2" max="2" width="10.140625" bestFit="1" customWidth="1"/>
    <col min="3" max="3" width="10.28515625" bestFit="1" customWidth="1"/>
    <col min="4" max="5" width="10.28515625" customWidth="1"/>
    <col min="6" max="6" width="8.42578125" style="22" customWidth="1"/>
    <col min="7" max="7" width="9.42578125" style="22" customWidth="1"/>
    <col min="8" max="8" width="11.42578125" style="22" customWidth="1"/>
    <col min="9" max="9" width="11.140625" style="22" customWidth="1"/>
  </cols>
  <sheetData>
    <row r="1" spans="1:9" ht="28.9" customHeight="1" x14ac:dyDescent="0.25">
      <c r="A1" s="24" t="s">
        <v>25</v>
      </c>
      <c r="B1" s="23" t="s">
        <v>62</v>
      </c>
      <c r="C1" s="23" t="s">
        <v>58</v>
      </c>
      <c r="D1" s="23" t="s">
        <v>70</v>
      </c>
      <c r="E1" s="23" t="s">
        <v>122</v>
      </c>
      <c r="F1" s="23" t="s">
        <v>123</v>
      </c>
      <c r="G1" s="23" t="s">
        <v>124</v>
      </c>
      <c r="H1" s="23" t="s">
        <v>125</v>
      </c>
      <c r="I1" s="23" t="s">
        <v>63</v>
      </c>
    </row>
    <row r="2" spans="1:9" ht="22.9" customHeight="1" x14ac:dyDescent="0.25">
      <c r="A2" s="25" t="s">
        <v>0</v>
      </c>
      <c r="B2" s="29">
        <v>12000</v>
      </c>
      <c r="C2" s="29">
        <v>2000</v>
      </c>
      <c r="D2" s="29">
        <v>2000</v>
      </c>
      <c r="E2" s="29">
        <v>2100</v>
      </c>
      <c r="F2" s="29">
        <v>1100</v>
      </c>
      <c r="G2" s="29">
        <v>1000</v>
      </c>
      <c r="H2" s="29">
        <v>2000</v>
      </c>
      <c r="I2" s="69">
        <f>SUM(C2:H2)</f>
        <v>10200</v>
      </c>
    </row>
    <row r="3" spans="1:9" ht="36" x14ac:dyDescent="0.25">
      <c r="A3" s="26" t="s">
        <v>1</v>
      </c>
      <c r="B3" s="30">
        <v>12000</v>
      </c>
      <c r="C3" s="30">
        <v>2000</v>
      </c>
      <c r="D3" s="30">
        <v>2000</v>
      </c>
      <c r="E3" s="30">
        <v>2100</v>
      </c>
      <c r="F3" s="30">
        <v>1100</v>
      </c>
      <c r="G3" s="30">
        <v>1000</v>
      </c>
      <c r="H3" s="30">
        <v>2000</v>
      </c>
      <c r="I3" s="31">
        <f t="shared" ref="I3:I11" si="0">SUM(C3:H3)</f>
        <v>10200</v>
      </c>
    </row>
    <row r="4" spans="1:9" ht="48" x14ac:dyDescent="0.25">
      <c r="A4" s="27" t="s">
        <v>2</v>
      </c>
      <c r="B4" s="32">
        <v>12000</v>
      </c>
      <c r="C4" s="32">
        <v>2000</v>
      </c>
      <c r="D4" s="32">
        <v>2000</v>
      </c>
      <c r="E4" s="32">
        <v>2100</v>
      </c>
      <c r="F4" s="32">
        <v>1100</v>
      </c>
      <c r="G4" s="32">
        <v>1000</v>
      </c>
      <c r="H4" s="32">
        <v>2000</v>
      </c>
      <c r="I4" s="33">
        <f t="shared" si="0"/>
        <v>10200</v>
      </c>
    </row>
    <row r="5" spans="1:9" ht="30" customHeight="1" x14ac:dyDescent="0.25">
      <c r="A5" s="26" t="s">
        <v>3</v>
      </c>
      <c r="B5" s="30">
        <v>12000</v>
      </c>
      <c r="C5" s="30">
        <v>2000</v>
      </c>
      <c r="D5" s="30">
        <v>2000</v>
      </c>
      <c r="E5" s="30">
        <v>2100</v>
      </c>
      <c r="F5" s="30">
        <v>1100</v>
      </c>
      <c r="G5" s="30">
        <v>1000</v>
      </c>
      <c r="H5" s="30">
        <v>2000</v>
      </c>
      <c r="I5" s="31">
        <f t="shared" si="0"/>
        <v>10200</v>
      </c>
    </row>
    <row r="6" spans="1:9" ht="24" customHeight="1" x14ac:dyDescent="0.25">
      <c r="A6" s="27" t="s">
        <v>4</v>
      </c>
      <c r="B6" s="32">
        <v>12000</v>
      </c>
      <c r="C6" s="32">
        <v>2000</v>
      </c>
      <c r="D6" s="32">
        <v>2000</v>
      </c>
      <c r="E6" s="32">
        <v>2100</v>
      </c>
      <c r="F6" s="32">
        <v>110</v>
      </c>
      <c r="G6" s="32">
        <v>110</v>
      </c>
      <c r="H6" s="32">
        <v>110</v>
      </c>
      <c r="I6" s="33">
        <f t="shared" si="0"/>
        <v>6430</v>
      </c>
    </row>
    <row r="7" spans="1:9" ht="24" customHeight="1" x14ac:dyDescent="0.25">
      <c r="A7" s="26" t="s">
        <v>10</v>
      </c>
      <c r="B7" s="30">
        <v>12000</v>
      </c>
      <c r="C7" s="30">
        <v>2000</v>
      </c>
      <c r="D7" s="30">
        <v>2000</v>
      </c>
      <c r="E7" s="30">
        <v>2100</v>
      </c>
      <c r="F7" s="30">
        <v>51</v>
      </c>
      <c r="G7" s="30">
        <v>51</v>
      </c>
      <c r="H7" s="30">
        <v>51</v>
      </c>
      <c r="I7" s="31">
        <f t="shared" si="0"/>
        <v>6253</v>
      </c>
    </row>
    <row r="8" spans="1:9" ht="36" x14ac:dyDescent="0.25">
      <c r="A8" s="27" t="s">
        <v>5</v>
      </c>
      <c r="B8" s="32">
        <v>12000</v>
      </c>
      <c r="C8" s="32">
        <v>2000</v>
      </c>
      <c r="D8" s="32">
        <v>2000</v>
      </c>
      <c r="E8" s="32">
        <v>2100</v>
      </c>
      <c r="F8" s="32">
        <v>1100</v>
      </c>
      <c r="G8" s="32">
        <v>1000</v>
      </c>
      <c r="H8" s="32">
        <v>2000</v>
      </c>
      <c r="I8" s="33">
        <f t="shared" si="0"/>
        <v>10200</v>
      </c>
    </row>
    <row r="9" spans="1:9" ht="30" customHeight="1" x14ac:dyDescent="0.25">
      <c r="A9" s="26" t="s">
        <v>8</v>
      </c>
      <c r="B9" s="30">
        <v>12000</v>
      </c>
      <c r="C9" s="30">
        <v>2000</v>
      </c>
      <c r="D9" s="30">
        <v>2000</v>
      </c>
      <c r="E9" s="30">
        <v>2100</v>
      </c>
      <c r="F9" s="30">
        <v>1100</v>
      </c>
      <c r="G9" s="30">
        <v>1000</v>
      </c>
      <c r="H9" s="30">
        <v>2000</v>
      </c>
      <c r="I9" s="31">
        <f t="shared" si="0"/>
        <v>10200</v>
      </c>
    </row>
    <row r="10" spans="1:9" ht="30" customHeight="1" x14ac:dyDescent="0.25">
      <c r="A10" s="27" t="s">
        <v>9</v>
      </c>
      <c r="B10" s="32">
        <v>12000</v>
      </c>
      <c r="C10" s="32">
        <v>2000</v>
      </c>
      <c r="D10" s="32">
        <v>2000</v>
      </c>
      <c r="E10" s="32">
        <v>2100</v>
      </c>
      <c r="F10" s="32">
        <v>1100</v>
      </c>
      <c r="G10" s="32">
        <v>1000</v>
      </c>
      <c r="H10" s="32">
        <v>2000</v>
      </c>
      <c r="I10" s="33">
        <f t="shared" si="0"/>
        <v>10200</v>
      </c>
    </row>
    <row r="11" spans="1:9" ht="24" customHeight="1" x14ac:dyDescent="0.25">
      <c r="A11" s="26" t="s">
        <v>23</v>
      </c>
      <c r="B11" s="30">
        <v>6000</v>
      </c>
      <c r="C11" s="30">
        <v>2000</v>
      </c>
      <c r="D11" s="30">
        <v>2000</v>
      </c>
      <c r="E11" s="30">
        <v>2100</v>
      </c>
      <c r="F11" s="30">
        <v>11</v>
      </c>
      <c r="G11" s="30">
        <v>11</v>
      </c>
      <c r="H11" s="30">
        <v>11</v>
      </c>
      <c r="I11" s="31">
        <f t="shared" si="0"/>
        <v>6133</v>
      </c>
    </row>
    <row r="12" spans="1:9" ht="22.9" customHeight="1" x14ac:dyDescent="0.25">
      <c r="A12" s="28" t="s">
        <v>24</v>
      </c>
      <c r="B12" s="33">
        <f>SUM(B2:B11)</f>
        <v>114000</v>
      </c>
      <c r="C12" s="33">
        <f t="shared" ref="C12:I12" si="1">SUM(C2:C11)</f>
        <v>20000</v>
      </c>
      <c r="D12" s="33">
        <f>SUM(D2:D11)</f>
        <v>20000</v>
      </c>
      <c r="E12" s="33">
        <f>SUM(E2:E11)</f>
        <v>21000</v>
      </c>
      <c r="F12" s="33">
        <f t="shared" ref="F12:H12" si="2">SUM(F2:F11)</f>
        <v>7872</v>
      </c>
      <c r="G12" s="33">
        <f t="shared" si="2"/>
        <v>7172</v>
      </c>
      <c r="H12" s="33">
        <f t="shared" si="2"/>
        <v>14172</v>
      </c>
      <c r="I12" s="33">
        <f t="shared" si="1"/>
        <v>90216</v>
      </c>
    </row>
    <row r="15" spans="1:9" x14ac:dyDescent="0.25">
      <c r="A15" t="s">
        <v>136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="115" zoomScaleNormal="115" workbookViewId="0"/>
  </sheetViews>
  <sheetFormatPr baseColWidth="10" defaultRowHeight="15" x14ac:dyDescent="0.25"/>
  <cols>
    <col min="1" max="1" width="24.140625" customWidth="1"/>
    <col min="2" max="2" width="10.140625" bestFit="1" customWidth="1"/>
    <col min="3" max="5" width="11.85546875" customWidth="1"/>
    <col min="6" max="6" width="8.42578125" style="22" customWidth="1"/>
    <col min="7" max="7" width="9.42578125" style="22" customWidth="1"/>
    <col min="8" max="8" width="10.85546875" style="22" customWidth="1"/>
    <col min="9" max="9" width="11.140625" style="22" customWidth="1"/>
  </cols>
  <sheetData>
    <row r="1" spans="1:9" ht="28.9" customHeight="1" x14ac:dyDescent="0.25">
      <c r="A1" s="24" t="s">
        <v>25</v>
      </c>
      <c r="B1" s="23" t="s">
        <v>62</v>
      </c>
      <c r="C1" s="23" t="s">
        <v>58</v>
      </c>
      <c r="D1" s="23" t="s">
        <v>70</v>
      </c>
      <c r="E1" s="23" t="s">
        <v>122</v>
      </c>
      <c r="F1" s="23" t="s">
        <v>123</v>
      </c>
      <c r="G1" s="23" t="s">
        <v>124</v>
      </c>
      <c r="H1" s="23" t="s">
        <v>125</v>
      </c>
      <c r="I1" s="23" t="s">
        <v>63</v>
      </c>
    </row>
    <row r="2" spans="1:9" ht="22.9" customHeight="1" x14ac:dyDescent="0.25">
      <c r="A2" s="25" t="s">
        <v>0</v>
      </c>
      <c r="B2" s="29">
        <v>12000</v>
      </c>
      <c r="C2" s="29">
        <v>2000</v>
      </c>
      <c r="D2" s="29">
        <v>2000</v>
      </c>
      <c r="E2" s="29">
        <v>2100</v>
      </c>
      <c r="F2" s="29">
        <v>1100</v>
      </c>
      <c r="G2" s="29">
        <v>1000</v>
      </c>
      <c r="H2" s="29">
        <v>2000</v>
      </c>
      <c r="I2" s="69">
        <f>SUM(C2:H2)</f>
        <v>10200</v>
      </c>
    </row>
    <row r="3" spans="1:9" ht="36" x14ac:dyDescent="0.25">
      <c r="A3" s="26" t="s">
        <v>1</v>
      </c>
      <c r="B3" s="30">
        <v>12000</v>
      </c>
      <c r="C3" s="30">
        <v>2000</v>
      </c>
      <c r="D3" s="30">
        <v>2000</v>
      </c>
      <c r="E3" s="30">
        <v>2100</v>
      </c>
      <c r="F3" s="30">
        <v>1100</v>
      </c>
      <c r="G3" s="30">
        <v>1000</v>
      </c>
      <c r="H3" s="30">
        <v>2000</v>
      </c>
      <c r="I3" s="31">
        <f t="shared" ref="I3:I11" si="0">SUM(C3:H3)</f>
        <v>10200</v>
      </c>
    </row>
    <row r="4" spans="1:9" ht="48" x14ac:dyDescent="0.25">
      <c r="A4" s="27" t="s">
        <v>2</v>
      </c>
      <c r="B4" s="32">
        <v>12000</v>
      </c>
      <c r="C4" s="32">
        <v>2000</v>
      </c>
      <c r="D4" s="32">
        <v>2000</v>
      </c>
      <c r="E4" s="32">
        <v>2100</v>
      </c>
      <c r="F4" s="32">
        <v>1100</v>
      </c>
      <c r="G4" s="32">
        <v>1000</v>
      </c>
      <c r="H4" s="32">
        <v>2000</v>
      </c>
      <c r="I4" s="33">
        <f t="shared" si="0"/>
        <v>10200</v>
      </c>
    </row>
    <row r="5" spans="1:9" ht="30" customHeight="1" x14ac:dyDescent="0.25">
      <c r="A5" s="26" t="s">
        <v>3</v>
      </c>
      <c r="B5" s="30">
        <v>12000</v>
      </c>
      <c r="C5" s="30">
        <v>2000</v>
      </c>
      <c r="D5" s="30">
        <v>2000</v>
      </c>
      <c r="E5" s="30">
        <v>2100</v>
      </c>
      <c r="F5" s="30">
        <v>1100</v>
      </c>
      <c r="G5" s="30">
        <v>1000</v>
      </c>
      <c r="H5" s="30">
        <v>2000</v>
      </c>
      <c r="I5" s="31">
        <f t="shared" si="0"/>
        <v>10200</v>
      </c>
    </row>
    <row r="6" spans="1:9" ht="24" customHeight="1" x14ac:dyDescent="0.25">
      <c r="A6" s="27" t="s">
        <v>4</v>
      </c>
      <c r="B6" s="32">
        <v>12000</v>
      </c>
      <c r="C6" s="32">
        <v>2000</v>
      </c>
      <c r="D6" s="32">
        <v>2000</v>
      </c>
      <c r="E6" s="32">
        <v>2100</v>
      </c>
      <c r="F6" s="32">
        <v>110</v>
      </c>
      <c r="G6" s="32">
        <v>110</v>
      </c>
      <c r="H6" s="32">
        <v>110</v>
      </c>
      <c r="I6" s="33">
        <f t="shared" si="0"/>
        <v>6430</v>
      </c>
    </row>
    <row r="7" spans="1:9" ht="24" customHeight="1" x14ac:dyDescent="0.25">
      <c r="A7" s="26" t="s">
        <v>10</v>
      </c>
      <c r="B7" s="30">
        <v>12000</v>
      </c>
      <c r="C7" s="30">
        <v>2000</v>
      </c>
      <c r="D7" s="30">
        <v>2000</v>
      </c>
      <c r="E7" s="30">
        <v>2100</v>
      </c>
      <c r="F7" s="30">
        <v>51</v>
      </c>
      <c r="G7" s="30">
        <v>51</v>
      </c>
      <c r="H7" s="30">
        <v>51</v>
      </c>
      <c r="I7" s="31">
        <f t="shared" si="0"/>
        <v>6253</v>
      </c>
    </row>
    <row r="8" spans="1:9" ht="36" x14ac:dyDescent="0.25">
      <c r="A8" s="27" t="s">
        <v>5</v>
      </c>
      <c r="B8" s="32">
        <v>12000</v>
      </c>
      <c r="C8" s="32">
        <v>2000</v>
      </c>
      <c r="D8" s="32">
        <v>2000</v>
      </c>
      <c r="E8" s="32">
        <v>2100</v>
      </c>
      <c r="F8" s="32">
        <v>1100</v>
      </c>
      <c r="G8" s="32">
        <v>1000</v>
      </c>
      <c r="H8" s="32">
        <v>2000</v>
      </c>
      <c r="I8" s="33">
        <f t="shared" si="0"/>
        <v>10200</v>
      </c>
    </row>
    <row r="9" spans="1:9" ht="30" customHeight="1" x14ac:dyDescent="0.25">
      <c r="A9" s="26" t="s">
        <v>8</v>
      </c>
      <c r="B9" s="30">
        <v>12000</v>
      </c>
      <c r="C9" s="30">
        <v>2000</v>
      </c>
      <c r="D9" s="30">
        <v>2000</v>
      </c>
      <c r="E9" s="30">
        <v>2100</v>
      </c>
      <c r="F9" s="30">
        <v>1100</v>
      </c>
      <c r="G9" s="30">
        <v>1000</v>
      </c>
      <c r="H9" s="30">
        <v>2000</v>
      </c>
      <c r="I9" s="31">
        <f t="shared" si="0"/>
        <v>10200</v>
      </c>
    </row>
    <row r="10" spans="1:9" ht="30" customHeight="1" x14ac:dyDescent="0.25">
      <c r="A10" s="27" t="s">
        <v>9</v>
      </c>
      <c r="B10" s="32">
        <v>12000</v>
      </c>
      <c r="C10" s="32">
        <v>2000</v>
      </c>
      <c r="D10" s="32">
        <v>2000</v>
      </c>
      <c r="E10" s="32">
        <v>2100</v>
      </c>
      <c r="F10" s="32">
        <v>1100</v>
      </c>
      <c r="G10" s="32">
        <v>1000</v>
      </c>
      <c r="H10" s="32">
        <v>2000</v>
      </c>
      <c r="I10" s="33">
        <f t="shared" si="0"/>
        <v>10200</v>
      </c>
    </row>
    <row r="11" spans="1:9" ht="24" customHeight="1" x14ac:dyDescent="0.25">
      <c r="A11" s="26" t="s">
        <v>23</v>
      </c>
      <c r="B11" s="30">
        <v>6000</v>
      </c>
      <c r="C11" s="30">
        <v>2000</v>
      </c>
      <c r="D11" s="30">
        <v>2000</v>
      </c>
      <c r="E11" s="30">
        <v>2100</v>
      </c>
      <c r="F11" s="30">
        <v>11</v>
      </c>
      <c r="G11" s="30">
        <v>11</v>
      </c>
      <c r="H11" s="30">
        <v>11</v>
      </c>
      <c r="I11" s="31">
        <f t="shared" si="0"/>
        <v>6133</v>
      </c>
    </row>
    <row r="12" spans="1:9" ht="22.9" customHeight="1" x14ac:dyDescent="0.25">
      <c r="A12" s="28" t="s">
        <v>24</v>
      </c>
      <c r="B12" s="33">
        <f>SUM(B2:B11)</f>
        <v>114000</v>
      </c>
      <c r="C12" s="33">
        <f t="shared" ref="C12:I12" si="1">SUM(C2:C11)</f>
        <v>20000</v>
      </c>
      <c r="D12" s="33">
        <f>SUM(D2:D11)</f>
        <v>20000</v>
      </c>
      <c r="E12" s="33">
        <f>SUM(E2:E11)</f>
        <v>21000</v>
      </c>
      <c r="F12" s="33">
        <f t="shared" ref="F12:H12" si="2">SUM(F2:F11)</f>
        <v>7872</v>
      </c>
      <c r="G12" s="33">
        <f t="shared" si="2"/>
        <v>7172</v>
      </c>
      <c r="H12" s="33">
        <f t="shared" si="2"/>
        <v>14172</v>
      </c>
      <c r="I12" s="33">
        <f t="shared" si="1"/>
        <v>90216</v>
      </c>
    </row>
    <row r="15" spans="1:9" x14ac:dyDescent="0.25">
      <c r="A15" t="s">
        <v>137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="115" zoomScaleNormal="115" workbookViewId="0"/>
  </sheetViews>
  <sheetFormatPr baseColWidth="10" defaultRowHeight="15" x14ac:dyDescent="0.25"/>
  <cols>
    <col min="1" max="1" width="24.140625" customWidth="1"/>
    <col min="2" max="2" width="11.42578125" customWidth="1"/>
    <col min="3" max="3" width="10.28515625" bestFit="1" customWidth="1"/>
    <col min="4" max="5" width="10.28515625" customWidth="1"/>
    <col min="6" max="6" width="8.42578125" style="22" customWidth="1"/>
    <col min="7" max="7" width="10.140625" style="22" customWidth="1"/>
    <col min="8" max="8" width="11.7109375" style="22" customWidth="1"/>
    <col min="9" max="9" width="11.140625" style="22" customWidth="1"/>
  </cols>
  <sheetData>
    <row r="1" spans="1:9" ht="28.9" customHeight="1" x14ac:dyDescent="0.25">
      <c r="A1" s="24" t="s">
        <v>25</v>
      </c>
      <c r="B1" s="23" t="s">
        <v>62</v>
      </c>
      <c r="C1" s="23" t="s">
        <v>58</v>
      </c>
      <c r="D1" s="23" t="s">
        <v>70</v>
      </c>
      <c r="E1" s="23" t="s">
        <v>122</v>
      </c>
      <c r="F1" s="23" t="s">
        <v>123</v>
      </c>
      <c r="G1" s="23" t="s">
        <v>124</v>
      </c>
      <c r="H1" s="23" t="s">
        <v>125</v>
      </c>
      <c r="I1" s="23" t="s">
        <v>63</v>
      </c>
    </row>
    <row r="2" spans="1:9" ht="22.9" customHeight="1" x14ac:dyDescent="0.25">
      <c r="A2" s="25" t="s">
        <v>0</v>
      </c>
      <c r="B2" s="29">
        <v>12000</v>
      </c>
      <c r="C2" s="29">
        <v>2000</v>
      </c>
      <c r="D2" s="29">
        <v>2000</v>
      </c>
      <c r="E2" s="29">
        <v>2100</v>
      </c>
      <c r="F2" s="29">
        <v>1100</v>
      </c>
      <c r="G2" s="29">
        <v>1000</v>
      </c>
      <c r="H2" s="29">
        <v>2000</v>
      </c>
      <c r="I2" s="69">
        <f>SUM(C2:H2)</f>
        <v>10200</v>
      </c>
    </row>
    <row r="3" spans="1:9" ht="36" x14ac:dyDescent="0.25">
      <c r="A3" s="26" t="s">
        <v>1</v>
      </c>
      <c r="B3" s="30">
        <v>12000</v>
      </c>
      <c r="C3" s="30">
        <v>2000</v>
      </c>
      <c r="D3" s="30">
        <v>2000</v>
      </c>
      <c r="E3" s="30">
        <v>2100</v>
      </c>
      <c r="F3" s="30">
        <v>1100</v>
      </c>
      <c r="G3" s="30">
        <v>1000</v>
      </c>
      <c r="H3" s="30">
        <v>2000</v>
      </c>
      <c r="I3" s="31">
        <f t="shared" ref="I3:I11" si="0">SUM(C3:H3)</f>
        <v>10200</v>
      </c>
    </row>
    <row r="4" spans="1:9" ht="48" x14ac:dyDescent="0.25">
      <c r="A4" s="27" t="s">
        <v>2</v>
      </c>
      <c r="B4" s="32">
        <v>12000</v>
      </c>
      <c r="C4" s="32">
        <v>2000</v>
      </c>
      <c r="D4" s="32">
        <v>2000</v>
      </c>
      <c r="E4" s="32">
        <v>2100</v>
      </c>
      <c r="F4" s="32">
        <v>1100</v>
      </c>
      <c r="G4" s="32">
        <v>1000</v>
      </c>
      <c r="H4" s="32">
        <v>2000</v>
      </c>
      <c r="I4" s="33">
        <f t="shared" si="0"/>
        <v>10200</v>
      </c>
    </row>
    <row r="5" spans="1:9" ht="30" customHeight="1" x14ac:dyDescent="0.25">
      <c r="A5" s="26" t="s">
        <v>3</v>
      </c>
      <c r="B5" s="30">
        <v>12000</v>
      </c>
      <c r="C5" s="30">
        <v>2000</v>
      </c>
      <c r="D5" s="30">
        <v>2000</v>
      </c>
      <c r="E5" s="30">
        <v>2100</v>
      </c>
      <c r="F5" s="30">
        <v>1100</v>
      </c>
      <c r="G5" s="30">
        <v>1000</v>
      </c>
      <c r="H5" s="30">
        <v>2000</v>
      </c>
      <c r="I5" s="31">
        <f t="shared" si="0"/>
        <v>10200</v>
      </c>
    </row>
    <row r="6" spans="1:9" ht="24" customHeight="1" x14ac:dyDescent="0.25">
      <c r="A6" s="27" t="s">
        <v>4</v>
      </c>
      <c r="B6" s="32">
        <v>12000</v>
      </c>
      <c r="C6" s="32">
        <v>2000</v>
      </c>
      <c r="D6" s="32">
        <v>2000</v>
      </c>
      <c r="E6" s="32">
        <v>2100</v>
      </c>
      <c r="F6" s="32">
        <v>110</v>
      </c>
      <c r="G6" s="32">
        <v>110</v>
      </c>
      <c r="H6" s="32">
        <v>110</v>
      </c>
      <c r="I6" s="33">
        <f t="shared" si="0"/>
        <v>6430</v>
      </c>
    </row>
    <row r="7" spans="1:9" ht="24" customHeight="1" x14ac:dyDescent="0.25">
      <c r="A7" s="26" t="s">
        <v>10</v>
      </c>
      <c r="B7" s="30">
        <v>12000</v>
      </c>
      <c r="C7" s="30">
        <v>2000</v>
      </c>
      <c r="D7" s="30">
        <v>2000</v>
      </c>
      <c r="E7" s="30">
        <v>2100</v>
      </c>
      <c r="F7" s="30">
        <v>51</v>
      </c>
      <c r="G7" s="30">
        <v>51</v>
      </c>
      <c r="H7" s="30">
        <v>51</v>
      </c>
      <c r="I7" s="31">
        <f t="shared" si="0"/>
        <v>6253</v>
      </c>
    </row>
    <row r="8" spans="1:9" ht="36" x14ac:dyDescent="0.25">
      <c r="A8" s="27" t="s">
        <v>5</v>
      </c>
      <c r="B8" s="32">
        <v>12000</v>
      </c>
      <c r="C8" s="32">
        <v>2000</v>
      </c>
      <c r="D8" s="32">
        <v>2000</v>
      </c>
      <c r="E8" s="32">
        <v>2100</v>
      </c>
      <c r="F8" s="32">
        <v>1100</v>
      </c>
      <c r="G8" s="32">
        <v>1000</v>
      </c>
      <c r="H8" s="32">
        <v>2000</v>
      </c>
      <c r="I8" s="33">
        <f t="shared" si="0"/>
        <v>10200</v>
      </c>
    </row>
    <row r="9" spans="1:9" ht="30" customHeight="1" x14ac:dyDescent="0.25">
      <c r="A9" s="26" t="s">
        <v>8</v>
      </c>
      <c r="B9" s="30">
        <v>12000</v>
      </c>
      <c r="C9" s="30">
        <v>2000</v>
      </c>
      <c r="D9" s="30">
        <v>2000</v>
      </c>
      <c r="E9" s="30">
        <v>2100</v>
      </c>
      <c r="F9" s="30">
        <v>1100</v>
      </c>
      <c r="G9" s="30">
        <v>1000</v>
      </c>
      <c r="H9" s="30">
        <v>2000</v>
      </c>
      <c r="I9" s="31">
        <f t="shared" si="0"/>
        <v>10200</v>
      </c>
    </row>
    <row r="10" spans="1:9" ht="30" customHeight="1" x14ac:dyDescent="0.25">
      <c r="A10" s="27" t="s">
        <v>9</v>
      </c>
      <c r="B10" s="32">
        <v>12000</v>
      </c>
      <c r="C10" s="32">
        <v>2000</v>
      </c>
      <c r="D10" s="32">
        <v>2000</v>
      </c>
      <c r="E10" s="32">
        <v>2100</v>
      </c>
      <c r="F10" s="32">
        <v>1100</v>
      </c>
      <c r="G10" s="32">
        <v>1000</v>
      </c>
      <c r="H10" s="32">
        <v>2000</v>
      </c>
      <c r="I10" s="33">
        <f t="shared" si="0"/>
        <v>10200</v>
      </c>
    </row>
    <row r="11" spans="1:9" ht="24" customHeight="1" x14ac:dyDescent="0.25">
      <c r="A11" s="26" t="s">
        <v>23</v>
      </c>
      <c r="B11" s="30">
        <v>6000</v>
      </c>
      <c r="C11" s="30">
        <v>2000</v>
      </c>
      <c r="D11" s="30">
        <v>2000</v>
      </c>
      <c r="E11" s="30">
        <v>2100</v>
      </c>
      <c r="F11" s="30">
        <v>11</v>
      </c>
      <c r="G11" s="30">
        <v>11</v>
      </c>
      <c r="H11" s="30">
        <v>11</v>
      </c>
      <c r="I11" s="31">
        <f t="shared" si="0"/>
        <v>6133</v>
      </c>
    </row>
    <row r="12" spans="1:9" ht="22.9" customHeight="1" x14ac:dyDescent="0.25">
      <c r="A12" s="28" t="s">
        <v>24</v>
      </c>
      <c r="B12" s="33">
        <f>SUM(B2:B11)</f>
        <v>114000</v>
      </c>
      <c r="C12" s="33">
        <f t="shared" ref="C12" si="1">SUM(C2:C11)</f>
        <v>20000</v>
      </c>
      <c r="D12" s="33">
        <f>SUM(D2:D11)</f>
        <v>20000</v>
      </c>
      <c r="E12" s="33">
        <f>SUM(E2:E11)</f>
        <v>21000</v>
      </c>
      <c r="F12" s="33">
        <f t="shared" ref="F12:H12" si="2">SUM(F2:F11)</f>
        <v>7872</v>
      </c>
      <c r="G12" s="33">
        <f t="shared" si="2"/>
        <v>7172</v>
      </c>
      <c r="H12" s="33">
        <f t="shared" si="2"/>
        <v>14172</v>
      </c>
      <c r="I12" s="33">
        <f>SUM(I2:I11)</f>
        <v>90216</v>
      </c>
    </row>
    <row r="15" spans="1:9" x14ac:dyDescent="0.25">
      <c r="A15" t="s">
        <v>144</v>
      </c>
    </row>
  </sheetData>
  <pageMargins left="0.7" right="0.7" top="0.75" bottom="0.75" header="0.3" footer="0.3"/>
  <ignoredErrors>
    <ignoredError sqref="I3:I11" formulaRange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="115" zoomScaleNormal="115" workbookViewId="0"/>
  </sheetViews>
  <sheetFormatPr baseColWidth="10" defaultRowHeight="15" x14ac:dyDescent="0.25"/>
  <cols>
    <col min="1" max="1" width="24.140625" customWidth="1"/>
    <col min="2" max="2" width="12.5703125" customWidth="1"/>
    <col min="3" max="3" width="10.28515625" bestFit="1" customWidth="1"/>
    <col min="4" max="5" width="10.28515625" customWidth="1"/>
    <col min="6" max="6" width="8.42578125" style="22" customWidth="1"/>
    <col min="7" max="7" width="9.28515625" style="22" customWidth="1"/>
    <col min="8" max="8" width="11.7109375" style="22" customWidth="1"/>
    <col min="9" max="9" width="11.140625" style="22" customWidth="1"/>
  </cols>
  <sheetData>
    <row r="1" spans="1:9" ht="28.9" customHeight="1" x14ac:dyDescent="0.25">
      <c r="A1" s="24" t="s">
        <v>25</v>
      </c>
      <c r="B1" s="23" t="s">
        <v>62</v>
      </c>
      <c r="C1" s="23" t="s">
        <v>58</v>
      </c>
      <c r="D1" s="23" t="s">
        <v>70</v>
      </c>
      <c r="E1" s="23" t="s">
        <v>122</v>
      </c>
      <c r="F1" s="23" t="s">
        <v>123</v>
      </c>
      <c r="G1" s="23" t="s">
        <v>124</v>
      </c>
      <c r="H1" s="23" t="s">
        <v>125</v>
      </c>
      <c r="I1" s="23" t="s">
        <v>63</v>
      </c>
    </row>
    <row r="2" spans="1:9" ht="22.9" customHeight="1" x14ac:dyDescent="0.25">
      <c r="A2" s="25" t="s">
        <v>0</v>
      </c>
      <c r="B2" s="29">
        <v>12000</v>
      </c>
      <c r="C2" s="29">
        <v>2000</v>
      </c>
      <c r="D2" s="29">
        <v>2000</v>
      </c>
      <c r="E2" s="29">
        <v>2100</v>
      </c>
      <c r="F2" s="29">
        <v>1100</v>
      </c>
      <c r="G2" s="29">
        <v>1000</v>
      </c>
      <c r="H2" s="29">
        <v>2000</v>
      </c>
      <c r="I2" s="69">
        <f>SUM(C2:H2)</f>
        <v>10200</v>
      </c>
    </row>
    <row r="3" spans="1:9" ht="36" x14ac:dyDescent="0.25">
      <c r="A3" s="26" t="s">
        <v>1</v>
      </c>
      <c r="B3" s="30">
        <v>12000</v>
      </c>
      <c r="C3" s="30">
        <v>2000</v>
      </c>
      <c r="D3" s="30">
        <v>2000</v>
      </c>
      <c r="E3" s="30">
        <v>2100</v>
      </c>
      <c r="F3" s="30">
        <v>1100</v>
      </c>
      <c r="G3" s="30">
        <v>1000</v>
      </c>
      <c r="H3" s="30">
        <v>2000</v>
      </c>
      <c r="I3" s="31">
        <f t="shared" ref="I3:I10" si="0">SUM(C3:H3)</f>
        <v>10200</v>
      </c>
    </row>
    <row r="4" spans="1:9" ht="48" x14ac:dyDescent="0.25">
      <c r="A4" s="27" t="s">
        <v>2</v>
      </c>
      <c r="B4" s="32">
        <v>12000</v>
      </c>
      <c r="C4" s="32">
        <v>2000</v>
      </c>
      <c r="D4" s="32">
        <v>2000</v>
      </c>
      <c r="E4" s="32">
        <v>2100</v>
      </c>
      <c r="F4" s="32">
        <v>1100</v>
      </c>
      <c r="G4" s="32">
        <v>1000</v>
      </c>
      <c r="H4" s="32">
        <v>2000</v>
      </c>
      <c r="I4" s="33">
        <f t="shared" si="0"/>
        <v>10200</v>
      </c>
    </row>
    <row r="5" spans="1:9" ht="30" customHeight="1" x14ac:dyDescent="0.25">
      <c r="A5" s="26" t="s">
        <v>3</v>
      </c>
      <c r="B5" s="30">
        <v>12000</v>
      </c>
      <c r="C5" s="30">
        <v>2000</v>
      </c>
      <c r="D5" s="30">
        <v>2000</v>
      </c>
      <c r="E5" s="30">
        <v>2100</v>
      </c>
      <c r="F5" s="30">
        <v>1100</v>
      </c>
      <c r="G5" s="30">
        <v>1000</v>
      </c>
      <c r="H5" s="30">
        <v>2000</v>
      </c>
      <c r="I5" s="31">
        <f t="shared" si="0"/>
        <v>10200</v>
      </c>
    </row>
    <row r="6" spans="1:9" ht="24" customHeight="1" x14ac:dyDescent="0.25">
      <c r="A6" s="27" t="s">
        <v>4</v>
      </c>
      <c r="B6" s="32">
        <v>12000</v>
      </c>
      <c r="C6" s="32">
        <v>2000</v>
      </c>
      <c r="D6" s="32">
        <v>2000</v>
      </c>
      <c r="E6" s="32">
        <v>2100</v>
      </c>
      <c r="F6" s="32">
        <v>110</v>
      </c>
      <c r="G6" s="32">
        <v>110</v>
      </c>
      <c r="H6" s="32">
        <v>110</v>
      </c>
      <c r="I6" s="33">
        <f t="shared" si="0"/>
        <v>6430</v>
      </c>
    </row>
    <row r="7" spans="1:9" ht="24" customHeight="1" x14ac:dyDescent="0.25">
      <c r="A7" s="26" t="s">
        <v>10</v>
      </c>
      <c r="B7" s="30">
        <v>12000</v>
      </c>
      <c r="C7" s="30">
        <v>2000</v>
      </c>
      <c r="D7" s="30">
        <v>2000</v>
      </c>
      <c r="E7" s="30">
        <v>2100</v>
      </c>
      <c r="F7" s="30">
        <v>51</v>
      </c>
      <c r="G7" s="30">
        <v>51</v>
      </c>
      <c r="H7" s="30">
        <v>51</v>
      </c>
      <c r="I7" s="31">
        <f t="shared" si="0"/>
        <v>6253</v>
      </c>
    </row>
    <row r="8" spans="1:9" ht="36" x14ac:dyDescent="0.25">
      <c r="A8" s="27" t="s">
        <v>5</v>
      </c>
      <c r="B8" s="32">
        <v>12000</v>
      </c>
      <c r="C8" s="32">
        <v>2000</v>
      </c>
      <c r="D8" s="32">
        <v>2000</v>
      </c>
      <c r="E8" s="32">
        <v>2100</v>
      </c>
      <c r="F8" s="32">
        <v>1100</v>
      </c>
      <c r="G8" s="32">
        <v>1000</v>
      </c>
      <c r="H8" s="32">
        <v>2000</v>
      </c>
      <c r="I8" s="33">
        <f t="shared" si="0"/>
        <v>10200</v>
      </c>
    </row>
    <row r="9" spans="1:9" ht="30" customHeight="1" x14ac:dyDescent="0.25">
      <c r="A9" s="26" t="s">
        <v>8</v>
      </c>
      <c r="B9" s="30">
        <v>12000</v>
      </c>
      <c r="C9" s="30">
        <v>2000</v>
      </c>
      <c r="D9" s="30">
        <v>2000</v>
      </c>
      <c r="E9" s="30">
        <v>2100</v>
      </c>
      <c r="F9" s="30">
        <v>1100</v>
      </c>
      <c r="G9" s="30">
        <v>1000</v>
      </c>
      <c r="H9" s="30">
        <v>2000</v>
      </c>
      <c r="I9" s="31">
        <f t="shared" si="0"/>
        <v>10200</v>
      </c>
    </row>
    <row r="10" spans="1:9" ht="30" customHeight="1" x14ac:dyDescent="0.25">
      <c r="A10" s="27" t="s">
        <v>9</v>
      </c>
      <c r="B10" s="32">
        <v>12000</v>
      </c>
      <c r="C10" s="32">
        <v>2000</v>
      </c>
      <c r="D10" s="32">
        <v>2000</v>
      </c>
      <c r="E10" s="32">
        <v>2100</v>
      </c>
      <c r="F10" s="32">
        <v>1100</v>
      </c>
      <c r="G10" s="32">
        <v>1000</v>
      </c>
      <c r="H10" s="32">
        <v>2000</v>
      </c>
      <c r="I10" s="33">
        <f t="shared" si="0"/>
        <v>10200</v>
      </c>
    </row>
    <row r="11" spans="1:9" ht="24" customHeight="1" x14ac:dyDescent="0.25">
      <c r="A11" s="26" t="s">
        <v>23</v>
      </c>
      <c r="B11" s="30">
        <v>6000</v>
      </c>
      <c r="C11" s="30">
        <v>2000</v>
      </c>
      <c r="D11" s="30">
        <v>2000</v>
      </c>
      <c r="E11" s="30">
        <v>2100</v>
      </c>
      <c r="F11" s="30">
        <v>11</v>
      </c>
      <c r="G11" s="30">
        <v>11</v>
      </c>
      <c r="H11" s="30">
        <v>11</v>
      </c>
      <c r="I11" s="31">
        <f>SUM(C11:H11)</f>
        <v>6133</v>
      </c>
    </row>
    <row r="12" spans="1:9" ht="22.9" customHeight="1" x14ac:dyDescent="0.25">
      <c r="A12" s="28" t="s">
        <v>24</v>
      </c>
      <c r="B12" s="33">
        <f>SUM(B2:B11)</f>
        <v>114000</v>
      </c>
      <c r="C12" s="33">
        <f t="shared" ref="C12" si="1">SUM(C2:C11)</f>
        <v>20000</v>
      </c>
      <c r="D12" s="33">
        <f>SUM(D2:D11)</f>
        <v>20000</v>
      </c>
      <c r="E12" s="33">
        <f>SUM(E2:E11)</f>
        <v>21000</v>
      </c>
      <c r="F12" s="33">
        <f t="shared" ref="F12:H12" si="2">SUM(F2:F11)</f>
        <v>7872</v>
      </c>
      <c r="G12" s="33">
        <f t="shared" si="2"/>
        <v>7172</v>
      </c>
      <c r="H12" s="33">
        <f t="shared" si="2"/>
        <v>14172</v>
      </c>
      <c r="I12" s="33">
        <f>SUM(I2:I11)</f>
        <v>90216</v>
      </c>
    </row>
    <row r="15" spans="1:9" x14ac:dyDescent="0.25">
      <c r="A15" t="s">
        <v>138</v>
      </c>
    </row>
  </sheetData>
  <pageMargins left="0.7" right="0.7" top="0.75" bottom="0.75" header="0.3" footer="0.3"/>
  <ignoredErrors>
    <ignoredError sqref="I3:I11" formulaRange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opLeftCell="A7" workbookViewId="0"/>
  </sheetViews>
  <sheetFormatPr baseColWidth="10" defaultRowHeight="15" x14ac:dyDescent="0.25"/>
  <sheetData>
    <row r="1" spans="1:9" ht="24" x14ac:dyDescent="0.25">
      <c r="A1" s="24" t="s">
        <v>25</v>
      </c>
      <c r="B1" s="23" t="s">
        <v>62</v>
      </c>
      <c r="C1" s="23" t="s">
        <v>58</v>
      </c>
      <c r="D1" s="23" t="s">
        <v>70</v>
      </c>
      <c r="E1" s="23" t="s">
        <v>122</v>
      </c>
      <c r="F1" s="23" t="s">
        <v>123</v>
      </c>
      <c r="G1" s="23" t="s">
        <v>124</v>
      </c>
      <c r="H1" s="23" t="s">
        <v>125</v>
      </c>
      <c r="I1" s="23" t="s">
        <v>63</v>
      </c>
    </row>
    <row r="2" spans="1:9" ht="36" x14ac:dyDescent="0.25">
      <c r="A2" s="25" t="s">
        <v>0</v>
      </c>
      <c r="B2" s="29">
        <v>12000</v>
      </c>
      <c r="C2" s="29">
        <v>2000</v>
      </c>
      <c r="D2" s="29">
        <v>2000</v>
      </c>
      <c r="E2" s="29">
        <v>2100</v>
      </c>
      <c r="F2" s="29">
        <v>1100</v>
      </c>
      <c r="G2" s="29">
        <v>1000</v>
      </c>
      <c r="H2" s="29">
        <v>2000</v>
      </c>
      <c r="I2" s="69">
        <f>SUM(C2:H2)</f>
        <v>10200</v>
      </c>
    </row>
    <row r="3" spans="1:9" ht="72" x14ac:dyDescent="0.25">
      <c r="A3" s="26" t="s">
        <v>1</v>
      </c>
      <c r="B3" s="30">
        <v>12000</v>
      </c>
      <c r="C3" s="30">
        <v>2000</v>
      </c>
      <c r="D3" s="30">
        <v>2000</v>
      </c>
      <c r="E3" s="30">
        <v>2100</v>
      </c>
      <c r="F3" s="30">
        <v>1100</v>
      </c>
      <c r="G3" s="30">
        <v>1000</v>
      </c>
      <c r="H3" s="30">
        <v>2000</v>
      </c>
      <c r="I3" s="31">
        <f t="shared" ref="I3:I10" si="0">SUM(C3:H3)</f>
        <v>10200</v>
      </c>
    </row>
    <row r="4" spans="1:9" ht="108" x14ac:dyDescent="0.25">
      <c r="A4" s="27" t="s">
        <v>2</v>
      </c>
      <c r="B4" s="32">
        <v>12000</v>
      </c>
      <c r="C4" s="32">
        <v>2000</v>
      </c>
      <c r="D4" s="32">
        <v>2000</v>
      </c>
      <c r="E4" s="32">
        <v>2100</v>
      </c>
      <c r="F4" s="32">
        <v>1100</v>
      </c>
      <c r="G4" s="32">
        <v>1000</v>
      </c>
      <c r="H4" s="32">
        <v>2000</v>
      </c>
      <c r="I4" s="33">
        <f t="shared" si="0"/>
        <v>10200</v>
      </c>
    </row>
    <row r="5" spans="1:9" ht="72" x14ac:dyDescent="0.25">
      <c r="A5" s="26" t="s">
        <v>3</v>
      </c>
      <c r="B5" s="30">
        <v>12000</v>
      </c>
      <c r="C5" s="30">
        <v>2000</v>
      </c>
      <c r="D5" s="30">
        <v>2000</v>
      </c>
      <c r="E5" s="30">
        <v>2100</v>
      </c>
      <c r="F5" s="30">
        <v>1100</v>
      </c>
      <c r="G5" s="30">
        <v>1000</v>
      </c>
      <c r="H5" s="30">
        <v>2000</v>
      </c>
      <c r="I5" s="31">
        <f t="shared" si="0"/>
        <v>10200</v>
      </c>
    </row>
    <row r="6" spans="1:9" ht="36" x14ac:dyDescent="0.25">
      <c r="A6" s="27" t="s">
        <v>4</v>
      </c>
      <c r="B6" s="32">
        <v>12000</v>
      </c>
      <c r="C6" s="32">
        <v>2000</v>
      </c>
      <c r="D6" s="32">
        <v>2000</v>
      </c>
      <c r="E6" s="32">
        <v>2100</v>
      </c>
      <c r="F6" s="32">
        <v>110</v>
      </c>
      <c r="G6" s="32">
        <v>110</v>
      </c>
      <c r="H6" s="32">
        <v>110</v>
      </c>
      <c r="I6" s="33">
        <f t="shared" si="0"/>
        <v>6430</v>
      </c>
    </row>
    <row r="7" spans="1:9" ht="48" x14ac:dyDescent="0.25">
      <c r="A7" s="26" t="s">
        <v>10</v>
      </c>
      <c r="B7" s="30">
        <v>12000</v>
      </c>
      <c r="C7" s="30">
        <v>2000</v>
      </c>
      <c r="D7" s="30">
        <v>2000</v>
      </c>
      <c r="E7" s="30">
        <v>2100</v>
      </c>
      <c r="F7" s="30">
        <v>51</v>
      </c>
      <c r="G7" s="30">
        <v>51</v>
      </c>
      <c r="H7" s="30">
        <v>51</v>
      </c>
      <c r="I7" s="31">
        <f t="shared" si="0"/>
        <v>6253</v>
      </c>
    </row>
    <row r="8" spans="1:9" ht="84" x14ac:dyDescent="0.25">
      <c r="A8" s="27" t="s">
        <v>5</v>
      </c>
      <c r="B8" s="32">
        <v>12000</v>
      </c>
      <c r="C8" s="32">
        <v>2000</v>
      </c>
      <c r="D8" s="32">
        <v>2000</v>
      </c>
      <c r="E8" s="32">
        <v>2100</v>
      </c>
      <c r="F8" s="32">
        <v>1100</v>
      </c>
      <c r="G8" s="32">
        <v>1000</v>
      </c>
      <c r="H8" s="32">
        <v>2000</v>
      </c>
      <c r="I8" s="33">
        <f t="shared" si="0"/>
        <v>10200</v>
      </c>
    </row>
    <row r="9" spans="1:9" ht="72" x14ac:dyDescent="0.25">
      <c r="A9" s="26" t="s">
        <v>8</v>
      </c>
      <c r="B9" s="30">
        <v>12000</v>
      </c>
      <c r="C9" s="30">
        <v>2000</v>
      </c>
      <c r="D9" s="30">
        <v>2000</v>
      </c>
      <c r="E9" s="30">
        <v>2100</v>
      </c>
      <c r="F9" s="30">
        <v>1100</v>
      </c>
      <c r="G9" s="30">
        <v>1000</v>
      </c>
      <c r="H9" s="30">
        <v>2000</v>
      </c>
      <c r="I9" s="31">
        <f t="shared" si="0"/>
        <v>10200</v>
      </c>
    </row>
    <row r="10" spans="1:9" ht="84" x14ac:dyDescent="0.25">
      <c r="A10" s="27" t="s">
        <v>9</v>
      </c>
      <c r="B10" s="32">
        <v>12000</v>
      </c>
      <c r="C10" s="32">
        <v>2000</v>
      </c>
      <c r="D10" s="32">
        <v>2000</v>
      </c>
      <c r="E10" s="32">
        <v>2100</v>
      </c>
      <c r="F10" s="32">
        <v>1100</v>
      </c>
      <c r="G10" s="32">
        <v>1000</v>
      </c>
      <c r="H10" s="32">
        <v>2000</v>
      </c>
      <c r="I10" s="33">
        <f t="shared" si="0"/>
        <v>10200</v>
      </c>
    </row>
    <row r="11" spans="1:9" ht="36" x14ac:dyDescent="0.25">
      <c r="A11" s="26" t="s">
        <v>23</v>
      </c>
      <c r="B11" s="30">
        <v>6000</v>
      </c>
      <c r="C11" s="30">
        <v>2000</v>
      </c>
      <c r="D11" s="30">
        <v>2000</v>
      </c>
      <c r="E11" s="30">
        <v>2100</v>
      </c>
      <c r="F11" s="30">
        <v>11</v>
      </c>
      <c r="G11" s="30">
        <v>11</v>
      </c>
      <c r="H11" s="30">
        <v>11</v>
      </c>
      <c r="I11" s="31">
        <f>SUM(C11:H11)</f>
        <v>6133</v>
      </c>
    </row>
    <row r="12" spans="1:9" x14ac:dyDescent="0.25">
      <c r="A12" s="28" t="s">
        <v>24</v>
      </c>
      <c r="B12" s="33">
        <f>SUM(B2:B11)</f>
        <v>114000</v>
      </c>
      <c r="C12" s="33">
        <f t="shared" ref="C12" si="1">SUM(C2:C11)</f>
        <v>20000</v>
      </c>
      <c r="D12" s="33">
        <f>SUM(D2:D11)</f>
        <v>20000</v>
      </c>
      <c r="E12" s="33">
        <f>SUM(E2:E11)</f>
        <v>21000</v>
      </c>
      <c r="F12" s="33">
        <f t="shared" ref="F12:H12" si="2">SUM(F2:F11)</f>
        <v>7872</v>
      </c>
      <c r="G12" s="33">
        <f t="shared" si="2"/>
        <v>7172</v>
      </c>
      <c r="H12" s="33">
        <f t="shared" si="2"/>
        <v>14172</v>
      </c>
      <c r="I12" s="33">
        <f>SUM(I2:I11)</f>
        <v>90216</v>
      </c>
    </row>
    <row r="15" spans="1:9" x14ac:dyDescent="0.25">
      <c r="B15" t="s">
        <v>139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opLeftCell="A5" workbookViewId="0"/>
  </sheetViews>
  <sheetFormatPr baseColWidth="10" defaultRowHeight="15" x14ac:dyDescent="0.25"/>
  <sheetData>
    <row r="1" spans="1:9" ht="24" x14ac:dyDescent="0.25">
      <c r="A1" s="24" t="s">
        <v>25</v>
      </c>
      <c r="B1" s="23" t="s">
        <v>62</v>
      </c>
      <c r="C1" s="23" t="s">
        <v>58</v>
      </c>
      <c r="D1" s="23" t="s">
        <v>70</v>
      </c>
      <c r="E1" s="23" t="s">
        <v>122</v>
      </c>
      <c r="F1" s="23" t="s">
        <v>123</v>
      </c>
      <c r="G1" s="23" t="s">
        <v>124</v>
      </c>
      <c r="H1" s="23" t="s">
        <v>125</v>
      </c>
      <c r="I1" s="23" t="s">
        <v>63</v>
      </c>
    </row>
    <row r="2" spans="1:9" ht="36" x14ac:dyDescent="0.25">
      <c r="A2" s="25" t="s">
        <v>0</v>
      </c>
      <c r="B2" s="29">
        <v>12000</v>
      </c>
      <c r="C2" s="29">
        <v>2000</v>
      </c>
      <c r="D2" s="29">
        <v>2000</v>
      </c>
      <c r="E2" s="29">
        <v>2100</v>
      </c>
      <c r="F2" s="29">
        <v>1100</v>
      </c>
      <c r="G2" s="29">
        <v>1000</v>
      </c>
      <c r="H2" s="29">
        <v>2000</v>
      </c>
      <c r="I2" s="69">
        <f>SUM(C2:H2)</f>
        <v>10200</v>
      </c>
    </row>
    <row r="3" spans="1:9" ht="72" x14ac:dyDescent="0.25">
      <c r="A3" s="26" t="s">
        <v>1</v>
      </c>
      <c r="B3" s="30">
        <v>12000</v>
      </c>
      <c r="C3" s="30">
        <v>2000</v>
      </c>
      <c r="D3" s="30">
        <v>2000</v>
      </c>
      <c r="E3" s="30">
        <v>2100</v>
      </c>
      <c r="F3" s="30">
        <v>1100</v>
      </c>
      <c r="G3" s="30">
        <v>1000</v>
      </c>
      <c r="H3" s="30">
        <v>2000</v>
      </c>
      <c r="I3" s="31">
        <f t="shared" ref="I3:I10" si="0">SUM(C3:H3)</f>
        <v>10200</v>
      </c>
    </row>
    <row r="4" spans="1:9" ht="108" x14ac:dyDescent="0.25">
      <c r="A4" s="27" t="s">
        <v>2</v>
      </c>
      <c r="B4" s="32">
        <v>12000</v>
      </c>
      <c r="C4" s="32">
        <v>2000</v>
      </c>
      <c r="D4" s="32">
        <v>2000</v>
      </c>
      <c r="E4" s="32">
        <v>2100</v>
      </c>
      <c r="F4" s="32">
        <v>1100</v>
      </c>
      <c r="G4" s="32">
        <v>1000</v>
      </c>
      <c r="H4" s="32">
        <v>2000</v>
      </c>
      <c r="I4" s="33">
        <f t="shared" si="0"/>
        <v>10200</v>
      </c>
    </row>
    <row r="5" spans="1:9" ht="72" x14ac:dyDescent="0.25">
      <c r="A5" s="26" t="s">
        <v>3</v>
      </c>
      <c r="B5" s="30">
        <v>12000</v>
      </c>
      <c r="C5" s="30">
        <v>2000</v>
      </c>
      <c r="D5" s="30">
        <v>2000</v>
      </c>
      <c r="E5" s="30">
        <v>2100</v>
      </c>
      <c r="F5" s="30">
        <v>1100</v>
      </c>
      <c r="G5" s="30">
        <v>1000</v>
      </c>
      <c r="H5" s="30">
        <v>2000</v>
      </c>
      <c r="I5" s="31">
        <f t="shared" si="0"/>
        <v>10200</v>
      </c>
    </row>
    <row r="6" spans="1:9" ht="36" x14ac:dyDescent="0.25">
      <c r="A6" s="27" t="s">
        <v>4</v>
      </c>
      <c r="B6" s="32">
        <v>12000</v>
      </c>
      <c r="C6" s="32">
        <v>2000</v>
      </c>
      <c r="D6" s="32">
        <v>2000</v>
      </c>
      <c r="E6" s="32">
        <v>2100</v>
      </c>
      <c r="F6" s="32">
        <v>110</v>
      </c>
      <c r="G6" s="32">
        <v>110</v>
      </c>
      <c r="H6" s="32">
        <v>110</v>
      </c>
      <c r="I6" s="33">
        <f t="shared" si="0"/>
        <v>6430</v>
      </c>
    </row>
    <row r="7" spans="1:9" ht="48" x14ac:dyDescent="0.25">
      <c r="A7" s="26" t="s">
        <v>10</v>
      </c>
      <c r="B7" s="30">
        <v>12000</v>
      </c>
      <c r="C7" s="30">
        <v>2000</v>
      </c>
      <c r="D7" s="30">
        <v>2000</v>
      </c>
      <c r="E7" s="30">
        <v>2100</v>
      </c>
      <c r="F7" s="30">
        <v>51</v>
      </c>
      <c r="G7" s="30">
        <v>51</v>
      </c>
      <c r="H7" s="30">
        <v>51</v>
      </c>
      <c r="I7" s="31">
        <f t="shared" si="0"/>
        <v>6253</v>
      </c>
    </row>
    <row r="8" spans="1:9" ht="84" x14ac:dyDescent="0.25">
      <c r="A8" s="27" t="s">
        <v>5</v>
      </c>
      <c r="B8" s="32">
        <v>12000</v>
      </c>
      <c r="C8" s="32">
        <v>2000</v>
      </c>
      <c r="D8" s="32">
        <v>2000</v>
      </c>
      <c r="E8" s="32">
        <v>2100</v>
      </c>
      <c r="F8" s="32">
        <v>1100</v>
      </c>
      <c r="G8" s="32">
        <v>1000</v>
      </c>
      <c r="H8" s="32">
        <v>2000</v>
      </c>
      <c r="I8" s="33">
        <f t="shared" si="0"/>
        <v>10200</v>
      </c>
    </row>
    <row r="9" spans="1:9" ht="72" x14ac:dyDescent="0.25">
      <c r="A9" s="26" t="s">
        <v>8</v>
      </c>
      <c r="B9" s="30">
        <v>12000</v>
      </c>
      <c r="C9" s="30">
        <v>2000</v>
      </c>
      <c r="D9" s="30">
        <v>2000</v>
      </c>
      <c r="E9" s="30">
        <v>2100</v>
      </c>
      <c r="F9" s="30">
        <v>1100</v>
      </c>
      <c r="G9" s="30">
        <v>1000</v>
      </c>
      <c r="H9" s="30">
        <v>2000</v>
      </c>
      <c r="I9" s="31">
        <f t="shared" si="0"/>
        <v>10200</v>
      </c>
    </row>
    <row r="10" spans="1:9" ht="84" x14ac:dyDescent="0.25">
      <c r="A10" s="27" t="s">
        <v>9</v>
      </c>
      <c r="B10" s="32">
        <v>12000</v>
      </c>
      <c r="C10" s="32">
        <v>2000</v>
      </c>
      <c r="D10" s="32">
        <v>2000</v>
      </c>
      <c r="E10" s="32">
        <v>2100</v>
      </c>
      <c r="F10" s="32">
        <v>1100</v>
      </c>
      <c r="G10" s="32">
        <v>1000</v>
      </c>
      <c r="H10" s="32">
        <v>2000</v>
      </c>
      <c r="I10" s="33">
        <f t="shared" si="0"/>
        <v>10200</v>
      </c>
    </row>
    <row r="11" spans="1:9" ht="36" x14ac:dyDescent="0.25">
      <c r="A11" s="26" t="s">
        <v>23</v>
      </c>
      <c r="B11" s="30">
        <v>6000</v>
      </c>
      <c r="C11" s="30">
        <v>2000</v>
      </c>
      <c r="D11" s="30">
        <v>2000</v>
      </c>
      <c r="E11" s="30">
        <v>2100</v>
      </c>
      <c r="F11" s="30">
        <v>11</v>
      </c>
      <c r="G11" s="30">
        <v>11</v>
      </c>
      <c r="H11" s="30">
        <v>11</v>
      </c>
      <c r="I11" s="31">
        <f>SUM(C11:H11)</f>
        <v>6133</v>
      </c>
    </row>
    <row r="12" spans="1:9" x14ac:dyDescent="0.25">
      <c r="A12" s="28" t="s">
        <v>24</v>
      </c>
      <c r="B12" s="33">
        <f>SUM(B2:B11)</f>
        <v>114000</v>
      </c>
      <c r="C12" s="33">
        <f t="shared" ref="C12" si="1">SUM(C2:C11)</f>
        <v>20000</v>
      </c>
      <c r="D12" s="33">
        <f>SUM(D2:D11)</f>
        <v>20000</v>
      </c>
      <c r="E12" s="33">
        <f>SUM(E2:E11)</f>
        <v>21000</v>
      </c>
      <c r="F12" s="33">
        <f t="shared" ref="F12:H12" si="2">SUM(F2:F11)</f>
        <v>7872</v>
      </c>
      <c r="G12" s="33">
        <f t="shared" si="2"/>
        <v>7172</v>
      </c>
      <c r="H12" s="33">
        <f t="shared" si="2"/>
        <v>14172</v>
      </c>
      <c r="I12" s="33">
        <f>SUM(I2:I11)</f>
        <v>90216</v>
      </c>
    </row>
    <row r="16" spans="1:9" x14ac:dyDescent="0.25">
      <c r="B16" t="s">
        <v>140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opLeftCell="A10" workbookViewId="0"/>
  </sheetViews>
  <sheetFormatPr baseColWidth="10" defaultRowHeight="15" x14ac:dyDescent="0.25"/>
  <sheetData>
    <row r="1" spans="1:9" ht="24" x14ac:dyDescent="0.25">
      <c r="A1" s="24" t="s">
        <v>25</v>
      </c>
      <c r="B1" s="23" t="s">
        <v>62</v>
      </c>
      <c r="C1" s="23" t="s">
        <v>58</v>
      </c>
      <c r="D1" s="23" t="s">
        <v>70</v>
      </c>
      <c r="E1" s="23" t="s">
        <v>122</v>
      </c>
      <c r="F1" s="23" t="s">
        <v>123</v>
      </c>
      <c r="G1" s="23" t="s">
        <v>124</v>
      </c>
      <c r="H1" s="23" t="s">
        <v>125</v>
      </c>
      <c r="I1" s="23" t="s">
        <v>63</v>
      </c>
    </row>
    <row r="2" spans="1:9" ht="36" x14ac:dyDescent="0.25">
      <c r="A2" s="25" t="s">
        <v>0</v>
      </c>
      <c r="B2" s="29">
        <v>12000</v>
      </c>
      <c r="C2" s="29">
        <v>2000</v>
      </c>
      <c r="D2" s="29">
        <v>2000</v>
      </c>
      <c r="E2" s="29">
        <v>2100</v>
      </c>
      <c r="F2" s="29">
        <v>1100</v>
      </c>
      <c r="G2" s="29">
        <v>1000</v>
      </c>
      <c r="H2" s="29">
        <v>2000</v>
      </c>
      <c r="I2" s="69">
        <f>SUM(C2:H2)</f>
        <v>10200</v>
      </c>
    </row>
    <row r="3" spans="1:9" ht="72" x14ac:dyDescent="0.25">
      <c r="A3" s="26" t="s">
        <v>1</v>
      </c>
      <c r="B3" s="30">
        <v>12000</v>
      </c>
      <c r="C3" s="30">
        <v>2000</v>
      </c>
      <c r="D3" s="30">
        <v>2000</v>
      </c>
      <c r="E3" s="30">
        <v>2100</v>
      </c>
      <c r="F3" s="30">
        <v>1100</v>
      </c>
      <c r="G3" s="30">
        <v>1000</v>
      </c>
      <c r="H3" s="30">
        <v>2000</v>
      </c>
      <c r="I3" s="31">
        <f t="shared" ref="I3:I10" si="0">SUM(C3:H3)</f>
        <v>10200</v>
      </c>
    </row>
    <row r="4" spans="1:9" ht="108" x14ac:dyDescent="0.25">
      <c r="A4" s="27" t="s">
        <v>2</v>
      </c>
      <c r="B4" s="32">
        <v>12000</v>
      </c>
      <c r="C4" s="32">
        <v>2000</v>
      </c>
      <c r="D4" s="32">
        <v>2000</v>
      </c>
      <c r="E4" s="32">
        <v>2100</v>
      </c>
      <c r="F4" s="32">
        <v>1100</v>
      </c>
      <c r="G4" s="32">
        <v>1000</v>
      </c>
      <c r="H4" s="32">
        <v>2000</v>
      </c>
      <c r="I4" s="33">
        <f t="shared" si="0"/>
        <v>10200</v>
      </c>
    </row>
    <row r="5" spans="1:9" ht="72" x14ac:dyDescent="0.25">
      <c r="A5" s="26" t="s">
        <v>3</v>
      </c>
      <c r="B5" s="30">
        <v>12000</v>
      </c>
      <c r="C5" s="30">
        <v>2000</v>
      </c>
      <c r="D5" s="30">
        <v>2000</v>
      </c>
      <c r="E5" s="30">
        <v>2100</v>
      </c>
      <c r="F5" s="30">
        <v>1100</v>
      </c>
      <c r="G5" s="30">
        <v>1000</v>
      </c>
      <c r="H5" s="30">
        <v>2000</v>
      </c>
      <c r="I5" s="31">
        <f t="shared" si="0"/>
        <v>10200</v>
      </c>
    </row>
    <row r="6" spans="1:9" ht="36" x14ac:dyDescent="0.25">
      <c r="A6" s="27" t="s">
        <v>4</v>
      </c>
      <c r="B6" s="32">
        <v>12000</v>
      </c>
      <c r="C6" s="32">
        <v>2000</v>
      </c>
      <c r="D6" s="32">
        <v>2000</v>
      </c>
      <c r="E6" s="32">
        <v>2100</v>
      </c>
      <c r="F6" s="32">
        <v>110</v>
      </c>
      <c r="G6" s="32">
        <v>110</v>
      </c>
      <c r="H6" s="32">
        <v>110</v>
      </c>
      <c r="I6" s="33">
        <f t="shared" si="0"/>
        <v>6430</v>
      </c>
    </row>
    <row r="7" spans="1:9" ht="48" x14ac:dyDescent="0.25">
      <c r="A7" s="26" t="s">
        <v>10</v>
      </c>
      <c r="B7" s="30">
        <v>12000</v>
      </c>
      <c r="C7" s="30">
        <v>2000</v>
      </c>
      <c r="D7" s="30">
        <v>2000</v>
      </c>
      <c r="E7" s="30">
        <v>2100</v>
      </c>
      <c r="F7" s="30">
        <v>51</v>
      </c>
      <c r="G7" s="30">
        <v>51</v>
      </c>
      <c r="H7" s="30">
        <v>51</v>
      </c>
      <c r="I7" s="31">
        <f t="shared" si="0"/>
        <v>6253</v>
      </c>
    </row>
    <row r="8" spans="1:9" ht="84" x14ac:dyDescent="0.25">
      <c r="A8" s="27" t="s">
        <v>5</v>
      </c>
      <c r="B8" s="32">
        <v>12000</v>
      </c>
      <c r="C8" s="32">
        <v>2000</v>
      </c>
      <c r="D8" s="32">
        <v>2000</v>
      </c>
      <c r="E8" s="32">
        <v>2100</v>
      </c>
      <c r="F8" s="32">
        <v>1100</v>
      </c>
      <c r="G8" s="32">
        <v>1000</v>
      </c>
      <c r="H8" s="32">
        <v>2000</v>
      </c>
      <c r="I8" s="33">
        <f t="shared" si="0"/>
        <v>10200</v>
      </c>
    </row>
    <row r="9" spans="1:9" ht="72" x14ac:dyDescent="0.25">
      <c r="A9" s="26" t="s">
        <v>8</v>
      </c>
      <c r="B9" s="30">
        <v>12000</v>
      </c>
      <c r="C9" s="30">
        <v>2000</v>
      </c>
      <c r="D9" s="30">
        <v>2000</v>
      </c>
      <c r="E9" s="30">
        <v>2100</v>
      </c>
      <c r="F9" s="30">
        <v>1100</v>
      </c>
      <c r="G9" s="30">
        <v>1000</v>
      </c>
      <c r="H9" s="30">
        <v>2000</v>
      </c>
      <c r="I9" s="31">
        <f t="shared" si="0"/>
        <v>10200</v>
      </c>
    </row>
    <row r="10" spans="1:9" ht="84" x14ac:dyDescent="0.25">
      <c r="A10" s="27" t="s">
        <v>9</v>
      </c>
      <c r="B10" s="32">
        <v>12000</v>
      </c>
      <c r="C10" s="32">
        <v>2000</v>
      </c>
      <c r="D10" s="32">
        <v>2000</v>
      </c>
      <c r="E10" s="32">
        <v>2100</v>
      </c>
      <c r="F10" s="32">
        <v>1100</v>
      </c>
      <c r="G10" s="32">
        <v>1000</v>
      </c>
      <c r="H10" s="32">
        <v>2000</v>
      </c>
      <c r="I10" s="33">
        <f t="shared" si="0"/>
        <v>10200</v>
      </c>
    </row>
    <row r="11" spans="1:9" ht="36" x14ac:dyDescent="0.25">
      <c r="A11" s="26" t="s">
        <v>23</v>
      </c>
      <c r="B11" s="30">
        <v>6000</v>
      </c>
      <c r="C11" s="30">
        <v>2000</v>
      </c>
      <c r="D11" s="30">
        <v>2000</v>
      </c>
      <c r="E11" s="30">
        <v>2100</v>
      </c>
      <c r="F11" s="30">
        <v>11</v>
      </c>
      <c r="G11" s="30">
        <v>11</v>
      </c>
      <c r="H11" s="30">
        <v>11</v>
      </c>
      <c r="I11" s="31">
        <f>SUM(C11:H11)</f>
        <v>6133</v>
      </c>
    </row>
    <row r="12" spans="1:9" x14ac:dyDescent="0.25">
      <c r="A12" s="28" t="s">
        <v>24</v>
      </c>
      <c r="B12" s="33">
        <f>SUM(B2:B11)</f>
        <v>114000</v>
      </c>
      <c r="C12" s="33">
        <f t="shared" ref="C12" si="1">SUM(C2:C11)</f>
        <v>20000</v>
      </c>
      <c r="D12" s="33">
        <f>SUM(D2:D11)</f>
        <v>20000</v>
      </c>
      <c r="E12" s="33">
        <f>SUM(E2:E11)</f>
        <v>21000</v>
      </c>
      <c r="F12" s="33">
        <f t="shared" ref="F12:H12" si="2">SUM(F2:F11)</f>
        <v>7872</v>
      </c>
      <c r="G12" s="33">
        <f t="shared" si="2"/>
        <v>7172</v>
      </c>
      <c r="H12" s="33">
        <f t="shared" si="2"/>
        <v>14172</v>
      </c>
      <c r="I12" s="33">
        <f>SUM(I2:I11)</f>
        <v>90216</v>
      </c>
    </row>
    <row r="15" spans="1:9" x14ac:dyDescent="0.25">
      <c r="B15" t="s">
        <v>141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opLeftCell="A10" workbookViewId="0"/>
  </sheetViews>
  <sheetFormatPr baseColWidth="10" defaultRowHeight="15" x14ac:dyDescent="0.25"/>
  <sheetData>
    <row r="1" spans="1:9" ht="24" x14ac:dyDescent="0.25">
      <c r="A1" s="24" t="s">
        <v>25</v>
      </c>
      <c r="B1" s="23" t="s">
        <v>62</v>
      </c>
      <c r="C1" s="23" t="s">
        <v>58</v>
      </c>
      <c r="D1" s="23" t="s">
        <v>70</v>
      </c>
      <c r="E1" s="23" t="s">
        <v>122</v>
      </c>
      <c r="F1" s="23" t="s">
        <v>123</v>
      </c>
      <c r="G1" s="23" t="s">
        <v>124</v>
      </c>
      <c r="H1" s="23" t="s">
        <v>125</v>
      </c>
      <c r="I1" s="23" t="s">
        <v>63</v>
      </c>
    </row>
    <row r="2" spans="1:9" ht="36" x14ac:dyDescent="0.25">
      <c r="A2" s="25" t="s">
        <v>0</v>
      </c>
      <c r="B2" s="29">
        <v>12000</v>
      </c>
      <c r="C2" s="29">
        <v>2000</v>
      </c>
      <c r="D2" s="29">
        <v>2000</v>
      </c>
      <c r="E2" s="29">
        <v>2100</v>
      </c>
      <c r="F2" s="29">
        <v>1100</v>
      </c>
      <c r="G2" s="29">
        <v>1000</v>
      </c>
      <c r="H2" s="29">
        <v>2000</v>
      </c>
      <c r="I2" s="69">
        <f>SUM(C2:H2)</f>
        <v>10200</v>
      </c>
    </row>
    <row r="3" spans="1:9" ht="72" x14ac:dyDescent="0.25">
      <c r="A3" s="26" t="s">
        <v>1</v>
      </c>
      <c r="B3" s="30">
        <v>12000</v>
      </c>
      <c r="C3" s="30">
        <v>2000</v>
      </c>
      <c r="D3" s="30">
        <v>2000</v>
      </c>
      <c r="E3" s="30">
        <v>2100</v>
      </c>
      <c r="F3" s="30">
        <v>1100</v>
      </c>
      <c r="G3" s="30">
        <v>1000</v>
      </c>
      <c r="H3" s="30">
        <v>2000</v>
      </c>
      <c r="I3" s="31">
        <f t="shared" ref="I3:I10" si="0">SUM(C3:H3)</f>
        <v>10200</v>
      </c>
    </row>
    <row r="4" spans="1:9" ht="108" x14ac:dyDescent="0.25">
      <c r="A4" s="27" t="s">
        <v>2</v>
      </c>
      <c r="B4" s="32">
        <v>12000</v>
      </c>
      <c r="C4" s="32">
        <v>2000</v>
      </c>
      <c r="D4" s="32">
        <v>2000</v>
      </c>
      <c r="E4" s="32">
        <v>2100</v>
      </c>
      <c r="F4" s="32">
        <v>1100</v>
      </c>
      <c r="G4" s="32">
        <v>1000</v>
      </c>
      <c r="H4" s="32">
        <v>2000</v>
      </c>
      <c r="I4" s="33">
        <f t="shared" si="0"/>
        <v>10200</v>
      </c>
    </row>
    <row r="5" spans="1:9" ht="72" x14ac:dyDescent="0.25">
      <c r="A5" s="26" t="s">
        <v>3</v>
      </c>
      <c r="B5" s="30">
        <v>12000</v>
      </c>
      <c r="C5" s="30">
        <v>2000</v>
      </c>
      <c r="D5" s="30">
        <v>2000</v>
      </c>
      <c r="E5" s="30">
        <v>2100</v>
      </c>
      <c r="F5" s="30">
        <v>1100</v>
      </c>
      <c r="G5" s="30">
        <v>1000</v>
      </c>
      <c r="H5" s="30">
        <v>2000</v>
      </c>
      <c r="I5" s="31">
        <f t="shared" si="0"/>
        <v>10200</v>
      </c>
    </row>
    <row r="6" spans="1:9" ht="36" x14ac:dyDescent="0.25">
      <c r="A6" s="27" t="s">
        <v>4</v>
      </c>
      <c r="B6" s="32">
        <v>12000</v>
      </c>
      <c r="C6" s="32">
        <v>2000</v>
      </c>
      <c r="D6" s="32">
        <v>2000</v>
      </c>
      <c r="E6" s="32">
        <v>2100</v>
      </c>
      <c r="F6" s="32">
        <v>110</v>
      </c>
      <c r="G6" s="32">
        <v>110</v>
      </c>
      <c r="H6" s="32">
        <v>110</v>
      </c>
      <c r="I6" s="33">
        <f t="shared" si="0"/>
        <v>6430</v>
      </c>
    </row>
    <row r="7" spans="1:9" ht="48" x14ac:dyDescent="0.25">
      <c r="A7" s="26" t="s">
        <v>10</v>
      </c>
      <c r="B7" s="30">
        <v>12000</v>
      </c>
      <c r="C7" s="30">
        <v>2000</v>
      </c>
      <c r="D7" s="30">
        <v>2000</v>
      </c>
      <c r="E7" s="30">
        <v>2100</v>
      </c>
      <c r="F7" s="30">
        <v>51</v>
      </c>
      <c r="G7" s="30">
        <v>51</v>
      </c>
      <c r="H7" s="30">
        <v>51</v>
      </c>
      <c r="I7" s="31">
        <f t="shared" si="0"/>
        <v>6253</v>
      </c>
    </row>
    <row r="8" spans="1:9" ht="84" x14ac:dyDescent="0.25">
      <c r="A8" s="27" t="s">
        <v>5</v>
      </c>
      <c r="B8" s="32">
        <v>12000</v>
      </c>
      <c r="C8" s="32">
        <v>2000</v>
      </c>
      <c r="D8" s="32">
        <v>2000</v>
      </c>
      <c r="E8" s="32">
        <v>2100</v>
      </c>
      <c r="F8" s="32">
        <v>1100</v>
      </c>
      <c r="G8" s="32">
        <v>1000</v>
      </c>
      <c r="H8" s="32">
        <v>2000</v>
      </c>
      <c r="I8" s="33">
        <f t="shared" si="0"/>
        <v>10200</v>
      </c>
    </row>
    <row r="9" spans="1:9" ht="72" x14ac:dyDescent="0.25">
      <c r="A9" s="26" t="s">
        <v>8</v>
      </c>
      <c r="B9" s="30">
        <v>12000</v>
      </c>
      <c r="C9" s="30">
        <v>2000</v>
      </c>
      <c r="D9" s="30">
        <v>2000</v>
      </c>
      <c r="E9" s="30">
        <v>2100</v>
      </c>
      <c r="F9" s="30">
        <v>1100</v>
      </c>
      <c r="G9" s="30">
        <v>1000</v>
      </c>
      <c r="H9" s="30">
        <v>2000</v>
      </c>
      <c r="I9" s="31">
        <f t="shared" si="0"/>
        <v>10200</v>
      </c>
    </row>
    <row r="10" spans="1:9" ht="84" x14ac:dyDescent="0.25">
      <c r="A10" s="27" t="s">
        <v>9</v>
      </c>
      <c r="B10" s="32">
        <v>12000</v>
      </c>
      <c r="C10" s="32">
        <v>2000</v>
      </c>
      <c r="D10" s="32">
        <v>2000</v>
      </c>
      <c r="E10" s="32">
        <v>2100</v>
      </c>
      <c r="F10" s="32">
        <v>1100</v>
      </c>
      <c r="G10" s="32">
        <v>1000</v>
      </c>
      <c r="H10" s="32">
        <v>2000</v>
      </c>
      <c r="I10" s="33">
        <f t="shared" si="0"/>
        <v>10200</v>
      </c>
    </row>
    <row r="11" spans="1:9" ht="36" x14ac:dyDescent="0.25">
      <c r="A11" s="26" t="s">
        <v>23</v>
      </c>
      <c r="B11" s="30">
        <v>6000</v>
      </c>
      <c r="C11" s="30">
        <v>2000</v>
      </c>
      <c r="D11" s="30">
        <v>2000</v>
      </c>
      <c r="E11" s="30">
        <v>2100</v>
      </c>
      <c r="F11" s="30">
        <v>11</v>
      </c>
      <c r="G11" s="30">
        <v>11</v>
      </c>
      <c r="H11" s="30">
        <v>11</v>
      </c>
      <c r="I11" s="31">
        <f>SUM(C11:H11)</f>
        <v>6133</v>
      </c>
    </row>
    <row r="12" spans="1:9" x14ac:dyDescent="0.25">
      <c r="A12" s="28" t="s">
        <v>24</v>
      </c>
      <c r="B12" s="33">
        <f>SUM(B2:B11)</f>
        <v>114000</v>
      </c>
      <c r="C12" s="33">
        <f t="shared" ref="C12" si="1">SUM(C2:C11)</f>
        <v>20000</v>
      </c>
      <c r="D12" s="33">
        <f>SUM(D2:D11)</f>
        <v>20000</v>
      </c>
      <c r="E12" s="33">
        <f>SUM(E2:E11)</f>
        <v>21000</v>
      </c>
      <c r="F12" s="33">
        <f t="shared" ref="F12:H12" si="2">SUM(F2:F11)</f>
        <v>7872</v>
      </c>
      <c r="G12" s="33">
        <f t="shared" si="2"/>
        <v>7172</v>
      </c>
      <c r="H12" s="33">
        <f t="shared" si="2"/>
        <v>14172</v>
      </c>
      <c r="I12" s="33">
        <f>SUM(I2:I11)</f>
        <v>90216</v>
      </c>
    </row>
    <row r="15" spans="1:9" x14ac:dyDescent="0.25">
      <c r="B15" t="s">
        <v>142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/>
  </sheetViews>
  <sheetFormatPr baseColWidth="10" defaultRowHeight="15" x14ac:dyDescent="0.25"/>
  <sheetData>
    <row r="1" spans="1:9" ht="24" x14ac:dyDescent="0.25">
      <c r="A1" s="24" t="s">
        <v>25</v>
      </c>
      <c r="B1" s="23" t="s">
        <v>62</v>
      </c>
      <c r="C1" s="23" t="s">
        <v>58</v>
      </c>
      <c r="D1" s="23" t="s">
        <v>70</v>
      </c>
      <c r="E1" s="23" t="s">
        <v>122</v>
      </c>
      <c r="F1" s="23" t="s">
        <v>123</v>
      </c>
      <c r="G1" s="23" t="s">
        <v>124</v>
      </c>
      <c r="H1" s="23" t="s">
        <v>125</v>
      </c>
      <c r="I1" s="23" t="s">
        <v>63</v>
      </c>
    </row>
    <row r="2" spans="1:9" ht="36" x14ac:dyDescent="0.25">
      <c r="A2" s="25" t="s">
        <v>0</v>
      </c>
      <c r="B2" s="29">
        <v>12000</v>
      </c>
      <c r="C2" s="29">
        <v>2000</v>
      </c>
      <c r="D2" s="29">
        <v>2000</v>
      </c>
      <c r="E2" s="29">
        <v>2100</v>
      </c>
      <c r="F2" s="29">
        <v>1100</v>
      </c>
      <c r="G2" s="29">
        <v>1000</v>
      </c>
      <c r="H2" s="29">
        <v>2000</v>
      </c>
      <c r="I2" s="69">
        <f>SUM(C2:H2)</f>
        <v>10200</v>
      </c>
    </row>
    <row r="3" spans="1:9" ht="72" x14ac:dyDescent="0.25">
      <c r="A3" s="26" t="s">
        <v>1</v>
      </c>
      <c r="B3" s="30">
        <v>12000</v>
      </c>
      <c r="C3" s="30">
        <v>2000</v>
      </c>
      <c r="D3" s="30">
        <v>2000</v>
      </c>
      <c r="E3" s="30">
        <v>2100</v>
      </c>
      <c r="F3" s="30">
        <v>1100</v>
      </c>
      <c r="G3" s="30">
        <v>1000</v>
      </c>
      <c r="H3" s="30">
        <v>2000</v>
      </c>
      <c r="I3" s="31">
        <f t="shared" ref="I3:I10" si="0">SUM(C3:H3)</f>
        <v>10200</v>
      </c>
    </row>
    <row r="4" spans="1:9" ht="108" x14ac:dyDescent="0.25">
      <c r="A4" s="27" t="s">
        <v>2</v>
      </c>
      <c r="B4" s="32">
        <v>12000</v>
      </c>
      <c r="C4" s="32">
        <v>2000</v>
      </c>
      <c r="D4" s="32">
        <v>2000</v>
      </c>
      <c r="E4" s="32">
        <v>2100</v>
      </c>
      <c r="F4" s="32">
        <v>1100</v>
      </c>
      <c r="G4" s="32">
        <v>1000</v>
      </c>
      <c r="H4" s="32">
        <v>2000</v>
      </c>
      <c r="I4" s="33">
        <f t="shared" si="0"/>
        <v>10200</v>
      </c>
    </row>
    <row r="5" spans="1:9" ht="72" x14ac:dyDescent="0.25">
      <c r="A5" s="26" t="s">
        <v>3</v>
      </c>
      <c r="B5" s="30">
        <v>12000</v>
      </c>
      <c r="C5" s="30">
        <v>2000</v>
      </c>
      <c r="D5" s="30">
        <v>2000</v>
      </c>
      <c r="E5" s="30">
        <v>2100</v>
      </c>
      <c r="F5" s="30">
        <v>1100</v>
      </c>
      <c r="G5" s="30">
        <v>1000</v>
      </c>
      <c r="H5" s="30">
        <v>2000</v>
      </c>
      <c r="I5" s="31">
        <f t="shared" si="0"/>
        <v>10200</v>
      </c>
    </row>
    <row r="6" spans="1:9" ht="36" x14ac:dyDescent="0.25">
      <c r="A6" s="27" t="s">
        <v>4</v>
      </c>
      <c r="B6" s="32">
        <v>12000</v>
      </c>
      <c r="C6" s="32">
        <v>2000</v>
      </c>
      <c r="D6" s="32">
        <v>2000</v>
      </c>
      <c r="E6" s="32">
        <v>2100</v>
      </c>
      <c r="F6" s="32">
        <v>110</v>
      </c>
      <c r="G6" s="32">
        <v>110</v>
      </c>
      <c r="H6" s="32">
        <v>110</v>
      </c>
      <c r="I6" s="33">
        <f t="shared" si="0"/>
        <v>6430</v>
      </c>
    </row>
    <row r="7" spans="1:9" ht="48" x14ac:dyDescent="0.25">
      <c r="A7" s="26" t="s">
        <v>10</v>
      </c>
      <c r="B7" s="30">
        <v>12000</v>
      </c>
      <c r="C7" s="30">
        <v>2000</v>
      </c>
      <c r="D7" s="30">
        <v>2000</v>
      </c>
      <c r="E7" s="30">
        <v>2100</v>
      </c>
      <c r="F7" s="30">
        <v>51</v>
      </c>
      <c r="G7" s="30">
        <v>51</v>
      </c>
      <c r="H7" s="30">
        <v>51</v>
      </c>
      <c r="I7" s="31">
        <f t="shared" si="0"/>
        <v>6253</v>
      </c>
    </row>
    <row r="8" spans="1:9" ht="84" x14ac:dyDescent="0.25">
      <c r="A8" s="27" t="s">
        <v>5</v>
      </c>
      <c r="B8" s="32">
        <v>12000</v>
      </c>
      <c r="C8" s="32">
        <v>2000</v>
      </c>
      <c r="D8" s="32">
        <v>2000</v>
      </c>
      <c r="E8" s="32">
        <v>2100</v>
      </c>
      <c r="F8" s="32">
        <v>1100</v>
      </c>
      <c r="G8" s="32">
        <v>1000</v>
      </c>
      <c r="H8" s="32">
        <v>2000</v>
      </c>
      <c r="I8" s="33">
        <f t="shared" si="0"/>
        <v>10200</v>
      </c>
    </row>
    <row r="9" spans="1:9" ht="72" x14ac:dyDescent="0.25">
      <c r="A9" s="26" t="s">
        <v>8</v>
      </c>
      <c r="B9" s="30">
        <v>12000</v>
      </c>
      <c r="C9" s="30">
        <v>2000</v>
      </c>
      <c r="D9" s="30">
        <v>2000</v>
      </c>
      <c r="E9" s="30">
        <v>2100</v>
      </c>
      <c r="F9" s="30">
        <v>1100</v>
      </c>
      <c r="G9" s="30">
        <v>1000</v>
      </c>
      <c r="H9" s="30">
        <v>2000</v>
      </c>
      <c r="I9" s="31">
        <f t="shared" si="0"/>
        <v>10200</v>
      </c>
    </row>
    <row r="10" spans="1:9" ht="84" x14ac:dyDescent="0.25">
      <c r="A10" s="27" t="s">
        <v>9</v>
      </c>
      <c r="B10" s="32">
        <v>12000</v>
      </c>
      <c r="C10" s="32">
        <v>2000</v>
      </c>
      <c r="D10" s="32">
        <v>2000</v>
      </c>
      <c r="E10" s="32">
        <v>2100</v>
      </c>
      <c r="F10" s="32">
        <v>1100</v>
      </c>
      <c r="G10" s="32">
        <v>1000</v>
      </c>
      <c r="H10" s="32">
        <v>2000</v>
      </c>
      <c r="I10" s="33">
        <f t="shared" si="0"/>
        <v>10200</v>
      </c>
    </row>
    <row r="11" spans="1:9" ht="36" x14ac:dyDescent="0.25">
      <c r="A11" s="26" t="s">
        <v>23</v>
      </c>
      <c r="B11" s="30">
        <v>6000</v>
      </c>
      <c r="C11" s="30">
        <v>2000</v>
      </c>
      <c r="D11" s="30">
        <v>2000</v>
      </c>
      <c r="E11" s="30">
        <v>2100</v>
      </c>
      <c r="F11" s="30">
        <v>11</v>
      </c>
      <c r="G11" s="30">
        <v>11</v>
      </c>
      <c r="H11" s="30">
        <v>11</v>
      </c>
      <c r="I11" s="31">
        <f>SUM(C11:H11)</f>
        <v>6133</v>
      </c>
    </row>
    <row r="12" spans="1:9" x14ac:dyDescent="0.25">
      <c r="A12" s="28" t="s">
        <v>24</v>
      </c>
      <c r="B12" s="33">
        <f>SUM(B2:B11)</f>
        <v>114000</v>
      </c>
      <c r="C12" s="33">
        <f t="shared" ref="C12" si="1">SUM(C2:C11)</f>
        <v>20000</v>
      </c>
      <c r="D12" s="33">
        <f>SUM(D2:D11)</f>
        <v>20000</v>
      </c>
      <c r="E12" s="33">
        <f>SUM(E2:E11)</f>
        <v>21000</v>
      </c>
      <c r="F12" s="33">
        <f t="shared" ref="F12:H12" si="2">SUM(F2:F11)</f>
        <v>7872</v>
      </c>
      <c r="G12" s="33">
        <f t="shared" si="2"/>
        <v>7172</v>
      </c>
      <c r="H12" s="33">
        <f t="shared" si="2"/>
        <v>14172</v>
      </c>
      <c r="I12" s="33">
        <f>SUM(I2:I11)</f>
        <v>90216</v>
      </c>
    </row>
    <row r="15" spans="1:9" x14ac:dyDescent="0.25">
      <c r="B15" t="s">
        <v>143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baseColWidth="10" defaultColWidth="8.85546875" defaultRowHeight="15" x14ac:dyDescent="0.25"/>
  <cols>
    <col min="1" max="1" width="21" customWidth="1"/>
    <col min="2" max="2" width="17.5703125" customWidth="1"/>
    <col min="3" max="3" width="19.28515625" customWidth="1"/>
    <col min="4" max="4" width="15.42578125" customWidth="1"/>
    <col min="5" max="5" width="6.7109375" customWidth="1"/>
  </cols>
  <sheetData>
    <row r="1" spans="1:4" ht="49.9" customHeight="1" x14ac:dyDescent="0.25">
      <c r="A1" s="5" t="s">
        <v>17</v>
      </c>
      <c r="B1" s="5" t="s">
        <v>77</v>
      </c>
      <c r="C1" s="5" t="s">
        <v>78</v>
      </c>
      <c r="D1" s="5" t="s">
        <v>6</v>
      </c>
    </row>
    <row r="2" spans="1:4" x14ac:dyDescent="0.25">
      <c r="A2" s="3" t="s">
        <v>21</v>
      </c>
      <c r="B2" s="6">
        <f>ROUND(T18__datos!D3,4)</f>
        <v>0.84</v>
      </c>
      <c r="C2" s="6">
        <f>ROUND(T18__datos!D17,4)</f>
        <v>0.83330000000000004</v>
      </c>
      <c r="D2" s="6">
        <f>ROUND((Tabla159101112131415[[#This Row],[Enero a Diciembre 2018]]-Tabla159101112131415[[#This Row],[Enero a Diciembre 2017]])/Tabla159101112131415[[#This Row],[Enero a Diciembre 2017]],4)</f>
        <v>-8.0000000000000002E-3</v>
      </c>
    </row>
    <row r="3" spans="1:4" x14ac:dyDescent="0.25">
      <c r="A3" s="4" t="s">
        <v>126</v>
      </c>
      <c r="B3" s="7">
        <f>T18__datos!D4</f>
        <v>0.91669999999999996</v>
      </c>
      <c r="C3" s="7">
        <f>T18__datos!D18</f>
        <v>0.92859999999999998</v>
      </c>
      <c r="D3" s="7">
        <f>ROUND((Tabla159101112131415[[#This Row],[Enero a Diciembre 2018]]-Tabla159101112131415[[#This Row],[Enero a Diciembre 2017]])/Tabla159101112131415[[#This Row],[Enero a Diciembre 2017]],4)</f>
        <v>1.2999999999999999E-2</v>
      </c>
    </row>
    <row r="4" spans="1:4" x14ac:dyDescent="0.25">
      <c r="A4" s="3" t="s">
        <v>127</v>
      </c>
      <c r="B4" s="6">
        <f>T18__datos!D5</f>
        <v>0.41670000000000001</v>
      </c>
      <c r="C4" s="6">
        <f>T18__datos!D19</f>
        <v>0.35709999999999997</v>
      </c>
      <c r="D4" s="6">
        <f>ROUND((Tabla159101112131415[[#This Row],[Enero a Diciembre 2018]]-Tabla159101112131415[[#This Row],[Enero a Diciembre 2017]])/Tabla159101112131415[[#This Row],[Enero a Diciembre 2017]],4)</f>
        <v>-0.14299999999999999</v>
      </c>
    </row>
    <row r="5" spans="1:4" x14ac:dyDescent="0.25">
      <c r="A5" s="4" t="s">
        <v>128</v>
      </c>
      <c r="B5" s="7">
        <f>T18__datos!D6</f>
        <v>0.85</v>
      </c>
      <c r="C5" s="7">
        <f>T18__datos!D20</f>
        <v>0.6</v>
      </c>
      <c r="D5" s="7">
        <f>ROUND((Tabla159101112131415[[#This Row],[Enero a Diciembre 2018]]-Tabla159101112131415[[#This Row],[Enero a Diciembre 2017]])/Tabla159101112131415[[#This Row],[Enero a Diciembre 2017]],4)</f>
        <v>-0.29409999999999997</v>
      </c>
    </row>
    <row r="6" spans="1:4" x14ac:dyDescent="0.25">
      <c r="A6" s="3" t="s">
        <v>129</v>
      </c>
      <c r="B6" s="6">
        <f>T18__datos!D7</f>
        <v>0.57140000000000002</v>
      </c>
      <c r="C6" s="6">
        <f>T18__datos!D21</f>
        <v>0.57140000000000002</v>
      </c>
      <c r="D6" s="6">
        <f>ROUND((Tabla159101112131415[[#This Row],[Enero a Diciembre 2018]]-Tabla159101112131415[[#This Row],[Enero a Diciembre 2017]])/Tabla159101112131415[[#This Row],[Enero a Diciembre 2017]],4)</f>
        <v>0</v>
      </c>
    </row>
    <row r="7" spans="1:4" x14ac:dyDescent="0.25">
      <c r="A7" s="4" t="s">
        <v>130</v>
      </c>
      <c r="B7" s="7">
        <f>T18__datos!D8</f>
        <v>0.2</v>
      </c>
      <c r="C7" s="7">
        <f>T18__datos!D22</f>
        <v>0.16669999999999999</v>
      </c>
      <c r="D7" s="7">
        <f>ROUND((Tabla159101112131415[[#This Row],[Enero a Diciembre 2018]]-Tabla159101112131415[[#This Row],[Enero a Diciembre 2017]])/Tabla159101112131415[[#This Row],[Enero a Diciembre 2017]],4)</f>
        <v>-0.16650000000000001</v>
      </c>
    </row>
    <row r="8" spans="1:4" x14ac:dyDescent="0.25">
      <c r="A8" s="3" t="s">
        <v>131</v>
      </c>
      <c r="B8" s="6">
        <f>T18__datos!D9</f>
        <v>0.42859999999999998</v>
      </c>
      <c r="C8" s="6">
        <f>T18__datos!D23</f>
        <v>0.1</v>
      </c>
      <c r="D8" s="6">
        <f>ROUND((Tabla159101112131415[[#This Row],[Enero a Diciembre 2018]]-Tabla159101112131415[[#This Row],[Enero a Diciembre 2017]])/Tabla159101112131415[[#This Row],[Enero a Diciembre 2017]],4)</f>
        <v>-0.76670000000000005</v>
      </c>
    </row>
    <row r="9" spans="1:4" x14ac:dyDescent="0.25">
      <c r="A9" s="4" t="s">
        <v>132</v>
      </c>
      <c r="B9" s="7">
        <f>T18__datos!D10</f>
        <v>0.6</v>
      </c>
      <c r="C9" s="7">
        <f>T18__datos!D24</f>
        <v>0.7</v>
      </c>
      <c r="D9" s="7">
        <f>ROUND((Tabla159101112131415[[#This Row],[Enero a Diciembre 2018]]-Tabla159101112131415[[#This Row],[Enero a Diciembre 2017]])/Tabla159101112131415[[#This Row],[Enero a Diciembre 2017]],4)</f>
        <v>0.16669999999999999</v>
      </c>
    </row>
    <row r="10" spans="1:4" x14ac:dyDescent="0.25">
      <c r="A10" s="3" t="s">
        <v>133</v>
      </c>
      <c r="B10" s="6">
        <f>T18__datos!D11</f>
        <v>0.7</v>
      </c>
      <c r="C10" s="6">
        <f>T18__datos!D25</f>
        <v>0.6</v>
      </c>
      <c r="D10" s="6">
        <f>ROUND((Tabla159101112131415[[#This Row],[Enero a Diciembre 2018]]-Tabla159101112131415[[#This Row],[Enero a Diciembre 2017]])/Tabla159101112131415[[#This Row],[Enero a Diciembre 2017]],4)</f>
        <v>-0.1429</v>
      </c>
    </row>
    <row r="11" spans="1:4" x14ac:dyDescent="0.25">
      <c r="A11" s="4" t="s">
        <v>134</v>
      </c>
      <c r="B11" s="7">
        <f>T18__datos!D12</f>
        <v>0.3</v>
      </c>
      <c r="C11" s="7">
        <f>T18__datos!D26</f>
        <v>0.3</v>
      </c>
      <c r="D11" s="7">
        <f>ROUND((Tabla159101112131415[[#This Row],[Enero a Diciembre 2018]]-Tabla159101112131415[[#This Row],[Enero a Diciembre 2017]])/Tabla159101112131415[[#This Row],[Enero a Diciembre 2017]],4)</f>
        <v>0</v>
      </c>
    </row>
    <row r="12" spans="1:4" x14ac:dyDescent="0.25">
      <c r="A12" s="8" t="s">
        <v>7</v>
      </c>
      <c r="B12" s="9">
        <f>T18__datos!D13</f>
        <v>0.63370000000000004</v>
      </c>
      <c r="C12" s="9">
        <f>T18__datos!D27</f>
        <v>0.57210000000000005</v>
      </c>
      <c r="D12" s="9">
        <f>ROUND((Tabla159101112131415[[#This Row],[Enero a Diciembre 2018]]-Tabla159101112131415[[#This Row],[Enero a Diciembre 2017]])/Tabla159101112131415[[#This Row],[Enero a Diciembre 2017]],4)</f>
        <v>-9.7199999999999995E-2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/>
  </sheetViews>
  <sheetFormatPr baseColWidth="10" defaultColWidth="8.85546875" defaultRowHeight="15" x14ac:dyDescent="0.25"/>
  <cols>
    <col min="1" max="1" width="21.85546875" customWidth="1"/>
    <col min="2" max="2" width="16.85546875" customWidth="1"/>
    <col min="3" max="3" width="18.140625" customWidth="1"/>
    <col min="4" max="4" width="18.28515625" customWidth="1"/>
    <col min="5" max="5" width="6.7109375" customWidth="1"/>
  </cols>
  <sheetData>
    <row r="1" spans="1:4" ht="15.75" thickBot="1" x14ac:dyDescent="0.3">
      <c r="A1" s="79" t="s">
        <v>27</v>
      </c>
      <c r="B1" s="80"/>
      <c r="C1" s="80"/>
      <c r="D1" s="81"/>
    </row>
    <row r="2" spans="1:4" ht="38.25" x14ac:dyDescent="0.25">
      <c r="A2" s="41" t="s">
        <v>26</v>
      </c>
      <c r="B2" s="2" t="s">
        <v>109</v>
      </c>
      <c r="C2" s="2" t="s">
        <v>110</v>
      </c>
      <c r="D2" s="42" t="s">
        <v>28</v>
      </c>
    </row>
    <row r="3" spans="1:4" x14ac:dyDescent="0.25">
      <c r="A3" s="35" t="s">
        <v>21</v>
      </c>
      <c r="B3" s="59">
        <v>42</v>
      </c>
      <c r="C3" s="59">
        <v>50</v>
      </c>
      <c r="D3" s="36">
        <f>ROUND(B3/C3,4)</f>
        <v>0.84</v>
      </c>
    </row>
    <row r="4" spans="1:4" x14ac:dyDescent="0.25">
      <c r="A4" s="37" t="s">
        <v>126</v>
      </c>
      <c r="B4" s="60">
        <v>11</v>
      </c>
      <c r="C4" s="60">
        <v>12</v>
      </c>
      <c r="D4" s="38">
        <f t="shared" ref="D4:D13" si="0">ROUND(B4/C4,4)</f>
        <v>0.91669999999999996</v>
      </c>
    </row>
    <row r="5" spans="1:4" x14ac:dyDescent="0.25">
      <c r="A5" s="35" t="s">
        <v>127</v>
      </c>
      <c r="B5" s="59">
        <v>5</v>
      </c>
      <c r="C5" s="59">
        <v>12</v>
      </c>
      <c r="D5" s="36">
        <f t="shared" si="0"/>
        <v>0.41670000000000001</v>
      </c>
    </row>
    <row r="6" spans="1:4" x14ac:dyDescent="0.25">
      <c r="A6" s="37" t="s">
        <v>128</v>
      </c>
      <c r="B6" s="60">
        <v>17</v>
      </c>
      <c r="C6" s="60">
        <v>20</v>
      </c>
      <c r="D6" s="38">
        <f t="shared" si="0"/>
        <v>0.85</v>
      </c>
    </row>
    <row r="7" spans="1:4" x14ac:dyDescent="0.25">
      <c r="A7" s="35" t="s">
        <v>129</v>
      </c>
      <c r="B7" s="59">
        <v>8</v>
      </c>
      <c r="C7" s="59">
        <v>14</v>
      </c>
      <c r="D7" s="36">
        <f t="shared" si="0"/>
        <v>0.57140000000000002</v>
      </c>
    </row>
    <row r="8" spans="1:4" x14ac:dyDescent="0.25">
      <c r="A8" s="37" t="s">
        <v>130</v>
      </c>
      <c r="B8" s="60">
        <v>4</v>
      </c>
      <c r="C8" s="60">
        <v>20</v>
      </c>
      <c r="D8" s="38">
        <f t="shared" si="0"/>
        <v>0.2</v>
      </c>
    </row>
    <row r="9" spans="1:4" x14ac:dyDescent="0.25">
      <c r="A9" s="35" t="s">
        <v>131</v>
      </c>
      <c r="B9" s="59">
        <v>6</v>
      </c>
      <c r="C9" s="59">
        <v>14</v>
      </c>
      <c r="D9" s="36">
        <f t="shared" si="0"/>
        <v>0.42859999999999998</v>
      </c>
    </row>
    <row r="10" spans="1:4" x14ac:dyDescent="0.25">
      <c r="A10" s="37" t="s">
        <v>132</v>
      </c>
      <c r="B10" s="60">
        <v>6</v>
      </c>
      <c r="C10" s="60">
        <v>10</v>
      </c>
      <c r="D10" s="38">
        <f t="shared" si="0"/>
        <v>0.6</v>
      </c>
    </row>
    <row r="11" spans="1:4" x14ac:dyDescent="0.25">
      <c r="A11" s="35" t="s">
        <v>133</v>
      </c>
      <c r="B11" s="59">
        <v>7</v>
      </c>
      <c r="C11" s="59">
        <v>10</v>
      </c>
      <c r="D11" s="36">
        <f t="shared" si="0"/>
        <v>0.7</v>
      </c>
    </row>
    <row r="12" spans="1:4" x14ac:dyDescent="0.25">
      <c r="A12" s="37" t="s">
        <v>134</v>
      </c>
      <c r="B12" s="60">
        <v>3</v>
      </c>
      <c r="C12" s="60">
        <v>10</v>
      </c>
      <c r="D12" s="38">
        <f t="shared" si="0"/>
        <v>0.3</v>
      </c>
    </row>
    <row r="13" spans="1:4" x14ac:dyDescent="0.25">
      <c r="A13" s="39" t="s">
        <v>7</v>
      </c>
      <c r="B13" s="61">
        <f>SUBTOTAL(109,B3:B12)</f>
        <v>109</v>
      </c>
      <c r="C13" s="61">
        <f>SUBTOTAL(109,C3:C12)</f>
        <v>172</v>
      </c>
      <c r="D13" s="40">
        <f t="shared" si="0"/>
        <v>0.63370000000000004</v>
      </c>
    </row>
    <row r="14" spans="1:4" ht="15.75" thickBot="1" x14ac:dyDescent="0.3"/>
    <row r="15" spans="1:4" ht="15.75" thickBot="1" x14ac:dyDescent="0.3">
      <c r="A15" s="79" t="s">
        <v>64</v>
      </c>
      <c r="B15" s="80"/>
      <c r="C15" s="80"/>
      <c r="D15" s="81"/>
    </row>
    <row r="16" spans="1:4" ht="38.25" x14ac:dyDescent="0.25">
      <c r="A16" s="34" t="s">
        <v>26</v>
      </c>
      <c r="B16" s="17" t="s">
        <v>111</v>
      </c>
      <c r="C16" s="17" t="s">
        <v>112</v>
      </c>
      <c r="D16" s="42" t="s">
        <v>28</v>
      </c>
    </row>
    <row r="17" spans="1:4" x14ac:dyDescent="0.25">
      <c r="A17" s="35" t="s">
        <v>21</v>
      </c>
      <c r="B17" s="59">
        <v>50</v>
      </c>
      <c r="C17" s="59">
        <v>60</v>
      </c>
      <c r="D17" s="36">
        <f>ROUND(B17/C17,4)</f>
        <v>0.83330000000000004</v>
      </c>
    </row>
    <row r="18" spans="1:4" x14ac:dyDescent="0.25">
      <c r="A18" s="37" t="s">
        <v>126</v>
      </c>
      <c r="B18" s="60">
        <v>13</v>
      </c>
      <c r="C18" s="60">
        <v>14</v>
      </c>
      <c r="D18" s="38">
        <f t="shared" ref="D18:D27" si="1">ROUND(B18/C18,4)</f>
        <v>0.92859999999999998</v>
      </c>
    </row>
    <row r="19" spans="1:4" x14ac:dyDescent="0.25">
      <c r="A19" s="35" t="s">
        <v>127</v>
      </c>
      <c r="B19" s="59">
        <v>5</v>
      </c>
      <c r="C19" s="59">
        <v>14</v>
      </c>
      <c r="D19" s="36">
        <f t="shared" si="1"/>
        <v>0.35709999999999997</v>
      </c>
    </row>
    <row r="20" spans="1:4" x14ac:dyDescent="0.25">
      <c r="A20" s="37" t="s">
        <v>128</v>
      </c>
      <c r="B20" s="60">
        <v>15</v>
      </c>
      <c r="C20" s="60">
        <v>25</v>
      </c>
      <c r="D20" s="38">
        <f t="shared" si="1"/>
        <v>0.6</v>
      </c>
    </row>
    <row r="21" spans="1:4" x14ac:dyDescent="0.25">
      <c r="A21" s="35" t="s">
        <v>129</v>
      </c>
      <c r="B21" s="59">
        <v>8</v>
      </c>
      <c r="C21" s="59">
        <v>14</v>
      </c>
      <c r="D21" s="36">
        <f t="shared" si="1"/>
        <v>0.57140000000000002</v>
      </c>
    </row>
    <row r="22" spans="1:4" x14ac:dyDescent="0.25">
      <c r="A22" s="37" t="s">
        <v>130</v>
      </c>
      <c r="B22" s="60">
        <v>4</v>
      </c>
      <c r="C22" s="60">
        <v>24</v>
      </c>
      <c r="D22" s="38">
        <f t="shared" si="1"/>
        <v>0.16669999999999999</v>
      </c>
    </row>
    <row r="23" spans="1:4" x14ac:dyDescent="0.25">
      <c r="A23" s="35" t="s">
        <v>131</v>
      </c>
      <c r="B23" s="59">
        <v>1</v>
      </c>
      <c r="C23" s="59">
        <v>10</v>
      </c>
      <c r="D23" s="36">
        <f t="shared" si="1"/>
        <v>0.1</v>
      </c>
    </row>
    <row r="24" spans="1:4" x14ac:dyDescent="0.25">
      <c r="A24" s="37" t="s">
        <v>132</v>
      </c>
      <c r="B24" s="60">
        <v>7</v>
      </c>
      <c r="C24" s="60">
        <v>10</v>
      </c>
      <c r="D24" s="38">
        <f t="shared" si="1"/>
        <v>0.7</v>
      </c>
    </row>
    <row r="25" spans="1:4" x14ac:dyDescent="0.25">
      <c r="A25" s="35" t="s">
        <v>133</v>
      </c>
      <c r="B25" s="59">
        <v>6</v>
      </c>
      <c r="C25" s="59">
        <v>10</v>
      </c>
      <c r="D25" s="36">
        <f t="shared" si="1"/>
        <v>0.6</v>
      </c>
    </row>
    <row r="26" spans="1:4" x14ac:dyDescent="0.25">
      <c r="A26" s="37" t="s">
        <v>134</v>
      </c>
      <c r="B26" s="60">
        <v>6</v>
      </c>
      <c r="C26" s="60">
        <v>20</v>
      </c>
      <c r="D26" s="38">
        <f t="shared" si="1"/>
        <v>0.3</v>
      </c>
    </row>
    <row r="27" spans="1:4" x14ac:dyDescent="0.25">
      <c r="A27" s="39" t="s">
        <v>7</v>
      </c>
      <c r="B27" s="61">
        <f>SUBTOTAL(109,B17:B26)</f>
        <v>115</v>
      </c>
      <c r="C27" s="61">
        <f>SUBTOTAL(109,C17:C26)</f>
        <v>201</v>
      </c>
      <c r="D27" s="40">
        <f t="shared" si="1"/>
        <v>0.57210000000000005</v>
      </c>
    </row>
  </sheetData>
  <mergeCells count="2">
    <mergeCell ref="A1:D1"/>
    <mergeCell ref="A15:D15"/>
  </mergeCell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baseColWidth="10" defaultColWidth="8.85546875" defaultRowHeight="15" x14ac:dyDescent="0.25"/>
  <cols>
    <col min="1" max="1" width="22.7109375" customWidth="1"/>
    <col min="2" max="2" width="18.7109375" customWidth="1"/>
    <col min="3" max="3" width="19.28515625" customWidth="1"/>
    <col min="4" max="4" width="15.42578125" customWidth="1"/>
    <col min="5" max="5" width="6.7109375" customWidth="1"/>
  </cols>
  <sheetData>
    <row r="1" spans="1:4" ht="38.25" x14ac:dyDescent="0.25">
      <c r="A1" s="5" t="s">
        <v>16</v>
      </c>
      <c r="B1" s="5" t="s">
        <v>77</v>
      </c>
      <c r="C1" s="5" t="s">
        <v>78</v>
      </c>
      <c r="D1" s="5" t="s">
        <v>6</v>
      </c>
    </row>
    <row r="2" spans="1:4" x14ac:dyDescent="0.25">
      <c r="A2" s="3" t="s">
        <v>21</v>
      </c>
      <c r="B2" s="6">
        <f>ROUND(T19__datos!D3,4)</f>
        <v>0.06</v>
      </c>
      <c r="C2" s="6">
        <f>ROUND(T19__datos!D17,4)</f>
        <v>5.5500000000000001E-2</v>
      </c>
      <c r="D2" s="6">
        <f>ROUND((Tabla15910111213141516[[#This Row],[Enero a Diciembre 2018]]-Tabla15910111213141516[[#This Row],[Enero a Diciembre 2017]])/Tabla15910111213141516[[#This Row],[Enero a Diciembre 2017]],4)</f>
        <v>-7.4999999999999997E-2</v>
      </c>
    </row>
    <row r="3" spans="1:4" x14ac:dyDescent="0.25">
      <c r="A3" s="4" t="s">
        <v>126</v>
      </c>
      <c r="B3" s="7">
        <f>ROUND(T19__datos!D4,4)</f>
        <v>2.6700000000000002E-2</v>
      </c>
      <c r="C3" s="7">
        <f>ROUND(T19__datos!D18,4)</f>
        <v>3.6400000000000002E-2</v>
      </c>
      <c r="D3" s="7">
        <f>ROUND((Tabla15910111213141516[[#This Row],[Enero a Diciembre 2018]]-Tabla15910111213141516[[#This Row],[Enero a Diciembre 2017]])/Tabla15910111213141516[[#This Row],[Enero a Diciembre 2017]],4)</f>
        <v>0.36330000000000001</v>
      </c>
    </row>
    <row r="4" spans="1:4" x14ac:dyDescent="0.25">
      <c r="A4" s="3" t="s">
        <v>127</v>
      </c>
      <c r="B4" s="6">
        <f>ROUND(T19__datos!D5,4)</f>
        <v>0.12909999999999999</v>
      </c>
      <c r="C4" s="6">
        <f>ROUND(T19__datos!D19,4)</f>
        <v>0.10580000000000001</v>
      </c>
      <c r="D4" s="6">
        <f>ROUND((Tabla15910111213141516[[#This Row],[Enero a Diciembre 2018]]-Tabla15910111213141516[[#This Row],[Enero a Diciembre 2017]])/Tabla15910111213141516[[#This Row],[Enero a Diciembre 2017]],4)</f>
        <v>-0.18049999999999999</v>
      </c>
    </row>
    <row r="5" spans="1:4" x14ac:dyDescent="0.25">
      <c r="A5" s="4" t="s">
        <v>128</v>
      </c>
      <c r="B5" s="7">
        <f>ROUND(T19__datos!D6,4)</f>
        <v>0.36209999999999998</v>
      </c>
      <c r="C5" s="7">
        <f>ROUND(T19__datos!D20,4)</f>
        <v>0.34699999999999998</v>
      </c>
      <c r="D5" s="7">
        <f>ROUND((Tabla15910111213141516[[#This Row],[Enero a Diciembre 2018]]-Tabla15910111213141516[[#This Row],[Enero a Diciembre 2017]])/Tabla15910111213141516[[#This Row],[Enero a Diciembre 2017]],4)</f>
        <v>-4.1700000000000001E-2</v>
      </c>
    </row>
    <row r="6" spans="1:4" x14ac:dyDescent="0.25">
      <c r="A6" s="3" t="s">
        <v>129</v>
      </c>
      <c r="B6" s="6">
        <f>ROUND(T19__datos!D7,4)</f>
        <v>0.27960000000000002</v>
      </c>
      <c r="C6" s="6">
        <f>ROUND(T19__datos!D21,4)</f>
        <v>0.24110000000000001</v>
      </c>
      <c r="D6" s="6">
        <f>ROUND((Tabla15910111213141516[[#This Row],[Enero a Diciembre 2018]]-Tabla15910111213141516[[#This Row],[Enero a Diciembre 2017]])/Tabla15910111213141516[[#This Row],[Enero a Diciembre 2017]],4)</f>
        <v>-0.13769999999999999</v>
      </c>
    </row>
    <row r="7" spans="1:4" x14ac:dyDescent="0.25">
      <c r="A7" s="4" t="s">
        <v>130</v>
      </c>
      <c r="B7" s="7">
        <f>ROUND(T19__datos!D8,4)</f>
        <v>0.21690000000000001</v>
      </c>
      <c r="C7" s="7">
        <f>ROUND(T19__datos!D22,4)</f>
        <v>0.21859999999999999</v>
      </c>
      <c r="D7" s="7">
        <f>ROUND((Tabla15910111213141516[[#This Row],[Enero a Diciembre 2018]]-Tabla15910111213141516[[#This Row],[Enero a Diciembre 2017]])/Tabla15910111213141516[[#This Row],[Enero a Diciembre 2017]],4)</f>
        <v>7.7999999999999996E-3</v>
      </c>
    </row>
    <row r="8" spans="1:4" x14ac:dyDescent="0.25">
      <c r="A8" s="3" t="s">
        <v>131</v>
      </c>
      <c r="B8" s="6">
        <f>ROUND(T19__datos!D9,4)</f>
        <v>0.17249999999999999</v>
      </c>
      <c r="C8" s="6">
        <f>ROUND(T19__datos!D23,4)</f>
        <v>0.21329999999999999</v>
      </c>
      <c r="D8" s="6">
        <f>ROUND((Tabla15910111213141516[[#This Row],[Enero a Diciembre 2018]]-Tabla15910111213141516[[#This Row],[Enero a Diciembre 2017]])/Tabla15910111213141516[[#This Row],[Enero a Diciembre 2017]],4)</f>
        <v>0.23649999999999999</v>
      </c>
    </row>
    <row r="9" spans="1:4" x14ac:dyDescent="0.25">
      <c r="A9" s="4" t="s">
        <v>132</v>
      </c>
      <c r="B9" s="7">
        <f>ROUND(T19__datos!D10,4)</f>
        <v>0.16020000000000001</v>
      </c>
      <c r="C9" s="7">
        <f>ROUND(T19__datos!D24,4)</f>
        <v>0.1208</v>
      </c>
      <c r="D9" s="7">
        <f>ROUND((Tabla15910111213141516[[#This Row],[Enero a Diciembre 2018]]-Tabla15910111213141516[[#This Row],[Enero a Diciembre 2017]])/Tabla15910111213141516[[#This Row],[Enero a Diciembre 2017]],4)</f>
        <v>-0.24590000000000001</v>
      </c>
    </row>
    <row r="10" spans="1:4" x14ac:dyDescent="0.25">
      <c r="A10" s="3" t="s">
        <v>133</v>
      </c>
      <c r="B10" s="6">
        <f>ROUND(T19__datos!D11,4)</f>
        <v>0.13600000000000001</v>
      </c>
      <c r="C10" s="6">
        <f>ROUND(T19__datos!D25,4)</f>
        <v>0.20730000000000001</v>
      </c>
      <c r="D10" s="6">
        <f>ROUND((Tabla15910111213141516[[#This Row],[Enero a Diciembre 2018]]-Tabla15910111213141516[[#This Row],[Enero a Diciembre 2017]])/Tabla15910111213141516[[#This Row],[Enero a Diciembre 2017]],4)</f>
        <v>0.52429999999999999</v>
      </c>
    </row>
    <row r="11" spans="1:4" x14ac:dyDescent="0.25">
      <c r="A11" s="4" t="s">
        <v>134</v>
      </c>
      <c r="B11" s="7">
        <f>ROUND(T19__datos!D12,4)</f>
        <v>0.1012</v>
      </c>
      <c r="C11" s="7">
        <f>ROUND(T19__datos!D26,4)</f>
        <v>8.8599999999999998E-2</v>
      </c>
      <c r="D11" s="7">
        <f>ROUND((Tabla15910111213141516[[#This Row],[Enero a Diciembre 2018]]-Tabla15910111213141516[[#This Row],[Enero a Diciembre 2017]])/Tabla15910111213141516[[#This Row],[Enero a Diciembre 2017]],4)</f>
        <v>-0.1245</v>
      </c>
    </row>
    <row r="12" spans="1:4" x14ac:dyDescent="0.25">
      <c r="A12" s="8" t="s">
        <v>7</v>
      </c>
      <c r="B12" s="9">
        <f>ROUND(T19__datos!D13,4)</f>
        <v>0.16919999999999999</v>
      </c>
      <c r="C12" s="9">
        <f>ROUND(T19__datos!D27,4)</f>
        <v>0.1681</v>
      </c>
      <c r="D12" s="9">
        <f>ROUND((Tabla15910111213141516[[#This Row],[Enero a Diciembre 2018]]-Tabla15910111213141516[[#This Row],[Enero a Diciembre 2017]])/Tabla15910111213141516[[#This Row],[Enero a Diciembre 2017]],4)</f>
        <v>-6.4999999999999997E-3</v>
      </c>
    </row>
  </sheetData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sqref="A1:D1"/>
    </sheetView>
  </sheetViews>
  <sheetFormatPr baseColWidth="10" defaultColWidth="8.85546875" defaultRowHeight="15" x14ac:dyDescent="0.25"/>
  <cols>
    <col min="1" max="1" width="21.85546875" customWidth="1"/>
    <col min="2" max="2" width="16.85546875" customWidth="1"/>
    <col min="3" max="3" width="18.42578125" customWidth="1"/>
    <col min="4" max="4" width="18.28515625" customWidth="1"/>
    <col min="5" max="5" width="6.7109375" customWidth="1"/>
    <col min="7" max="7" width="38" customWidth="1"/>
  </cols>
  <sheetData>
    <row r="1" spans="1:7" ht="15.75" thickBot="1" x14ac:dyDescent="0.3">
      <c r="A1" s="79" t="s">
        <v>29</v>
      </c>
      <c r="B1" s="80"/>
      <c r="C1" s="80"/>
      <c r="D1" s="81"/>
    </row>
    <row r="2" spans="1:7" ht="38.25" x14ac:dyDescent="0.25">
      <c r="A2" s="41" t="s">
        <v>26</v>
      </c>
      <c r="B2" s="2" t="s">
        <v>113</v>
      </c>
      <c r="C2" s="2" t="s">
        <v>114</v>
      </c>
      <c r="D2" s="42" t="s">
        <v>11</v>
      </c>
      <c r="G2" s="68" t="s">
        <v>68</v>
      </c>
    </row>
    <row r="3" spans="1:7" x14ac:dyDescent="0.25">
      <c r="A3" s="35" t="s">
        <v>21</v>
      </c>
      <c r="B3" s="59">
        <v>57</v>
      </c>
      <c r="C3" s="59">
        <v>950</v>
      </c>
      <c r="D3" s="36">
        <f>ROUND(B3/C3,4)</f>
        <v>0.06</v>
      </c>
    </row>
    <row r="4" spans="1:7" x14ac:dyDescent="0.25">
      <c r="A4" s="37" t="s">
        <v>126</v>
      </c>
      <c r="B4" s="60">
        <v>26</v>
      </c>
      <c r="C4" s="60">
        <v>975</v>
      </c>
      <c r="D4" s="38">
        <f t="shared" ref="D4:D13" si="0">ROUND(B4/C4,4)</f>
        <v>2.6700000000000002E-2</v>
      </c>
    </row>
    <row r="5" spans="1:7" x14ac:dyDescent="0.25">
      <c r="A5" s="35" t="s">
        <v>127</v>
      </c>
      <c r="B5" s="59">
        <v>133</v>
      </c>
      <c r="C5" s="59">
        <v>1030</v>
      </c>
      <c r="D5" s="36">
        <f t="shared" si="0"/>
        <v>0.12909999999999999</v>
      </c>
    </row>
    <row r="6" spans="1:7" x14ac:dyDescent="0.25">
      <c r="A6" s="37" t="s">
        <v>128</v>
      </c>
      <c r="B6" s="60">
        <v>449</v>
      </c>
      <c r="C6" s="60">
        <v>1240</v>
      </c>
      <c r="D6" s="38">
        <f t="shared" si="0"/>
        <v>0.36209999999999998</v>
      </c>
    </row>
    <row r="7" spans="1:7" x14ac:dyDescent="0.25">
      <c r="A7" s="35" t="s">
        <v>129</v>
      </c>
      <c r="B7" s="59">
        <v>625</v>
      </c>
      <c r="C7" s="59">
        <v>2235</v>
      </c>
      <c r="D7" s="36">
        <f t="shared" si="0"/>
        <v>0.27960000000000002</v>
      </c>
    </row>
    <row r="8" spans="1:7" x14ac:dyDescent="0.25">
      <c r="A8" s="37" t="s">
        <v>130</v>
      </c>
      <c r="B8" s="60">
        <v>282</v>
      </c>
      <c r="C8" s="60">
        <v>1300</v>
      </c>
      <c r="D8" s="38">
        <f t="shared" si="0"/>
        <v>0.21690000000000001</v>
      </c>
    </row>
    <row r="9" spans="1:7" x14ac:dyDescent="0.25">
      <c r="A9" s="35" t="s">
        <v>131</v>
      </c>
      <c r="B9" s="59">
        <v>326</v>
      </c>
      <c r="C9" s="59">
        <v>1890</v>
      </c>
      <c r="D9" s="36">
        <f t="shared" si="0"/>
        <v>0.17249999999999999</v>
      </c>
    </row>
    <row r="10" spans="1:7" x14ac:dyDescent="0.25">
      <c r="A10" s="37" t="s">
        <v>132</v>
      </c>
      <c r="B10" s="60">
        <v>173</v>
      </c>
      <c r="C10" s="60">
        <v>1080</v>
      </c>
      <c r="D10" s="38">
        <f t="shared" si="0"/>
        <v>0.16020000000000001</v>
      </c>
    </row>
    <row r="11" spans="1:7" x14ac:dyDescent="0.25">
      <c r="A11" s="35" t="s">
        <v>133</v>
      </c>
      <c r="B11" s="59">
        <v>340</v>
      </c>
      <c r="C11" s="59">
        <v>2500</v>
      </c>
      <c r="D11" s="36">
        <f t="shared" si="0"/>
        <v>0.13600000000000001</v>
      </c>
    </row>
    <row r="12" spans="1:7" x14ac:dyDescent="0.25">
      <c r="A12" s="37" t="s">
        <v>134</v>
      </c>
      <c r="B12" s="60">
        <v>263</v>
      </c>
      <c r="C12" s="60">
        <v>2600</v>
      </c>
      <c r="D12" s="38">
        <f t="shared" si="0"/>
        <v>0.1012</v>
      </c>
    </row>
    <row r="13" spans="1:7" x14ac:dyDescent="0.25">
      <c r="A13" s="39" t="s">
        <v>7</v>
      </c>
      <c r="B13" s="61">
        <f>SUBTOTAL(109,B3:B12)</f>
        <v>2674</v>
      </c>
      <c r="C13" s="61">
        <f>SUBTOTAL(109,C3:C12)</f>
        <v>15800</v>
      </c>
      <c r="D13" s="40">
        <f t="shared" si="0"/>
        <v>0.16919999999999999</v>
      </c>
    </row>
    <row r="14" spans="1:7" ht="15.75" thickBot="1" x14ac:dyDescent="0.3"/>
    <row r="15" spans="1:7" ht="15.75" thickBot="1" x14ac:dyDescent="0.3">
      <c r="A15" s="79" t="s">
        <v>65</v>
      </c>
      <c r="B15" s="80"/>
      <c r="C15" s="80"/>
      <c r="D15" s="81"/>
    </row>
    <row r="16" spans="1:7" ht="38.25" x14ac:dyDescent="0.25">
      <c r="A16" s="34" t="s">
        <v>26</v>
      </c>
      <c r="B16" s="2" t="s">
        <v>115</v>
      </c>
      <c r="C16" s="2" t="s">
        <v>116</v>
      </c>
      <c r="D16" s="18" t="s">
        <v>11</v>
      </c>
    </row>
    <row r="17" spans="1:4" x14ac:dyDescent="0.25">
      <c r="A17" s="35" t="s">
        <v>21</v>
      </c>
      <c r="B17" s="59">
        <v>53</v>
      </c>
      <c r="C17" s="59">
        <v>955</v>
      </c>
      <c r="D17" s="36">
        <f>ROUND(B17/C17,4)</f>
        <v>5.5500000000000001E-2</v>
      </c>
    </row>
    <row r="18" spans="1:4" x14ac:dyDescent="0.25">
      <c r="A18" s="37" t="s">
        <v>126</v>
      </c>
      <c r="B18" s="60">
        <v>40</v>
      </c>
      <c r="C18" s="60">
        <v>1100</v>
      </c>
      <c r="D18" s="38">
        <f t="shared" ref="D18:D27" si="1">ROUND(B18/C18,4)</f>
        <v>3.6400000000000002E-2</v>
      </c>
    </row>
    <row r="19" spans="1:4" x14ac:dyDescent="0.25">
      <c r="A19" s="35" t="s">
        <v>127</v>
      </c>
      <c r="B19" s="59">
        <v>127</v>
      </c>
      <c r="C19" s="59">
        <v>1200</v>
      </c>
      <c r="D19" s="36">
        <f t="shared" si="1"/>
        <v>0.10580000000000001</v>
      </c>
    </row>
    <row r="20" spans="1:4" x14ac:dyDescent="0.25">
      <c r="A20" s="37" t="s">
        <v>128</v>
      </c>
      <c r="B20" s="60">
        <v>347</v>
      </c>
      <c r="C20" s="60">
        <v>1000</v>
      </c>
      <c r="D20" s="38">
        <f t="shared" si="1"/>
        <v>0.34699999999999998</v>
      </c>
    </row>
    <row r="21" spans="1:4" x14ac:dyDescent="0.25">
      <c r="A21" s="35" t="s">
        <v>129</v>
      </c>
      <c r="B21" s="59">
        <v>487</v>
      </c>
      <c r="C21" s="59">
        <v>2020</v>
      </c>
      <c r="D21" s="36">
        <f t="shared" si="1"/>
        <v>0.24110000000000001</v>
      </c>
    </row>
    <row r="22" spans="1:4" x14ac:dyDescent="0.25">
      <c r="A22" s="37" t="s">
        <v>130</v>
      </c>
      <c r="B22" s="60">
        <v>317</v>
      </c>
      <c r="C22" s="60">
        <v>1450</v>
      </c>
      <c r="D22" s="38">
        <f t="shared" si="1"/>
        <v>0.21859999999999999</v>
      </c>
    </row>
    <row r="23" spans="1:4" x14ac:dyDescent="0.25">
      <c r="A23" s="35" t="s">
        <v>131</v>
      </c>
      <c r="B23" s="59">
        <v>384</v>
      </c>
      <c r="C23" s="59">
        <v>1800</v>
      </c>
      <c r="D23" s="36">
        <f t="shared" si="1"/>
        <v>0.21329999999999999</v>
      </c>
    </row>
    <row r="24" spans="1:4" x14ac:dyDescent="0.25">
      <c r="A24" s="37" t="s">
        <v>132</v>
      </c>
      <c r="B24" s="60">
        <v>122</v>
      </c>
      <c r="C24" s="60">
        <v>1010</v>
      </c>
      <c r="D24" s="38">
        <f t="shared" si="1"/>
        <v>0.1208</v>
      </c>
    </row>
    <row r="25" spans="1:4" x14ac:dyDescent="0.25">
      <c r="A25" s="35" t="s">
        <v>133</v>
      </c>
      <c r="B25" s="59">
        <v>508</v>
      </c>
      <c r="C25" s="59">
        <v>2450</v>
      </c>
      <c r="D25" s="36">
        <f t="shared" si="1"/>
        <v>0.20730000000000001</v>
      </c>
    </row>
    <row r="26" spans="1:4" x14ac:dyDescent="0.25">
      <c r="A26" s="37" t="s">
        <v>134</v>
      </c>
      <c r="B26" s="60">
        <v>226</v>
      </c>
      <c r="C26" s="60">
        <v>2550</v>
      </c>
      <c r="D26" s="38">
        <f t="shared" si="1"/>
        <v>8.8599999999999998E-2</v>
      </c>
    </row>
    <row r="27" spans="1:4" x14ac:dyDescent="0.25">
      <c r="A27" s="39" t="s">
        <v>7</v>
      </c>
      <c r="B27" s="61">
        <f>SUBTOTAL(109,B17:B26)</f>
        <v>2611</v>
      </c>
      <c r="C27" s="61">
        <f>SUBTOTAL(109,C17:C26)</f>
        <v>15535</v>
      </c>
      <c r="D27" s="40">
        <f t="shared" si="1"/>
        <v>0.1681</v>
      </c>
    </row>
  </sheetData>
  <mergeCells count="2">
    <mergeCell ref="A1:D1"/>
    <mergeCell ref="A15:D15"/>
  </mergeCell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baseColWidth="10" defaultColWidth="8.85546875" defaultRowHeight="15" x14ac:dyDescent="0.25"/>
  <cols>
    <col min="1" max="1" width="21.85546875" customWidth="1"/>
    <col min="2" max="2" width="21.28515625" customWidth="1"/>
    <col min="3" max="3" width="24" customWidth="1"/>
    <col min="4" max="4" width="15.42578125" customWidth="1"/>
    <col min="5" max="5" width="6.7109375" customWidth="1"/>
  </cols>
  <sheetData>
    <row r="1" spans="1:4" ht="33.6" customHeight="1" x14ac:dyDescent="0.25">
      <c r="A1" s="5" t="s">
        <v>15</v>
      </c>
      <c r="B1" s="5" t="s">
        <v>117</v>
      </c>
      <c r="C1" s="5" t="s">
        <v>118</v>
      </c>
      <c r="D1" s="5" t="s">
        <v>6</v>
      </c>
    </row>
    <row r="2" spans="1:4" x14ac:dyDescent="0.25">
      <c r="A2" s="3" t="s">
        <v>21</v>
      </c>
      <c r="B2" s="59">
        <v>867.75900000000001</v>
      </c>
      <c r="C2" s="59">
        <v>918.07</v>
      </c>
      <c r="D2" s="6">
        <f>ROUND((Tabla1591011121314151617[[#This Row],[Enero a Diciembre 2018 (M$)]]-Tabla1591011121314151617[[#This Row],[Enero a Diciembre 2017 (M$)]])/Tabla1591011121314151617[[#This Row],[Enero a Diciembre 2017 (M$)]],4)</f>
        <v>5.8000000000000003E-2</v>
      </c>
    </row>
    <row r="3" spans="1:4" x14ac:dyDescent="0.25">
      <c r="A3" s="4" t="s">
        <v>126</v>
      </c>
      <c r="B3" s="60">
        <v>791.16200000000003</v>
      </c>
      <c r="C3" s="60">
        <v>578.43399999999997</v>
      </c>
      <c r="D3" s="7">
        <f>ROUND((Tabla1591011121314151617[[#This Row],[Enero a Diciembre 2018 (M$)]]-Tabla1591011121314151617[[#This Row],[Enero a Diciembre 2017 (M$)]])/Tabla1591011121314151617[[#This Row],[Enero a Diciembre 2017 (M$)]],4)</f>
        <v>-0.26889999999999997</v>
      </c>
    </row>
    <row r="4" spans="1:4" x14ac:dyDescent="0.25">
      <c r="A4" s="3" t="s">
        <v>127</v>
      </c>
      <c r="B4" s="59">
        <v>952.94</v>
      </c>
      <c r="C4" s="59">
        <v>1027.097</v>
      </c>
      <c r="D4" s="6">
        <f>ROUND((Tabla1591011121314151617[[#This Row],[Enero a Diciembre 2018 (M$)]]-Tabla1591011121314151617[[#This Row],[Enero a Diciembre 2017 (M$)]])/Tabla1591011121314151617[[#This Row],[Enero a Diciembre 2017 (M$)]],4)</f>
        <v>7.7799999999999994E-2</v>
      </c>
    </row>
    <row r="5" spans="1:4" x14ac:dyDescent="0.25">
      <c r="A5" s="4" t="s">
        <v>128</v>
      </c>
      <c r="B5" s="60">
        <v>1053.3409999999999</v>
      </c>
      <c r="C5" s="60">
        <v>1247.6210000000001</v>
      </c>
      <c r="D5" s="7">
        <f>ROUND((Tabla1591011121314151617[[#This Row],[Enero a Diciembre 2018 (M$)]]-Tabla1591011121314151617[[#This Row],[Enero a Diciembre 2017 (M$)]])/Tabla1591011121314151617[[#This Row],[Enero a Diciembre 2017 (M$)]],4)</f>
        <v>0.18440000000000001</v>
      </c>
    </row>
    <row r="6" spans="1:4" x14ac:dyDescent="0.25">
      <c r="A6" s="3" t="s">
        <v>129</v>
      </c>
      <c r="B6" s="59">
        <v>2337.5369999999998</v>
      </c>
      <c r="C6" s="59">
        <v>2230.9160000000002</v>
      </c>
      <c r="D6" s="6">
        <f>ROUND((Tabla1591011121314151617[[#This Row],[Enero a Diciembre 2018 (M$)]]-Tabla1591011121314151617[[#This Row],[Enero a Diciembre 2017 (M$)]])/Tabla1591011121314151617[[#This Row],[Enero a Diciembre 2017 (M$)]],4)</f>
        <v>-4.5600000000000002E-2</v>
      </c>
    </row>
    <row r="7" spans="1:4" x14ac:dyDescent="0.25">
      <c r="A7" s="4" t="s">
        <v>130</v>
      </c>
      <c r="B7" s="60">
        <v>1493.4349999999999</v>
      </c>
      <c r="C7" s="60">
        <v>1287.7349999999999</v>
      </c>
      <c r="D7" s="7">
        <f>ROUND((Tabla1591011121314151617[[#This Row],[Enero a Diciembre 2018 (M$)]]-Tabla1591011121314151617[[#This Row],[Enero a Diciembre 2017 (M$)]])/Tabla1591011121314151617[[#This Row],[Enero a Diciembre 2017 (M$)]],4)</f>
        <v>-0.13769999999999999</v>
      </c>
    </row>
    <row r="8" spans="1:4" x14ac:dyDescent="0.25">
      <c r="A8" s="3" t="s">
        <v>131</v>
      </c>
      <c r="B8" s="59">
        <v>1459.1869999999999</v>
      </c>
      <c r="C8" s="59">
        <v>1866.527</v>
      </c>
      <c r="D8" s="6">
        <f>ROUND((Tabla1591011121314151617[[#This Row],[Enero a Diciembre 2018 (M$)]]-Tabla1591011121314151617[[#This Row],[Enero a Diciembre 2017 (M$)]])/Tabla1591011121314151617[[#This Row],[Enero a Diciembre 2017 (M$)]],4)</f>
        <v>0.2792</v>
      </c>
    </row>
    <row r="9" spans="1:4" x14ac:dyDescent="0.25">
      <c r="A9" s="4" t="s">
        <v>132</v>
      </c>
      <c r="B9" s="60">
        <v>1296.096</v>
      </c>
      <c r="C9" s="60">
        <v>1088.085</v>
      </c>
      <c r="D9" s="7">
        <f>ROUND((Tabla1591011121314151617[[#This Row],[Enero a Diciembre 2018 (M$)]]-Tabla1591011121314151617[[#This Row],[Enero a Diciembre 2017 (M$)]])/Tabla1591011121314151617[[#This Row],[Enero a Diciembre 2017 (M$)]],4)</f>
        <v>-0.1605</v>
      </c>
    </row>
    <row r="10" spans="1:4" x14ac:dyDescent="0.25">
      <c r="A10" s="3" t="s">
        <v>133</v>
      </c>
      <c r="B10" s="59">
        <v>1844.1780000000001</v>
      </c>
      <c r="C10" s="59">
        <v>2527.6</v>
      </c>
      <c r="D10" s="6">
        <f>ROUND((Tabla1591011121314151617[[#This Row],[Enero a Diciembre 2018 (M$)]]-Tabla1591011121314151617[[#This Row],[Enero a Diciembre 2017 (M$)]])/Tabla1591011121314151617[[#This Row],[Enero a Diciembre 2017 (M$)]],4)</f>
        <v>0.37059999999999998</v>
      </c>
    </row>
    <row r="11" spans="1:4" x14ac:dyDescent="0.25">
      <c r="A11" s="4" t="s">
        <v>134</v>
      </c>
      <c r="B11" s="60">
        <v>2809.12</v>
      </c>
      <c r="C11" s="60">
        <v>3323.1509999999998</v>
      </c>
      <c r="D11" s="7">
        <f>ROUND((Tabla1591011121314151617[[#This Row],[Enero a Diciembre 2018 (M$)]]-Tabla1591011121314151617[[#This Row],[Enero a Diciembre 2017 (M$)]])/Tabla1591011121314151617[[#This Row],[Enero a Diciembre 2017 (M$)]],4)</f>
        <v>0.183</v>
      </c>
    </row>
    <row r="12" spans="1:4" x14ac:dyDescent="0.25">
      <c r="A12" s="8" t="s">
        <v>7</v>
      </c>
      <c r="B12" s="61">
        <f>SUBTOTAL(109,B2:B11)</f>
        <v>14904.754999999997</v>
      </c>
      <c r="C12" s="61">
        <f>SUBTOTAL(109,C2:C11)</f>
        <v>16095.236000000001</v>
      </c>
      <c r="D12" s="9">
        <f>ROUND((Tabla1591011121314151617[[#This Row],[Enero a Diciembre 2018 (M$)]]-Tabla1591011121314151617[[#This Row],[Enero a Diciembre 2017 (M$)]])/Tabla1591011121314151617[[#This Row],[Enero a Diciembre 2017 (M$)]],4)</f>
        <v>7.9899999999999999E-2</v>
      </c>
    </row>
    <row r="14" spans="1:4" x14ac:dyDescent="0.25">
      <c r="B14" s="10"/>
      <c r="C14" s="10"/>
      <c r="D14" s="10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17.1</vt:lpstr>
      <vt:lpstr>17.2</vt:lpstr>
      <vt:lpstr>17.3</vt:lpstr>
      <vt:lpstr>17.4</vt:lpstr>
      <vt:lpstr>17.5</vt:lpstr>
      <vt:lpstr>T18_</vt:lpstr>
      <vt:lpstr>T18__datos</vt:lpstr>
      <vt:lpstr>T19_</vt:lpstr>
      <vt:lpstr>T19__datos</vt:lpstr>
      <vt:lpstr>T20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Enrique Araya Acevedo</dc:creator>
  <cp:lastModifiedBy>macarena alfaro</cp:lastModifiedBy>
  <dcterms:created xsi:type="dcterms:W3CDTF">2017-07-13T03:24:40Z</dcterms:created>
  <dcterms:modified xsi:type="dcterms:W3CDTF">2019-03-04T12:47:08Z</dcterms:modified>
</cp:coreProperties>
</file>